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ST IZAIRE (12) -GF de montjosieu et des pomarèdes\Dossier déposé 17-05-2024\"/>
    </mc:Choice>
  </mc:AlternateContent>
  <xr:revisionPtr revIDLastSave="0" documentId="13_ncr:1_{98960E35-D793-411D-8DD9-48E4D592D705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34" i="2" l="1" a="1"/>
  <c r="BC34" i="2" s="1"/>
  <c r="AH151" i="2" a="1"/>
  <c r="AH151" i="2" s="1"/>
  <c r="AH163" i="2" a="1"/>
  <c r="AH163" i="2" s="1"/>
  <c r="AH92" i="2" a="1"/>
  <c r="AH92" i="2" s="1"/>
  <c r="AH166" i="2" a="1"/>
  <c r="AH166" i="2" s="1"/>
  <c r="AH62" i="2" a="1"/>
  <c r="AH62" i="2" s="1"/>
  <c r="BC192" i="2" a="1"/>
  <c r="BC192" i="2" s="1"/>
  <c r="BC117" i="2" a="1"/>
  <c r="BC117" i="2" s="1"/>
  <c r="BX107" i="2" a="1"/>
  <c r="BX107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CD64" i="2" l="1"/>
  <c r="CD62" i="2"/>
  <c r="CD60" i="2"/>
  <c r="CD69" i="2"/>
  <c r="CD86" i="2"/>
  <c r="CD143" i="2"/>
  <c r="CD102" i="2"/>
  <c r="CD153" i="2"/>
  <c r="CD118" i="2"/>
  <c r="CD110" i="2"/>
  <c r="CD195" i="2"/>
  <c r="CD201" i="2"/>
  <c r="CD117" i="2"/>
  <c r="CD17" i="2"/>
  <c r="CD55" i="2"/>
  <c r="CD25" i="2"/>
  <c r="CD199" i="2"/>
  <c r="CD97" i="2"/>
  <c r="CD74" i="2"/>
  <c r="CD197" i="2"/>
  <c r="CD121" i="2"/>
  <c r="CD168" i="2"/>
  <c r="CD154" i="2"/>
  <c r="CD83" i="2"/>
  <c r="CD26" i="2"/>
  <c r="CD175" i="2"/>
  <c r="CD42" i="2"/>
  <c r="CD178" i="2"/>
  <c r="CD196" i="2"/>
  <c r="CD109" i="2"/>
  <c r="CD185" i="2"/>
  <c r="CD70" i="2"/>
  <c r="CD133" i="2"/>
  <c r="CD187" i="2"/>
  <c r="CD200" i="2"/>
  <c r="CD181" i="2"/>
  <c r="CD150" i="2"/>
  <c r="CD166" i="2"/>
  <c r="CD105" i="2"/>
  <c r="CD165" i="2"/>
  <c r="CD71" i="2"/>
  <c r="CD132" i="2"/>
  <c r="CD139" i="2"/>
  <c r="CD65" i="2"/>
  <c r="CD170" i="2"/>
  <c r="CD119" i="2"/>
  <c r="CD85" i="2"/>
  <c r="CD68" i="2"/>
  <c r="CD72" i="2"/>
  <c r="CD56" i="2"/>
  <c r="CD123" i="2"/>
  <c r="CD194" i="2"/>
  <c r="CD81" i="2"/>
  <c r="CD43" i="2"/>
  <c r="CD92" i="2"/>
  <c r="CD79" i="2"/>
  <c r="CD198" i="2"/>
  <c r="CD159" i="2"/>
  <c r="CD106" i="2"/>
  <c r="CD50" i="2"/>
  <c r="CD13" i="2"/>
  <c r="CD11" i="2"/>
  <c r="CD45" i="2"/>
  <c r="CD19" i="2"/>
  <c r="CD192" i="2"/>
  <c r="CD122" i="2"/>
  <c r="CD21" i="2"/>
  <c r="CD193" i="2"/>
  <c r="CD130" i="2"/>
  <c r="CD57" i="2"/>
  <c r="CD44" i="2"/>
  <c r="CD47" i="2"/>
  <c r="CD136" i="2"/>
  <c r="CD80" i="2"/>
  <c r="CD164" i="2"/>
  <c r="CD169" i="2"/>
  <c r="CD177" i="2"/>
  <c r="CD171" i="2"/>
  <c r="CD179" i="2"/>
  <c r="CD59" i="2"/>
  <c r="CD67" i="2"/>
  <c r="CD78" i="2"/>
  <c r="CD98" i="2"/>
  <c r="CD115" i="2"/>
  <c r="CD103" i="2"/>
  <c r="CD186" i="2"/>
  <c r="CD61" i="2"/>
  <c r="CD135" i="2"/>
  <c r="CD6" i="2"/>
  <c r="CD24" i="2"/>
  <c r="CD146" i="2"/>
  <c r="CD111" i="2"/>
  <c r="CD93" i="2"/>
  <c r="CD36" i="2"/>
  <c r="CD40" i="2"/>
  <c r="CD151" i="2"/>
  <c r="CD34" i="2"/>
  <c r="CD10" i="2"/>
  <c r="CD152" i="2"/>
  <c r="CD51" i="2"/>
  <c r="CD149" i="2"/>
  <c r="CD52" i="2"/>
  <c r="CD99" i="2"/>
  <c r="CD29" i="2"/>
  <c r="CD107" i="2"/>
  <c r="CD91" i="2"/>
  <c r="CD158" i="2"/>
  <c r="CD94" i="2"/>
  <c r="CD134" i="2"/>
  <c r="CD88" i="2"/>
  <c r="CD138" i="2"/>
  <c r="CD145" i="2"/>
  <c r="CD20" i="2"/>
  <c r="CD75" i="2"/>
  <c r="CD176" i="2"/>
  <c r="CD18" i="2"/>
  <c r="CD14" i="2"/>
  <c r="CD112" i="2"/>
  <c r="CD160" i="2"/>
  <c r="CD3" i="2"/>
  <c r="C9" i="4" s="1"/>
  <c r="E9" i="4" s="1"/>
  <c r="F9" i="4" s="1"/>
  <c r="G9" i="4" s="1"/>
  <c r="L9" i="4" s="1"/>
  <c r="M9" i="4" s="1"/>
  <c r="CD157" i="2"/>
  <c r="CD82" i="2"/>
  <c r="CD27" i="2"/>
  <c r="CD76" i="2"/>
  <c r="CD173" i="2"/>
  <c r="CD38" i="2"/>
  <c r="CD90" i="2"/>
  <c r="CD174" i="2"/>
  <c r="CD4" i="2"/>
  <c r="CD182" i="2"/>
  <c r="CD116" i="2"/>
  <c r="CD96" i="2"/>
  <c r="CD63" i="2"/>
  <c r="CD125" i="2"/>
  <c r="CD131" i="2"/>
  <c r="CD184" i="2"/>
  <c r="CD32" i="2"/>
  <c r="CD144" i="2"/>
  <c r="CD89" i="2"/>
  <c r="CD84" i="2"/>
  <c r="CD172" i="2"/>
  <c r="CD191" i="2"/>
  <c r="CD114" i="2"/>
  <c r="CD12" i="2"/>
  <c r="CD129" i="2"/>
  <c r="CD147" i="2"/>
  <c r="CD140" i="2"/>
  <c r="CD54" i="2"/>
  <c r="CD127" i="2"/>
  <c r="CD35" i="2"/>
  <c r="CD189" i="2"/>
  <c r="CD113" i="2"/>
  <c r="CD141" i="2"/>
  <c r="CD30" i="2"/>
  <c r="CD48" i="2"/>
  <c r="CD162" i="2"/>
  <c r="CD58" i="2"/>
  <c r="CD7" i="2"/>
  <c r="CD137" i="2"/>
  <c r="CD23" i="2"/>
  <c r="CD16" i="2"/>
  <c r="CD41" i="2"/>
  <c r="CD33" i="2"/>
  <c r="CD120" i="2"/>
  <c r="CD108" i="2"/>
  <c r="CD100" i="2"/>
  <c r="CD73" i="2"/>
  <c r="CD15" i="2"/>
  <c r="CD128" i="2"/>
  <c r="CD87" i="2"/>
  <c r="CD49" i="2"/>
  <c r="CD31" i="2"/>
  <c r="CD28" i="2"/>
  <c r="CD53" i="2"/>
  <c r="CD148" i="2"/>
  <c r="CD66" i="2"/>
  <c r="CD167" i="2"/>
  <c r="CD163" i="2"/>
  <c r="CD203" i="2"/>
  <c r="CD156" i="2"/>
  <c r="CD188" i="2"/>
  <c r="CD9" i="2"/>
  <c r="CD124" i="2"/>
  <c r="CD77" i="2"/>
  <c r="CD155" i="2"/>
  <c r="CD39" i="2"/>
  <c r="CD142" i="2"/>
  <c r="CD46" i="2"/>
  <c r="CD126" i="2"/>
  <c r="CD180" i="2"/>
  <c r="CD22" i="2"/>
  <c r="CD37" i="2"/>
  <c r="CD5" i="2"/>
  <c r="CD101" i="2"/>
  <c r="CD161" i="2"/>
  <c r="CD8" i="2"/>
  <c r="CD183" i="2"/>
  <c r="CD104" i="2"/>
  <c r="CD190" i="2"/>
  <c r="CD202" i="2"/>
  <c r="CD95" i="2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<sst xmlns="http://schemas.openxmlformats.org/spreadsheetml/2006/main" count="1172" uniqueCount="324">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</sst>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4.084527661283782</c:v>
                </c:pt>
                <c:pt idx="2">
                  <c:v>7.977032477968919</c:v>
                </c:pt>
                <c:pt idx="3">
                  <c:v>11.807523554792517</c:v>
                </c:pt>
                <c:pt idx="4">
                  <c:v>15.599787919464907</c:v>
                </c:pt>
                <c:pt idx="5">
                  <c:v>19.364606632734734</c:v>
                </c:pt>
                <c:pt idx="6">
                  <c:v>23.108129661774896</c:v>
                </c:pt>
                <c:pt idx="7">
                  <c:v>26.834321652629797</c:v>
                </c:pt>
                <c:pt idx="8">
                  <c:v>30.545944137793523</c:v>
                </c:pt>
                <c:pt idx="9">
                  <c:v>34.245026878778702</c:v>
                </c:pt>
                <c:pt idx="10">
                  <c:v>37.933122117601016</c:v>
                </c:pt>
                <c:pt idx="11">
                  <c:v>41.611453683053661</c:v>
                </c:pt>
                <c:pt idx="12">
                  <c:v>45.281010126914033</c:v>
                </c:pt>
                <c:pt idx="13">
                  <c:v>48.942605847097703</c:v>
                </c:pt>
                <c:pt idx="14">
                  <c:v>52.596922832142219</c:v>
                </c:pt>
                <c:pt idx="15">
                  <c:v>56.244540122981597</c:v>
                </c:pt>
                <c:pt idx="16">
                  <c:v>59.885955187222827</c:v>
                </c:pt>
                <c:pt idx="17">
                  <c:v>63.521599794402</c:v>
                </c:pt>
                <c:pt idx="18">
                  <c:v>67.151852048112687</c:v>
                </c:pt>
                <c:pt idx="19">
                  <c:v>70.777045667672184</c:v>
                </c:pt>
                <c:pt idx="20">
                  <c:v>74.397477260008742</c:v>
                </c:pt>
                <c:pt idx="21">
                  <c:v>78.013412095840138</c:v>
                </c:pt>
                <c:pt idx="22">
                  <c:v>81.625088754455007</c:v>
                </c:pt>
                <c:pt idx="23">
                  <c:v>85.232722900115888</c:v>
                </c:pt>
                <c:pt idx="24">
                  <c:v>88.836510383164764</c:v>
                </c:pt>
                <c:pt idx="25">
                  <c:v>92.436629809713835</c:v>
                </c:pt>
                <c:pt idx="26">
                  <c:v>96.033244688612243</c:v>
                </c:pt>
                <c:pt idx="27">
                  <c:v>99.626505238819732</c:v>
                </c:pt>
                <c:pt idx="28">
                  <c:v>103.21654992149411</c:v>
                </c:pt>
                <c:pt idx="29">
                  <c:v>106.80350674705862</c:v>
                </c:pt>
                <c:pt idx="30">
                  <c:v>110.38749439691907</c:v>
                </c:pt>
                <c:pt idx="31">
                  <c:v>113.96862319141734</c:v>
                </c:pt>
                <c:pt idx="32">
                  <c:v>117.54699592937895</c:v>
                </c:pt>
                <c:pt idx="33">
                  <c:v>121.12270861976965</c:v>
                </c:pt>
                <c:pt idx="34">
                  <c:v>124.69585112217389</c:v>
                </c:pt>
                <c:pt idx="35">
                  <c:v>128.26650770980592</c:v>
                </c:pt>
                <c:pt idx="36">
                  <c:v>131.83475756636844</c:v>
                </c:pt>
                <c:pt idx="37">
                  <c:v>135.40067522615212</c:v>
                </c:pt>
                <c:pt idx="38">
                  <c:v>138.96433096521923</c:v>
                </c:pt>
                <c:pt idx="39">
                  <c:v>142.52579115025171</c:v>
                </c:pt>
                <c:pt idx="40">
                  <c:v>138.21863336594339</c:v>
                </c:pt>
                <c:pt idx="41">
                  <c:v>160.79763421333092</c:v>
                </c:pt>
                <c:pt idx="42">
                  <c:v>183.30146597523685</c:v>
                </c:pt>
                <c:pt idx="43">
                  <c:v>205.74066387684888</c:v>
                </c:pt>
                <c:pt idx="44">
                  <c:v>228.12327134116723</c:v>
                </c:pt>
                <c:pt idx="45">
                  <c:v>250.45562182479364</c:v>
                </c:pt>
                <c:pt idx="46">
                  <c:v>272.74282588179989</c:v>
                </c:pt>
                <c:pt idx="47">
                  <c:v>247.41996334296735</c:v>
                </c:pt>
                <c:pt idx="48">
                  <c:v>275.16610520718865</c:v>
                </c:pt>
                <c:pt idx="49">
                  <c:v>302.84939317173189</c:v>
                </c:pt>
                <c:pt idx="50">
                  <c:v>330.47637665705423</c:v>
                </c:pt>
                <c:pt idx="51">
                  <c:v>358.05242042111337</c:v>
                </c:pt>
                <c:pt idx="52">
                  <c:v>385.58199552882746</c:v>
                </c:pt>
                <c:pt idx="53">
                  <c:v>413.06888274647389</c:v>
                </c:pt>
                <c:pt idx="54">
                  <c:v>362.41802448024464</c:v>
                </c:pt>
                <c:pt idx="55">
                  <c:v>390.69197424917303</c:v>
                </c:pt>
                <c:pt idx="56">
                  <c:v>418.92154330978639</c:v>
                </c:pt>
                <c:pt idx="57">
                  <c:v>447.11013933340678</c:v>
                </c:pt>
                <c:pt idx="58">
                  <c:v>475.26070558908555</c:v>
                </c:pt>
                <c:pt idx="59">
                  <c:v>503.37580854956201</c:v>
                </c:pt>
                <c:pt idx="60">
                  <c:v>531.45770490349082</c:v>
                </c:pt>
                <c:pt idx="61">
                  <c:v>452.42863472219898</c:v>
                </c:pt>
                <c:pt idx="62">
                  <c:v>478.10369660688593</c:v>
                </c:pt>
                <c:pt idx="63">
                  <c:v>503.74945118203073</c:v>
                </c:pt>
                <c:pt idx="64">
                  <c:v>529.36759860582617</c:v>
                </c:pt>
                <c:pt idx="65">
                  <c:v>554.95966123040205</c:v>
                </c:pt>
                <c:pt idx="66">
                  <c:v>580.52700970317755</c:v>
                </c:pt>
                <c:pt idx="67">
                  <c:v>606.07088423326923</c:v>
                </c:pt>
                <c:pt idx="68">
                  <c:v>631.59241208851074</c:v>
                </c:pt>
                <c:pt idx="69">
                  <c:v>657.09262211943212</c:v>
                </c:pt>
                <c:pt idx="70">
                  <c:v>682.57245691334526</c:v>
                </c:pt>
                <c:pt idx="71">
                  <c:v>599.60887476415689</c:v>
                </c:pt>
                <c:pt idx="72">
                  <c:v>620.76144546895819</c:v>
                </c:pt>
                <c:pt idx="73">
                  <c:v>641.89909031748209</c:v>
                </c:pt>
                <c:pt idx="74">
                  <c:v>663.02236948740347</c:v>
                </c:pt>
                <c:pt idx="75">
                  <c:v>684.13180459058583</c:v>
                </c:pt>
                <c:pt idx="76">
                  <c:v>705.22788246011771</c:v>
                </c:pt>
                <c:pt idx="77">
                  <c:v>726.31105846108574</c:v>
                </c:pt>
                <c:pt idx="78">
                  <c:v>747.38175939732446</c:v>
                </c:pt>
                <c:pt idx="79">
                  <c:v>768.44038607367747</c:v>
                </c:pt>
                <c:pt idx="80">
                  <c:v>789.48731556309076</c:v>
                </c:pt>
                <c:pt idx="81">
                  <c:v>702.83834275591789</c:v>
                </c:pt>
                <c:pt idx="82">
                  <c:v>719.97704988947817</c:v>
                </c:pt>
                <c:pt idx="83">
                  <c:v>737.10743293553867</c:v>
                </c:pt>
                <c:pt idx="84">
                  <c:v>754.22971241532616</c:v>
                </c:pt>
                <c:pt idx="85">
                  <c:v>771.34409803091182</c:v>
                </c:pt>
                <c:pt idx="86">
                  <c:v>788.4507894291778</c:v>
                </c:pt>
                <c:pt idx="87">
                  <c:v>805.54997689609843</c:v>
                </c:pt>
                <c:pt idx="88">
                  <c:v>822.64184198907424</c:v>
                </c:pt>
                <c:pt idx="89">
                  <c:v>839.72655811403308</c:v>
                </c:pt>
                <c:pt idx="90">
                  <c:v>856.80429105317899</c:v>
                </c:pt>
                <c:pt idx="91">
                  <c:v>767.19587003427159</c:v>
                </c:pt>
                <c:pt idx="92">
                  <c:v>781.19433248460291</c:v>
                </c:pt>
                <c:pt idx="93">
                  <c:v>795.18771850434086</c:v>
                </c:pt>
                <c:pt idx="94">
                  <c:v>809.17612994183492</c:v>
                </c:pt>
                <c:pt idx="95">
                  <c:v>823.15966483992145</c:v>
                </c:pt>
                <c:pt idx="96">
                  <c:v>837.13841764167694</c:v>
                </c:pt>
                <c:pt idx="97">
                  <c:v>851.11247938172812</c:v>
                </c:pt>
                <c:pt idx="98">
                  <c:v>865.08193786435675</c:v>
                </c:pt>
                <c:pt idx="99">
                  <c:v>879.04687782951203</c:v>
                </c:pt>
                <c:pt idx="100">
                  <c:v>893.00738110773943</c:v>
                </c:pt>
                <c:pt idx="101">
                  <c:v>801.40539848684466</c:v>
                </c:pt>
                <c:pt idx="102">
                  <c:v>813.31990361047167</c:v>
                </c:pt>
                <c:pt idx="103">
                  <c:v>825.23089069619891</c:v>
                </c:pt>
                <c:pt idx="104">
                  <c:v>837.13841764167694</c:v>
                </c:pt>
                <c:pt idx="105">
                  <c:v>849.04254056439913</c:v>
                </c:pt>
                <c:pt idx="106">
                  <c:v>860.94331388114563</c:v>
                </c:pt>
                <c:pt idx="107">
                  <c:v>872.84079038281186</c:v>
                </c:pt>
                <c:pt idx="108">
                  <c:v>884.73502130494455</c:v>
                </c:pt>
                <c:pt idx="109">
                  <c:v>896.62605639429569</c:v>
                </c:pt>
                <c:pt idx="110">
                  <c:v>908.51394397166393</c:v>
                </c:pt>
                <c:pt idx="111">
                  <c:v>815.28804685638249</c:v>
                </c:pt>
                <c:pt idx="112">
                  <c:v>825.54156554123881</c:v>
                </c:pt>
                <c:pt idx="113">
                  <c:v>835.79252105841726</c:v>
                </c:pt>
                <c:pt idx="114">
                  <c:v>846.04094925682728</c:v>
                </c:pt>
                <c:pt idx="115">
                  <c:v>856.28688504661523</c:v>
                </c:pt>
                <c:pt idx="116">
                  <c:v>866.53036243492045</c:v>
                </c:pt>
                <c:pt idx="117">
                  <c:v>876.771414559856</c:v>
                </c:pt>
                <c:pt idx="118">
                  <c:v>887.01007372281811</c:v>
                </c:pt>
                <c:pt idx="119">
                  <c:v>897.24637141923097</c:v>
                </c:pt>
                <c:pt idx="120">
                  <c:v>907.48033836781269</c:v>
                </c:pt>
                <c:pt idx="121">
                  <c:v>813.21631446613674</c:v>
                </c:pt>
                <c:pt idx="122">
                  <c:v>822.43471101104387</c:v>
                </c:pt>
                <c:pt idx="123">
                  <c:v>831.65102712668977</c:v>
                </c:pt>
                <c:pt idx="124">
                  <c:v>840.86528910597087</c:v>
                </c:pt>
                <c:pt idx="125">
                  <c:v>850.07752261887833</c:v>
                </c:pt>
                <c:pt idx="126">
                  <c:v>859.28775273398878</c:v>
                </c:pt>
                <c:pt idx="127">
                  <c:v>868.49600393898572</c:v>
                </c:pt>
                <c:pt idx="128">
                  <c:v>877.70230016026505</c:v>
                </c:pt>
                <c:pt idx="129">
                  <c:v>886.90666478167714</c:v>
                </c:pt>
                <c:pt idx="130">
                  <c:v>896.1091206624518</c:v>
                </c:pt>
                <c:pt idx="131">
                  <c:v>801.09453768922901</c:v>
                </c:pt>
                <c:pt idx="132">
                  <c:v>809.59052653168317</c:v>
                </c:pt>
                <c:pt idx="133">
                  <c:v>818.08471732620694</c:v>
                </c:pt>
                <c:pt idx="134">
                  <c:v>826.57713136538484</c:v>
                </c:pt>
                <c:pt idx="135">
                  <c:v>835.06778946880468</c:v>
                </c:pt>
                <c:pt idx="136">
                  <c:v>843.55671199836843</c:v>
                </c:pt>
                <c:pt idx="137">
                  <c:v>852.04391887295651</c:v>
                </c:pt>
                <c:pt idx="138">
                  <c:v>860.5294295824757</c:v>
                </c:pt>
                <c:pt idx="139">
                  <c:v>869.01326320132659</c:v>
                </c:pt>
                <c:pt idx="140">
                  <c:v>877.49543840131776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9" zoomScale="90" zoomScaleNormal="90" workbookViewId="0">
      <selection activeCell="F42" sqref="F4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8.1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0.49380000000000002</v>
      </c>
      <c r="D9" s="36">
        <f t="shared" ref="D9:D18" si="0">C9*$C$5</f>
        <v>3.9997799999999999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0.1234</v>
      </c>
      <c r="D10" s="36">
        <f t="shared" si="0"/>
        <v>0.99953999999999987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0.30859999999999999</v>
      </c>
      <c r="D11" s="36">
        <f t="shared" si="0"/>
        <v>2.49966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46</v>
      </c>
      <c r="C12" s="35">
        <v>7.3999999999999996E-2</v>
      </c>
      <c r="D12" s="36">
        <f t="shared" si="0"/>
        <v>0.59939999999999993</v>
      </c>
      <c r="E12" s="37">
        <v>140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0.99979999999999991</v>
      </c>
      <c r="D19" s="41">
        <f>SUM(D9:D18)</f>
        <v>8.0983799999999988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115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250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257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337</v>
      </c>
      <c r="C40" s="63">
        <v>5</v>
      </c>
      <c r="D40" s="63">
        <v>67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345</v>
      </c>
      <c r="C41" s="63">
        <v>6</v>
      </c>
      <c r="D41" s="63">
        <v>69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353</v>
      </c>
      <c r="C42" s="63">
        <v>7</v>
      </c>
      <c r="D42" s="63">
        <v>71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365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375</v>
      </c>
      <c r="C44" s="63">
        <v>9</v>
      </c>
      <c r="D44" s="63">
        <v>375</v>
      </c>
      <c r="E44" s="54"/>
      <c r="F44" s="54"/>
      <c r="G44" s="54"/>
      <c r="H44" s="54"/>
      <c r="I44" s="52">
        <f t="shared" si="1"/>
        <v>8.3000000000000007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28</v>
      </c>
      <c r="C62" s="63">
        <v>1</v>
      </c>
      <c r="D62" s="63">
        <v>4</v>
      </c>
      <c r="E62" s="54"/>
      <c r="F62" s="54"/>
      <c r="G62" s="54"/>
      <c r="H62" s="54">
        <v>1</v>
      </c>
      <c r="I62" s="56">
        <f>IFERROR(B62/A62,"")</f>
        <v>5.6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79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113</v>
      </c>
      <c r="C64" s="63">
        <v>3</v>
      </c>
      <c r="D64" s="63">
        <v>17</v>
      </c>
      <c r="E64" s="54">
        <v>0.2</v>
      </c>
      <c r="F64" s="54"/>
      <c r="G64" s="54"/>
      <c r="H64" s="54">
        <v>0.8</v>
      </c>
      <c r="I64" s="52">
        <f>IF(A64&lt;&gt;0,(B64-(B63-D63))/(A64-A63),"")</f>
        <v>11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145</v>
      </c>
      <c r="C65" s="63">
        <v>4</v>
      </c>
      <c r="D65" s="63">
        <v>14</v>
      </c>
      <c r="E65" s="54">
        <v>0.8</v>
      </c>
      <c r="F65" s="54"/>
      <c r="G65" s="54"/>
      <c r="H65" s="54">
        <v>0.2</v>
      </c>
      <c r="I65" s="52">
        <f>IF(A65&lt;&gt;0,(B65-(B64-D64))/(A65-A64),"")</f>
        <v>9.8000000000000007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173</v>
      </c>
      <c r="C66" s="63">
        <v>5</v>
      </c>
      <c r="D66" s="63">
        <v>11</v>
      </c>
      <c r="E66" s="54">
        <v>0.8</v>
      </c>
      <c r="F66" s="54"/>
      <c r="G66" s="54"/>
      <c r="H66" s="54">
        <v>0.2</v>
      </c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196</v>
      </c>
      <c r="C67" s="63">
        <v>6</v>
      </c>
      <c r="D67" s="63">
        <v>9</v>
      </c>
      <c r="E67" s="54">
        <v>0.9</v>
      </c>
      <c r="F67" s="54"/>
      <c r="G67" s="54"/>
      <c r="H67" s="54">
        <v>0.1</v>
      </c>
      <c r="I67" s="52">
        <f t="shared" si="2"/>
        <v>6.8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216</v>
      </c>
      <c r="C68" s="63">
        <v>7</v>
      </c>
      <c r="D68" s="63">
        <v>7</v>
      </c>
      <c r="E68" s="54"/>
      <c r="F68" s="54"/>
      <c r="G68" s="54"/>
      <c r="H68" s="54"/>
      <c r="I68" s="52">
        <f t="shared" si="2"/>
        <v>5.8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233</v>
      </c>
      <c r="C69" s="53">
        <v>8</v>
      </c>
      <c r="D69" s="53">
        <v>6</v>
      </c>
      <c r="E69" s="54"/>
      <c r="F69" s="54"/>
      <c r="G69" s="54"/>
      <c r="H69" s="54"/>
      <c r="I69" s="52">
        <f t="shared" si="2"/>
        <v>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252</v>
      </c>
      <c r="C70" s="53">
        <v>9</v>
      </c>
      <c r="D70" s="53">
        <v>252</v>
      </c>
      <c r="E70" s="54"/>
      <c r="F70" s="54"/>
      <c r="G70" s="54"/>
      <c r="H70" s="54"/>
      <c r="I70" s="52">
        <f t="shared" si="2"/>
        <v>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123</v>
      </c>
      <c r="C88" s="63">
        <v>1</v>
      </c>
      <c r="D88" s="63">
        <v>16</v>
      </c>
      <c r="E88" s="54"/>
      <c r="F88" s="54"/>
      <c r="G88" s="54">
        <v>1</v>
      </c>
      <c r="H88" s="93"/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144</v>
      </c>
      <c r="C89" s="63">
        <v>2</v>
      </c>
      <c r="D89" s="63">
        <v>17</v>
      </c>
      <c r="E89" s="54"/>
      <c r="F89" s="54"/>
      <c r="G89" s="54">
        <v>1</v>
      </c>
      <c r="H89" s="93"/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194</v>
      </c>
      <c r="C90" s="63">
        <v>3</v>
      </c>
      <c r="D90" s="63">
        <v>34</v>
      </c>
      <c r="E90" s="93"/>
      <c r="F90" s="93">
        <v>0.2</v>
      </c>
      <c r="G90" s="93">
        <v>0.8</v>
      </c>
      <c r="H90" s="93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233</v>
      </c>
      <c r="C91" s="63">
        <v>4</v>
      </c>
      <c r="D91" s="63">
        <v>41</v>
      </c>
      <c r="E91" s="93"/>
      <c r="F91" s="93"/>
      <c r="G91" s="93"/>
      <c r="H91" s="93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264</v>
      </c>
      <c r="C92" s="63">
        <v>5</v>
      </c>
      <c r="D92" s="63">
        <v>41</v>
      </c>
      <c r="E92" s="93"/>
      <c r="F92" s="93"/>
      <c r="G92" s="93"/>
      <c r="H92" s="93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306</v>
      </c>
      <c r="C93" s="63">
        <v>6</v>
      </c>
      <c r="D93" s="63">
        <v>53</v>
      </c>
      <c r="E93" s="93"/>
      <c r="F93" s="93"/>
      <c r="G93" s="93"/>
      <c r="H93" s="93"/>
      <c r="I93" s="56">
        <f t="shared" si="3"/>
        <v>16.600000000000001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340</v>
      </c>
      <c r="C94" s="63">
        <v>7</v>
      </c>
      <c r="D94" s="63">
        <v>53</v>
      </c>
      <c r="E94" s="93"/>
      <c r="F94" s="93"/>
      <c r="G94" s="93"/>
      <c r="H94" s="93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428</v>
      </c>
      <c r="C95" s="63">
        <v>8</v>
      </c>
      <c r="D95" s="63">
        <v>78</v>
      </c>
      <c r="E95" s="93"/>
      <c r="F95" s="93"/>
      <c r="G95" s="93"/>
      <c r="H95" s="93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483</v>
      </c>
      <c r="C96" s="63">
        <v>9</v>
      </c>
      <c r="D96" s="63">
        <v>65</v>
      </c>
      <c r="E96" s="93"/>
      <c r="F96" s="93"/>
      <c r="G96" s="93"/>
      <c r="H96" s="93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521</v>
      </c>
      <c r="C97" s="63">
        <v>10</v>
      </c>
      <c r="D97" s="63">
        <v>37</v>
      </c>
      <c r="E97" s="93"/>
      <c r="F97" s="93"/>
      <c r="G97" s="93"/>
      <c r="H97" s="93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555</v>
      </c>
      <c r="C98" s="63">
        <v>11</v>
      </c>
      <c r="D98" s="63">
        <v>555</v>
      </c>
      <c r="E98" s="93"/>
      <c r="F98" s="93"/>
      <c r="G98" s="93"/>
      <c r="H98" s="93"/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Sapin pectiné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39</v>
      </c>
      <c r="B114" s="63">
        <v>129</v>
      </c>
      <c r="C114" s="53">
        <v>1</v>
      </c>
      <c r="D114" s="63">
        <v>25</v>
      </c>
      <c r="E114" s="54"/>
      <c r="F114" s="54"/>
      <c r="G114" s="54"/>
      <c r="H114" s="54"/>
      <c r="I114" s="56">
        <f>IFERROR(B114/A114,"")</f>
        <v>3.3076923076923075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46</v>
      </c>
      <c r="B115" s="63">
        <v>251</v>
      </c>
      <c r="C115" s="53">
        <v>2</v>
      </c>
      <c r="D115" s="63">
        <v>50</v>
      </c>
      <c r="E115" s="54"/>
      <c r="F115" s="54"/>
      <c r="G115" s="54"/>
      <c r="H115" s="54"/>
      <c r="I115" s="56">
        <f t="shared" ref="I115:I133" si="4">IF(A115&lt;&gt;0,(B115-(B114-D114))/(A115-A114),"")</f>
        <v>21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53</v>
      </c>
      <c r="B116" s="63">
        <v>384</v>
      </c>
      <c r="C116" s="53">
        <v>3</v>
      </c>
      <c r="D116" s="63">
        <v>75</v>
      </c>
      <c r="E116" s="54"/>
      <c r="F116" s="54"/>
      <c r="G116" s="54"/>
      <c r="H116" s="54"/>
      <c r="I116" s="56">
        <f t="shared" si="4"/>
        <v>26.142857142857142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60</v>
      </c>
      <c r="B117" s="63">
        <v>497</v>
      </c>
      <c r="C117" s="53">
        <v>4</v>
      </c>
      <c r="D117" s="63">
        <v>100</v>
      </c>
      <c r="E117" s="54"/>
      <c r="F117" s="54"/>
      <c r="G117" s="54"/>
      <c r="H117" s="54"/>
      <c r="I117" s="56">
        <f t="shared" si="4"/>
        <v>26.857142857142858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70</v>
      </c>
      <c r="B118" s="63">
        <v>642</v>
      </c>
      <c r="C118" s="53">
        <v>5</v>
      </c>
      <c r="D118" s="63">
        <v>100</v>
      </c>
      <c r="E118" s="54"/>
      <c r="F118" s="54"/>
      <c r="G118" s="54"/>
      <c r="H118" s="54"/>
      <c r="I118" s="56">
        <f t="shared" si="4"/>
        <v>24.5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80</v>
      </c>
      <c r="B119" s="63">
        <v>745</v>
      </c>
      <c r="C119" s="53">
        <v>6</v>
      </c>
      <c r="D119" s="63">
        <v>100</v>
      </c>
      <c r="E119" s="54"/>
      <c r="F119" s="54"/>
      <c r="G119" s="54"/>
      <c r="H119" s="54"/>
      <c r="I119" s="56">
        <f t="shared" si="4"/>
        <v>20.3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90</v>
      </c>
      <c r="B120" s="63">
        <v>810</v>
      </c>
      <c r="C120" s="63">
        <v>7</v>
      </c>
      <c r="D120" s="63">
        <v>100</v>
      </c>
      <c r="E120" s="93"/>
      <c r="F120" s="93"/>
      <c r="G120" s="93"/>
      <c r="H120" s="93"/>
      <c r="I120" s="56">
        <f t="shared" si="4"/>
        <v>16.5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100</v>
      </c>
      <c r="B121" s="63">
        <v>845</v>
      </c>
      <c r="C121" s="63">
        <v>8</v>
      </c>
      <c r="D121" s="63">
        <v>100</v>
      </c>
      <c r="E121" s="93"/>
      <c r="F121" s="93"/>
      <c r="G121" s="93"/>
      <c r="H121" s="93"/>
      <c r="I121" s="56">
        <f t="shared" si="4"/>
        <v>13.5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110</v>
      </c>
      <c r="B122" s="63">
        <v>860</v>
      </c>
      <c r="C122" s="63">
        <v>9</v>
      </c>
      <c r="D122" s="63">
        <v>100</v>
      </c>
      <c r="E122" s="93"/>
      <c r="F122" s="93"/>
      <c r="G122" s="93"/>
      <c r="H122" s="93"/>
      <c r="I122" s="56">
        <f t="shared" si="4"/>
        <v>11.5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120</v>
      </c>
      <c r="B123" s="63">
        <v>859</v>
      </c>
      <c r="C123" s="63">
        <v>10</v>
      </c>
      <c r="D123" s="63">
        <v>100</v>
      </c>
      <c r="E123" s="93"/>
      <c r="F123" s="93"/>
      <c r="G123" s="93"/>
      <c r="H123" s="93"/>
      <c r="I123" s="56">
        <f t="shared" si="4"/>
        <v>9.9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130</v>
      </c>
      <c r="B124" s="63">
        <v>848</v>
      </c>
      <c r="C124" s="63">
        <v>11</v>
      </c>
      <c r="D124" s="63">
        <v>100</v>
      </c>
      <c r="E124" s="93"/>
      <c r="F124" s="93"/>
      <c r="G124" s="93"/>
      <c r="H124" s="93"/>
      <c r="I124" s="56">
        <f t="shared" si="4"/>
        <v>8.9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140</v>
      </c>
      <c r="B125" s="63">
        <v>830</v>
      </c>
      <c r="C125" s="63">
        <v>12</v>
      </c>
      <c r="D125" s="63">
        <v>830</v>
      </c>
      <c r="E125" s="93"/>
      <c r="F125" s="93"/>
      <c r="G125" s="93"/>
      <c r="H125" s="93"/>
      <c r="I125" s="56">
        <f t="shared" si="4"/>
        <v>8.1999999999999993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13" sqref="G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Cèdre de l'Atlas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Robinier faux-acacia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Pin laricio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Sapin pectiné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165.12229410621887</v>
      </c>
      <c r="T3" s="62">
        <f>IF('Données projet'!E9&gt;30,$R$33-$H$33,LOOKUP('Données projet'!$E$9,$A$3:$A$203,R3:R203)-LOOKUP('Données projet'!$E$9,$A$3:$A$203,$H$3:$H$203))</f>
        <v>148.17171564653341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249.03969036629979</v>
      </c>
      <c r="AO3" s="62">
        <f>IF('Données projet'!E10&gt;30,$AM$33-$H$33,LOOKUP('Données projet'!$E$10,$A$3:$A$203,AM3:AM203)-LOOKUP('Données projet'!$E$10,$A$3:$A$203,$H$3:$H$203))</f>
        <v>347.8713931923707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280.57175994295949</v>
      </c>
      <c r="BJ3" s="62">
        <f>IF('Données projet'!E11&gt;30,$BH$33-$H$33,LOOKUP('Données projet'!$E$11,$A$3:$A$203,BH3:BH203)-LOOKUP('Données projet'!$E$11,$A$3:$A$203,$H$3:$H$203))</f>
        <v>216.69635818716841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426.64691649521097</v>
      </c>
      <c r="CE3" s="62">
        <f>IF('Données projet'!E12&gt;30,$CC$33-$H$33,LOOKUP('Données projet'!$E$12,$A$3:$A$203,CC3:CC203)-LOOKUP('Données projet'!$E$12,$A$3:$A$203,$H$3:$H$203))</f>
        <v>71.485487617222645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0.55900000000000005</v>
      </c>
      <c r="D4" s="12">
        <f>IFERROR(EXP(-1.0587+0.8836*LN(C4)+0.284),0)</f>
        <v>0.2756545328031752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6.4429472707613522</v>
      </c>
      <c r="H4" s="70">
        <f t="shared" ref="H4:H67" si="1">(B4+E4+F4)*44/12+(C4+D4)*0.475*44/12</f>
        <v>294.78702331129887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294.87272302715274</v>
      </c>
      <c r="S4" s="62">
        <f ca="1">AVERAGE(OFFSET($R$3,0,0,'Données projet'!$E$9+1,1))-AVERAGE(OFFSET($H$3,0,0,'Données projet'!$E$9+1,1))</f>
        <v>165.12229410621887</v>
      </c>
      <c r="T4" s="62">
        <f>$T$3</f>
        <v>148.17171564653341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</v>
      </c>
      <c r="AI4" s="14">
        <f>IF('Données projet'!$A$62&gt;35,AI3+AH4-AQ3,IF(A4&lt;'Données projet'!$A$62,$AF$205^A4,IF(A4='Données projet'!$A$62,'Données projet'!$B$62,AI3+AH4-AQ3)))</f>
        <v>1.9472943612303364</v>
      </c>
      <c r="AJ4" s="14">
        <f>AI4*VLOOKUP('Données projet'!$B$10,Paramètres!$A$1:$I$89,3,0)*VLOOKUP('Données projet'!$B$10,Paramètres!$A$1:$I$89,5,0)</f>
        <v>1.7619119380412083</v>
      </c>
      <c r="AK4" s="14">
        <f>EXP(-1.0587+0.8836*LN(AJ4)+0.284)</f>
        <v>0.76015770586189668</v>
      </c>
      <c r="AL4" s="22">
        <f t="shared" ref="AL4:AL67" si="4">(AJ4+AK4)*0.475*44/12</f>
        <v>4.3926046297979076</v>
      </c>
      <c r="AM4" s="62">
        <f t="shared" ref="AM4:AM67" si="5">AL4+(AD4+AE4)*44/12</f>
        <v>297.72593796313123</v>
      </c>
      <c r="AN4" s="62">
        <f ca="1">AVERAGE(OFFSET($AM$3,0,0,'Données projet'!$E$10+1,1))-AVERAGE(OFFSET($H$3,0,0,'Données projet'!$E$10+1,1))</f>
        <v>249.03969036629979</v>
      </c>
      <c r="AO4" s="62">
        <f>$AO$3</f>
        <v>347.8713931923707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295.24773087079586</v>
      </c>
      <c r="BI4" s="62">
        <f ca="1">AVERAGE(OFFSET($BH$3,0,0,'Données projet'!$E$11+1,1))-AVERAGE(OFFSET($H$3,0,0,'Données projet'!$E$11+1,1))</f>
        <v>280.57175994295949</v>
      </c>
      <c r="BJ4" s="62">
        <f>$BJ$3</f>
        <v>216.69635818716841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3.3076923076923075</v>
      </c>
      <c r="BY4" s="13">
        <f>IF('Données projet'!$A$114&gt;35,BY3+BX4-CG3,IF(A4&lt;'Données projet'!$A$114,$BV$205^A4,IF(A4='Données projet'!$A$114,'Données projet'!$B$114,BY3+BX4-CG3)))</f>
        <v>3.3076923076923075</v>
      </c>
      <c r="BZ4" s="14">
        <f>BY4*VLOOKUP('Données projet'!$B$12,Paramètres!$A$1:$I$89,3,0)*VLOOKUP('Données projet'!$B$12,Paramètres!$A$1:$I$89,5,0)</f>
        <v>1.6339999999999999</v>
      </c>
      <c r="CA4" s="14">
        <f>EXP(-1.0587+0.8836*LN(BZ4)+0.284)</f>
        <v>0.71118334619164514</v>
      </c>
      <c r="CB4" s="22">
        <f t="shared" ref="CB4:CB67" si="10">(BZ4+CA4)*0.475*44/12</f>
        <v>4.084527661283782</v>
      </c>
      <c r="CC4" s="62">
        <f t="shared" ref="CC4:CC67" si="11">CB4+(BT4+BU4)*44/12</f>
        <v>297.41786099461712</v>
      </c>
      <c r="CD4" s="62">
        <f ca="1">AVERAGE(OFFSET($CC$3,0,0,'Données projet'!$E$12+1,1))-AVERAGE(OFFSET($H$3,0,0,'Données projet'!$E$12+1,1))</f>
        <v>426.64691649521097</v>
      </c>
      <c r="CE4" s="62">
        <f>$CE$3</f>
        <v>71.485487617222645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1.1180000000000001</v>
      </c>
      <c r="D5" s="12">
        <f t="shared" ref="D5:D68" si="32">IFERROR(EXP(-1.0587+0.8836*LN(C5)+0.284),0)</f>
        <v>0.50857527486356202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12.556019665613462</v>
      </c>
      <c r="H5" s="70">
        <f t="shared" si="1"/>
        <v>296.16628527038733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295.26742630939128</v>
      </c>
      <c r="S5" s="62">
        <f ca="1">AVERAGE(OFFSET($R$3,0,0,'Données projet'!$E$9+1,1))-AVERAGE(OFFSET($H$3,0,0,'Données projet'!$E$9+1,1))</f>
        <v>165.12229410621887</v>
      </c>
      <c r="T5" s="62">
        <f t="shared" ref="T5:T68" si="34">$T$3</f>
        <v>148.17171564653341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</v>
      </c>
      <c r="AI5" s="14">
        <f>IF('Données projet'!$A$62&gt;35,AI4+AH5-AQ4,IF(A5&lt;'Données projet'!$A$62,$AF$205^A5,IF(A5='Données projet'!$A$62,'Données projet'!$B$62,AI4+AH5-AQ4)))</f>
        <v>3.7919553292794639</v>
      </c>
      <c r="AJ5" s="14">
        <f>AI5*VLOOKUP('Données projet'!$B$10,Paramètres!$A$1:$I$89,3,0)*VLOOKUP('Données projet'!$B$10,Paramètres!$A$1:$I$89,5,0)</f>
        <v>3.4309611819320587</v>
      </c>
      <c r="AK5" s="14">
        <f t="shared" ref="AK5:AK68" si="35">EXP(-1.0587+0.8836*LN(AJ5)+0.284)</f>
        <v>1.3697631223860498</v>
      </c>
      <c r="AL5" s="22">
        <f t="shared" si="4"/>
        <v>8.3612614966873711</v>
      </c>
      <c r="AM5" s="62">
        <f t="shared" si="5"/>
        <v>301.69459483002066</v>
      </c>
      <c r="AN5" s="62">
        <f ca="1">AVERAGE(OFFSET($AM$3,0,0,'Données projet'!$E$10+1,1))-AVERAGE(OFFSET($H$3,0,0,'Données projet'!$E$10+1,1))</f>
        <v>249.03969036629979</v>
      </c>
      <c r="AO5" s="62">
        <f t="shared" ref="AO5:AO68" si="36">$AO$3</f>
        <v>347.8713931923707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295.69646345569345</v>
      </c>
      <c r="BI5" s="62">
        <f ca="1">AVERAGE(OFFSET($BH$3,0,0,'Données projet'!$E$11+1,1))-AVERAGE(OFFSET($H$3,0,0,'Données projet'!$E$11+1,1))</f>
        <v>280.57175994295949</v>
      </c>
      <c r="BJ5" s="62">
        <f t="shared" ref="BJ5:BJ68" si="38">$BJ$3</f>
        <v>216.69635818716841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3.3076923076923075</v>
      </c>
      <c r="BY5" s="13">
        <f>IF('Données projet'!$A$114&gt;35,BY4+BX5-CG4,IF(A5&lt;'Données projet'!$A$114,$BV$205^A5,IF(A5='Données projet'!$A$114,'Données projet'!$B$114,BY4+BX5-CG4)))</f>
        <v>6.615384615384615</v>
      </c>
      <c r="BZ5" s="14">
        <f>BY5*VLOOKUP('Données projet'!$B$12,Paramètres!$A$1:$I$89,3,0)*VLOOKUP('Données projet'!$B$12,Paramètres!$A$1:$I$89,5,0)</f>
        <v>3.2679999999999998</v>
      </c>
      <c r="CA5" s="14">
        <f t="shared" ref="CA5:CA68" si="39">EXP(-1.0587+0.8836*LN(BZ5)+0.284)</f>
        <v>1.3121143414175611</v>
      </c>
      <c r="CB5" s="22">
        <f t="shared" si="10"/>
        <v>7.977032477968919</v>
      </c>
      <c r="CC5" s="62">
        <f t="shared" si="11"/>
        <v>301.31036581130223</v>
      </c>
      <c r="CD5" s="62">
        <f ca="1">AVERAGE(OFFSET($CC$3,0,0,'Données projet'!$E$12+1,1))-AVERAGE(OFFSET($H$3,0,0,'Données projet'!$E$12+1,1))</f>
        <v>426.64691649521097</v>
      </c>
      <c r="CE5" s="62">
        <f t="shared" ref="CE5:CE68" si="40">$CE$3</f>
        <v>71.485487617222645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1.677</v>
      </c>
      <c r="D6" s="12">
        <f t="shared" si="32"/>
        <v>0.72769514761613419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18.56255903422981</v>
      </c>
      <c r="H6" s="70">
        <f t="shared" si="1"/>
        <v>297.52151071543142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295.76373751603086</v>
      </c>
      <c r="S6" s="62">
        <f ca="1">AVERAGE(OFFSET($R$3,0,0,'Données projet'!$E$9+1,1))-AVERAGE(OFFSET($H$3,0,0,'Données projet'!$E$9+1,1))</f>
        <v>165.12229410621887</v>
      </c>
      <c r="T6" s="62">
        <f t="shared" si="34"/>
        <v>148.17171564653341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</v>
      </c>
      <c r="AI6" s="14">
        <f>IF('Données projet'!$A$62&gt;35,AI5+AH6-AQ5,IF(A6&lt;'Données projet'!$A$62,$AF$205^A6,IF(A6='Données projet'!$A$62,'Données projet'!$B$62,AI5+AH6-AQ5)))</f>
        <v>7.3840532307432234</v>
      </c>
      <c r="AJ6" s="14">
        <f>AI6*VLOOKUP('Données projet'!$B$10,Paramètres!$A$1:$I$89,3,0)*VLOOKUP('Données projet'!$B$10,Paramètres!$A$1:$I$89,5,0)</f>
        <v>6.6810913631764679</v>
      </c>
      <c r="AK6" s="14">
        <f t="shared" si="35"/>
        <v>2.4682391521919964</v>
      </c>
      <c r="AL6" s="22">
        <f t="shared" si="4"/>
        <v>15.935083980933408</v>
      </c>
      <c r="AM6" s="62">
        <f t="shared" si="5"/>
        <v>309.26841731426674</v>
      </c>
      <c r="AN6" s="62">
        <f ca="1">AVERAGE(OFFSET($AM$3,0,0,'Données projet'!$E$10+1,1))-AVERAGE(OFFSET($H$3,0,0,'Données projet'!$E$10+1,1))</f>
        <v>249.03969036629979</v>
      </c>
      <c r="AO6" s="62">
        <f t="shared" si="36"/>
        <v>347.8713931923707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296.25078815720536</v>
      </c>
      <c r="BI6" s="62">
        <f ca="1">AVERAGE(OFFSET($BH$3,0,0,'Données projet'!$E$11+1,1))-AVERAGE(OFFSET($H$3,0,0,'Données projet'!$E$11+1,1))</f>
        <v>280.57175994295949</v>
      </c>
      <c r="BJ6" s="62">
        <f t="shared" si="38"/>
        <v>216.69635818716841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3.3076923076923075</v>
      </c>
      <c r="BY6" s="13">
        <f>IF('Données projet'!$A$114&gt;35,BY5+BX6-CG5,IF(A6&lt;'Données projet'!$A$114,$BV$205^A6,IF(A6='Données projet'!$A$114,'Données projet'!$B$114,BY5+BX6-CG5)))</f>
        <v>9.9230769230769234</v>
      </c>
      <c r="BZ6" s="14">
        <f>BY6*VLOOKUP('Données projet'!$B$12,Paramètres!$A$1:$I$89,3,0)*VLOOKUP('Données projet'!$B$12,Paramètres!$A$1:$I$89,5,0)</f>
        <v>4.9020000000000001</v>
      </c>
      <c r="CA6" s="14">
        <f t="shared" si="39"/>
        <v>1.8774393616033593</v>
      </c>
      <c r="CB6" s="22">
        <f t="shared" si="10"/>
        <v>11.807523554792517</v>
      </c>
      <c r="CC6" s="62">
        <f t="shared" si="11"/>
        <v>305.14085688812582</v>
      </c>
      <c r="CD6" s="62">
        <f ca="1">AVERAGE(OFFSET($CC$3,0,0,'Données projet'!$E$12+1,1))-AVERAGE(OFFSET($H$3,0,0,'Données projet'!$E$12+1,1))</f>
        <v>426.64691649521097</v>
      </c>
      <c r="CE6" s="62">
        <f t="shared" si="40"/>
        <v>71.485487617222645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2.2360000000000002</v>
      </c>
      <c r="D7" s="12">
        <f t="shared" si="32"/>
        <v>0.93830784341656304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24.503428966724346</v>
      </c>
      <c r="H7" s="70">
        <f t="shared" si="1"/>
        <v>298.8619194939505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296.3879120817773</v>
      </c>
      <c r="S7" s="62">
        <f ca="1">AVERAGE(OFFSET($R$3,0,0,'Données projet'!$E$9+1,1))-AVERAGE(OFFSET($H$3,0,0,'Données projet'!$E$9+1,1))</f>
        <v>165.12229410621887</v>
      </c>
      <c r="T7" s="62">
        <f t="shared" si="34"/>
        <v>148.17171564653341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</v>
      </c>
      <c r="AI7" s="14">
        <f>IF('Données projet'!$A$62&gt;35,AI6+AH7-AQ6,IF(A7&lt;'Données projet'!$A$62,$AF$205^A7,IF(A7='Données projet'!$A$62,'Données projet'!$B$62,AI6+AH7-AQ6)))</f>
        <v>14.378925219250927</v>
      </c>
      <c r="AJ7" s="14">
        <f>AI7*VLOOKUP('Données projet'!$B$10,Paramètres!$A$1:$I$89,3,0)*VLOOKUP('Données projet'!$B$10,Paramètres!$A$1:$I$89,5,0)</f>
        <v>13.010051538378239</v>
      </c>
      <c r="AK7" s="14">
        <f t="shared" si="35"/>
        <v>4.4476336184326453</v>
      </c>
      <c r="AL7" s="22">
        <f t="shared" si="4"/>
        <v>30.405468314778947</v>
      </c>
      <c r="AM7" s="62">
        <f t="shared" si="5"/>
        <v>323.73880164811226</v>
      </c>
      <c r="AN7" s="62">
        <f ca="1">AVERAGE(OFFSET($AM$3,0,0,'Données projet'!$E$10+1,1))-AVERAGE(OFFSET($H$3,0,0,'Données projet'!$E$10+1,1))</f>
        <v>249.03969036629979</v>
      </c>
      <c r="AO7" s="62">
        <f t="shared" si="36"/>
        <v>347.8713931923707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296.93564317983407</v>
      </c>
      <c r="BI7" s="62">
        <f ca="1">AVERAGE(OFFSET($BH$3,0,0,'Données projet'!$E$11+1,1))-AVERAGE(OFFSET($H$3,0,0,'Données projet'!$E$11+1,1))</f>
        <v>280.57175994295949</v>
      </c>
      <c r="BJ7" s="62">
        <f t="shared" si="38"/>
        <v>216.69635818716841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3.3076923076923075</v>
      </c>
      <c r="BY7" s="13">
        <f>IF('Données projet'!$A$114&gt;35,BY6+BX7-CG6,IF(A7&lt;'Données projet'!$A$114,$BV$205^A7,IF(A7='Données projet'!$A$114,'Données projet'!$B$114,BY6+BX7-CG6)))</f>
        <v>13.23076923076923</v>
      </c>
      <c r="BZ7" s="14">
        <f>BY7*VLOOKUP('Données projet'!$B$12,Paramètres!$A$1:$I$89,3,0)*VLOOKUP('Données projet'!$B$12,Paramètres!$A$1:$I$89,5,0)</f>
        <v>6.5359999999999996</v>
      </c>
      <c r="CA7" s="14">
        <f t="shared" si="39"/>
        <v>2.4208160303147794</v>
      </c>
      <c r="CB7" s="22">
        <f t="shared" si="10"/>
        <v>15.599787919464907</v>
      </c>
      <c r="CC7" s="62">
        <f t="shared" si="11"/>
        <v>308.93312125279823</v>
      </c>
      <c r="CD7" s="62">
        <f ca="1">AVERAGE(OFFSET($CC$3,0,0,'Données projet'!$E$12+1,1))-AVERAGE(OFFSET($H$3,0,0,'Données projet'!$E$12+1,1))</f>
        <v>426.64691649521097</v>
      </c>
      <c r="CE7" s="62">
        <f t="shared" si="40"/>
        <v>71.485487617222645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2.7950000000000004</v>
      </c>
      <c r="D8" s="12">
        <f t="shared" si="32"/>
        <v>1.1428126371791492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30.397150181733792</v>
      </c>
      <c r="H8" s="70">
        <f t="shared" si="1"/>
        <v>300.19169034308698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297.17301376129092</v>
      </c>
      <c r="S8" s="62">
        <f ca="1">AVERAGE(OFFSET($R$3,0,0,'Données projet'!$E$9+1,1))-AVERAGE(OFFSET($H$3,0,0,'Données projet'!$E$9+1,1))</f>
        <v>165.12229410621887</v>
      </c>
      <c r="T8" s="62">
        <f t="shared" si="34"/>
        <v>148.17171564653341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>
        <f>VLOOKUP(A8,'Données projet'!$A$61:$I$81,2,0)</f>
        <v>28</v>
      </c>
      <c r="AG8" s="13">
        <f>VLOOKUP(A8,'Données projet'!$A$61:$I$81,9,0)</f>
        <v>5.6</v>
      </c>
      <c r="AH8" s="13">
        <f t="array" ref="AH8">INDEX(AG:AG,MIN(IF(ISNUMBER(AG8:AG204),ROW(AG8:AG204),"")))</f>
        <v>5.6</v>
      </c>
      <c r="AI8" s="14">
        <f>IF('Données projet'!$A$62&gt;35,AI7+AH8-AQ7,IF(A8&lt;'Données projet'!$A$62,$AF$205^A8,IF(A8='Données projet'!$A$62,'Données projet'!$B$62,AI7+AH8-AQ7)))</f>
        <v>28</v>
      </c>
      <c r="AJ8" s="14">
        <f>AI8*VLOOKUP('Données projet'!$B$10,Paramètres!$A$1:$I$89,3,0)*VLOOKUP('Données projet'!$B$10,Paramètres!$A$1:$I$89,5,0)</f>
        <v>25.334399999999999</v>
      </c>
      <c r="AK8" s="14">
        <f t="shared" si="35"/>
        <v>8.0143955200794572</v>
      </c>
      <c r="AL8" s="22">
        <f t="shared" si="4"/>
        <v>58.082485530805052</v>
      </c>
      <c r="AM8" s="62">
        <f t="shared" si="5"/>
        <v>351.41581886413837</v>
      </c>
      <c r="AN8" s="62">
        <f ca="1">AVERAGE(OFFSET($AM$3,0,0,'Données projet'!$E$10+1,1))-AVERAGE(OFFSET($H$3,0,0,'Données projet'!$E$10+1,1))</f>
        <v>249.03969036629979</v>
      </c>
      <c r="AO8" s="62">
        <f t="shared" si="36"/>
        <v>347.8713931923707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4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297.78187669303162</v>
      </c>
      <c r="BI8" s="62">
        <f ca="1">AVERAGE(OFFSET($BH$3,0,0,'Données projet'!$E$11+1,1))-AVERAGE(OFFSET($H$3,0,0,'Données projet'!$E$11+1,1))</f>
        <v>280.57175994295949</v>
      </c>
      <c r="BJ8" s="62">
        <f t="shared" si="38"/>
        <v>216.69635818716841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3.3076923076923075</v>
      </c>
      <c r="BY8" s="13">
        <f>IF('Données projet'!$A$114&gt;35,BY7+BX8-CG7,IF(A8&lt;'Données projet'!$A$114,$BV$205^A8,IF(A8='Données projet'!$A$114,'Données projet'!$B$114,BY7+BX8-CG7)))</f>
        <v>16.538461538461537</v>
      </c>
      <c r="BZ8" s="14">
        <f>BY8*VLOOKUP('Données projet'!$B$12,Paramètres!$A$1:$I$89,3,0)*VLOOKUP('Données projet'!$B$12,Paramètres!$A$1:$I$89,5,0)</f>
        <v>8.1699999999999982</v>
      </c>
      <c r="CA8" s="14">
        <f t="shared" si="39"/>
        <v>2.9484344302783176</v>
      </c>
      <c r="CB8" s="22">
        <f t="shared" si="10"/>
        <v>19.364606632734734</v>
      </c>
      <c r="CC8" s="62">
        <f t="shared" si="11"/>
        <v>312.69793996606802</v>
      </c>
      <c r="CD8" s="62">
        <f ca="1">AVERAGE(OFFSET($CC$3,0,0,'Données projet'!$E$12+1,1))-AVERAGE(OFFSET($H$3,0,0,'Données projet'!$E$12+1,1))</f>
        <v>426.64691649521097</v>
      </c>
      <c r="CE8" s="62">
        <f t="shared" si="40"/>
        <v>71.485487617222645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3.3540000000000005</v>
      </c>
      <c r="D9" s="12">
        <f t="shared" si="32"/>
        <v>1.3425781754875348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36.254287670430102</v>
      </c>
      <c r="H9" s="70">
        <f t="shared" si="1"/>
        <v>301.5132069889741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298.16068588354318</v>
      </c>
      <c r="S9" s="62">
        <f ca="1">AVERAGE(OFFSET($R$3,0,0,'Données projet'!$E$9+1,1))-AVERAGE(OFFSET($H$3,0,0,'Données projet'!$E$9+1,1))</f>
        <v>165.12229410621887</v>
      </c>
      <c r="T9" s="62">
        <f t="shared" si="34"/>
        <v>148.17171564653341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</v>
      </c>
      <c r="AI9" s="14">
        <f>IF('Données projet'!$A$62&gt;35,AI8+AH9-AQ8,IF(A9&lt;'Données projet'!$A$62,$AF$205^A9,IF(A9='Données projet'!$A$62,'Données projet'!$B$62,AI8+AH9-AQ8)))</f>
        <v>35</v>
      </c>
      <c r="AJ9" s="14">
        <f>AI9*VLOOKUP('Données projet'!$B$10,Paramètres!$A$1:$I$89,3,0)*VLOOKUP('Données projet'!$B$10,Paramètres!$A$1:$I$89,5,0)</f>
        <v>31.667999999999996</v>
      </c>
      <c r="AK9" s="14">
        <f t="shared" si="35"/>
        <v>9.7611381424130652</v>
      </c>
      <c r="AL9" s="22">
        <f t="shared" si="4"/>
        <v>72.155748931369416</v>
      </c>
      <c r="AM9" s="62">
        <f t="shared" si="5"/>
        <v>365.48908226470274</v>
      </c>
      <c r="AN9" s="62">
        <f ca="1">AVERAGE(OFFSET($AM$3,0,0,'Données projet'!$E$10+1,1))-AVERAGE(OFFSET($H$3,0,0,'Données projet'!$E$10+1,1))</f>
        <v>249.03969036629979</v>
      </c>
      <c r="AO9" s="62">
        <f t="shared" si="36"/>
        <v>347.8713931923707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298.82765185669996</v>
      </c>
      <c r="BI9" s="62">
        <f ca="1">AVERAGE(OFFSET($BH$3,0,0,'Données projet'!$E$11+1,1))-AVERAGE(OFFSET($H$3,0,0,'Données projet'!$E$11+1,1))</f>
        <v>280.57175994295949</v>
      </c>
      <c r="BJ9" s="62">
        <f t="shared" si="38"/>
        <v>216.69635818716841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3.3076923076923075</v>
      </c>
      <c r="BY9" s="13">
        <f>IF('Données projet'!$A$114&gt;35,BY8+BX9-CG8,IF(A9&lt;'Données projet'!$A$114,$BV$205^A9,IF(A9='Données projet'!$A$114,'Données projet'!$B$114,BY8+BX9-CG8)))</f>
        <v>19.846153846153843</v>
      </c>
      <c r="BZ9" s="14">
        <f>BY9*VLOOKUP('Données projet'!$B$12,Paramètres!$A$1:$I$89,3,0)*VLOOKUP('Données projet'!$B$12,Paramètres!$A$1:$I$89,5,0)</f>
        <v>9.8040000000000003</v>
      </c>
      <c r="CA9" s="14">
        <f t="shared" si="39"/>
        <v>3.4638256431243435</v>
      </c>
      <c r="CB9" s="22">
        <f t="shared" si="10"/>
        <v>23.108129661774896</v>
      </c>
      <c r="CC9" s="62">
        <f t="shared" si="11"/>
        <v>316.44146299510822</v>
      </c>
      <c r="CD9" s="62">
        <f ca="1">AVERAGE(OFFSET($CC$3,0,0,'Données projet'!$E$12+1,1))-AVERAGE(OFFSET($H$3,0,0,'Données projet'!$E$12+1,1))</f>
        <v>426.64691649521097</v>
      </c>
      <c r="CE9" s="62">
        <f t="shared" si="40"/>
        <v>71.485487617222645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3.9130000000000007</v>
      </c>
      <c r="D10" s="12">
        <f t="shared" si="32"/>
        <v>1.5384867718747026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42.081652274120522</v>
      </c>
      <c r="H10" s="70">
        <f t="shared" si="1"/>
        <v>302.82800612768176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299.40338480880166</v>
      </c>
      <c r="S10" s="62">
        <f ca="1">AVERAGE(OFFSET($R$3,0,0,'Données projet'!$E$9+1,1))-AVERAGE(OFFSET($H$3,0,0,'Données projet'!$E$9+1,1))</f>
        <v>165.12229410621887</v>
      </c>
      <c r="T10" s="62">
        <f t="shared" si="34"/>
        <v>148.17171564653341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</v>
      </c>
      <c r="AI10" s="14">
        <f>IF('Données projet'!$A$62&gt;35,AI9+AH10-AQ9,IF(A10&lt;'Données projet'!$A$62,$AF$205^A10,IF(A10='Données projet'!$A$62,'Données projet'!$B$62,AI9+AH10-AQ9)))</f>
        <v>46</v>
      </c>
      <c r="AJ10" s="14">
        <f>AI10*VLOOKUP('Données projet'!$B$10,Paramètres!$A$1:$I$89,3,0)*VLOOKUP('Données projet'!$B$10,Paramètres!$A$1:$I$89,5,0)</f>
        <v>41.620800000000003</v>
      </c>
      <c r="AK10" s="14">
        <f t="shared" si="35"/>
        <v>12.427241987862391</v>
      </c>
      <c r="AL10" s="22">
        <f t="shared" si="4"/>
        <v>94.133673128860323</v>
      </c>
      <c r="AM10" s="62">
        <f t="shared" si="5"/>
        <v>387.46700646219364</v>
      </c>
      <c r="AN10" s="62">
        <f ca="1">AVERAGE(OFFSET($AM$3,0,0,'Données projet'!$E$10+1,1))-AVERAGE(OFFSET($H$3,0,0,'Données projet'!$E$10+1,1))</f>
        <v>249.03969036629979</v>
      </c>
      <c r="AO10" s="62">
        <f t="shared" si="36"/>
        <v>347.8713931923707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300.12018685543694</v>
      </c>
      <c r="BI10" s="62">
        <f ca="1">AVERAGE(OFFSET($BH$3,0,0,'Données projet'!$E$11+1,1))-AVERAGE(OFFSET($H$3,0,0,'Données projet'!$E$11+1,1))</f>
        <v>280.57175994295949</v>
      </c>
      <c r="BJ10" s="62">
        <f t="shared" si="38"/>
        <v>216.69635818716841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3.3076923076923075</v>
      </c>
      <c r="BY10" s="13">
        <f>IF('Données projet'!$A$114&gt;35,BY9+BX10-CG9,IF(A10&lt;'Données projet'!$A$114,$BV$205^A10,IF(A10='Données projet'!$A$114,'Données projet'!$B$114,BY9+BX10-CG9)))</f>
        <v>23.15384615384615</v>
      </c>
      <c r="BZ10" s="14">
        <f>BY10*VLOOKUP('Données projet'!$B$12,Paramètres!$A$1:$I$89,3,0)*VLOOKUP('Données projet'!$B$12,Paramètres!$A$1:$I$89,5,0)</f>
        <v>11.437999999999997</v>
      </c>
      <c r="CA10" s="14">
        <f t="shared" si="39"/>
        <v>3.9692660206486901</v>
      </c>
      <c r="CB10" s="22">
        <f t="shared" si="10"/>
        <v>26.834321652629797</v>
      </c>
      <c r="CC10" s="62">
        <f t="shared" si="11"/>
        <v>320.16765498596311</v>
      </c>
      <c r="CD10" s="62">
        <f ca="1">AVERAGE(OFFSET($CC$3,0,0,'Données projet'!$E$12+1,1))-AVERAGE(OFFSET($H$3,0,0,'Données projet'!$E$12+1,1))</f>
        <v>426.64691649521097</v>
      </c>
      <c r="CE10" s="62">
        <f t="shared" si="40"/>
        <v>71.485487617222645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4.4720000000000004</v>
      </c>
      <c r="D11" s="12">
        <f t="shared" si="32"/>
        <v>1.7311529925500933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47.883988012667395</v>
      </c>
      <c r="H11" s="70">
        <f t="shared" si="1"/>
        <v>304.1371581286914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300.96719653267269</v>
      </c>
      <c r="S11" s="62">
        <f ca="1">AVERAGE(OFFSET($R$3,0,0,'Données projet'!$E$9+1,1))-AVERAGE(OFFSET($H$3,0,0,'Données projet'!$E$9+1,1))</f>
        <v>165.12229410621887</v>
      </c>
      <c r="T11" s="62">
        <f t="shared" si="34"/>
        <v>148.17171564653341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</v>
      </c>
      <c r="AI11" s="14">
        <f>IF('Données projet'!$A$62&gt;35,AI10+AH11-AQ10,IF(A11&lt;'Données projet'!$A$62,$AF$205^A11,IF(A11='Données projet'!$A$62,'Données projet'!$B$62,AI10+AH11-AQ10)))</f>
        <v>57</v>
      </c>
      <c r="AJ11" s="14">
        <f>AI11*VLOOKUP('Données projet'!$B$10,Paramètres!$A$1:$I$89,3,0)*VLOOKUP('Données projet'!$B$10,Paramètres!$A$1:$I$89,5,0)</f>
        <v>51.573599999999992</v>
      </c>
      <c r="AK11" s="14">
        <f t="shared" si="35"/>
        <v>15.019412930275323</v>
      </c>
      <c r="AL11" s="22">
        <f t="shared" si="4"/>
        <v>115.98283085356282</v>
      </c>
      <c r="AM11" s="62">
        <f t="shared" si="5"/>
        <v>409.31616418689612</v>
      </c>
      <c r="AN11" s="62">
        <f ca="1">AVERAGE(OFFSET($AM$3,0,0,'Données projet'!$E$10+1,1))-AVERAGE(OFFSET($H$3,0,0,'Données projet'!$E$10+1,1))</f>
        <v>249.03969036629979</v>
      </c>
      <c r="AO11" s="62">
        <f t="shared" si="36"/>
        <v>347.8713931923707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301.71791003464585</v>
      </c>
      <c r="BI11" s="62">
        <f ca="1">AVERAGE(OFFSET($BH$3,0,0,'Données projet'!$E$11+1,1))-AVERAGE(OFFSET($H$3,0,0,'Données projet'!$E$11+1,1))</f>
        <v>280.57175994295949</v>
      </c>
      <c r="BJ11" s="62">
        <f t="shared" si="38"/>
        <v>216.69635818716841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3.3076923076923075</v>
      </c>
      <c r="BY11" s="13">
        <f>IF('Données projet'!$A$114&gt;35,BY10+BX11-CG10,IF(A11&lt;'Données projet'!$A$114,$BV$205^A11,IF(A11='Données projet'!$A$114,'Données projet'!$B$114,BY10+BX11-CG10)))</f>
        <v>26.461538461538456</v>
      </c>
      <c r="BZ11" s="14">
        <f>BY11*VLOOKUP('Données projet'!$B$12,Paramètres!$A$1:$I$89,3,0)*VLOOKUP('Données projet'!$B$12,Paramètres!$A$1:$I$89,5,0)</f>
        <v>13.071999999999997</v>
      </c>
      <c r="CA11" s="14">
        <f t="shared" si="39"/>
        <v>4.4663411317474786</v>
      </c>
      <c r="CB11" s="22">
        <f t="shared" si="10"/>
        <v>30.545944137793523</v>
      </c>
      <c r="CC11" s="62">
        <f t="shared" si="11"/>
        <v>323.87927747112684</v>
      </c>
      <c r="CD11" s="62">
        <f ca="1">AVERAGE(OFFSET($CC$3,0,0,'Données projet'!$E$12+1,1))-AVERAGE(OFFSET($H$3,0,0,'Données projet'!$E$12+1,1))</f>
        <v>426.64691649521097</v>
      </c>
      <c r="CE11" s="62">
        <f t="shared" si="40"/>
        <v>71.485487617222645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5.0310000000000006</v>
      </c>
      <c r="D12" s="12">
        <f t="shared" si="32"/>
        <v>1.9210285514955543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53.664781801018329</v>
      </c>
      <c r="H12" s="70">
        <f t="shared" si="1"/>
        <v>305.44144972718806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302.93538910911911</v>
      </c>
      <c r="S12" s="62">
        <f ca="1">AVERAGE(OFFSET($R$3,0,0,'Données projet'!$E$9+1,1))-AVERAGE(OFFSET($H$3,0,0,'Données projet'!$E$9+1,1))</f>
        <v>165.12229410621887</v>
      </c>
      <c r="T12" s="62">
        <f t="shared" si="34"/>
        <v>148.17171564653341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</v>
      </c>
      <c r="AI12" s="14">
        <f>IF('Données projet'!$A$62&gt;35,AI11+AH12-AQ11,IF(A12&lt;'Données projet'!$A$62,$AF$205^A12,IF(A12='Données projet'!$A$62,'Données projet'!$B$62,AI11+AH12-AQ11)))</f>
        <v>68</v>
      </c>
      <c r="AJ12" s="14">
        <f>AI12*VLOOKUP('Données projet'!$B$10,Paramètres!$A$1:$I$89,3,0)*VLOOKUP('Données projet'!$B$10,Paramètres!$A$1:$I$89,5,0)</f>
        <v>61.526399999999995</v>
      </c>
      <c r="AK12" s="14">
        <f t="shared" si="35"/>
        <v>17.553624762159014</v>
      </c>
      <c r="AL12" s="22">
        <f t="shared" si="4"/>
        <v>137.73104312742694</v>
      </c>
      <c r="AM12" s="62">
        <f t="shared" si="5"/>
        <v>431.06437646076029</v>
      </c>
      <c r="AN12" s="62">
        <f ca="1">AVERAGE(OFFSET($AM$3,0,0,'Données projet'!$E$10+1,1))-AVERAGE(OFFSET($H$3,0,0,'Données projet'!$E$10+1,1))</f>
        <v>249.03969036629979</v>
      </c>
      <c r="AO12" s="62">
        <f t="shared" si="36"/>
        <v>347.8713931923707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303.69312942710241</v>
      </c>
      <c r="BI12" s="62">
        <f ca="1">AVERAGE(OFFSET($BH$3,0,0,'Données projet'!$E$11+1,1))-AVERAGE(OFFSET($H$3,0,0,'Données projet'!$E$11+1,1))</f>
        <v>280.57175994295949</v>
      </c>
      <c r="BJ12" s="62">
        <f t="shared" si="38"/>
        <v>216.69635818716841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3.3076923076923075</v>
      </c>
      <c r="BY12" s="13">
        <f>IF('Données projet'!$A$114&gt;35,BY11+BX12-CG11,IF(A12&lt;'Données projet'!$A$114,$BV$205^A12,IF(A12='Données projet'!$A$114,'Données projet'!$B$114,BY11+BX12-CG11)))</f>
        <v>29.769230769230763</v>
      </c>
      <c r="BZ12" s="14">
        <f>BY12*VLOOKUP('Données projet'!$B$12,Paramètres!$A$1:$I$89,3,0)*VLOOKUP('Données projet'!$B$12,Paramètres!$A$1:$I$89,5,0)</f>
        <v>14.705999999999998</v>
      </c>
      <c r="CA12" s="14">
        <f t="shared" si="39"/>
        <v>4.9562163897293994</v>
      </c>
      <c r="CB12" s="22">
        <f t="shared" si="10"/>
        <v>34.245026878778702</v>
      </c>
      <c r="CC12" s="62">
        <f t="shared" si="11"/>
        <v>327.57836021211199</v>
      </c>
      <c r="CD12" s="62">
        <f ca="1">AVERAGE(OFFSET($CC$3,0,0,'Données projet'!$E$12+1,1))-AVERAGE(OFFSET($H$3,0,0,'Données projet'!$E$12+1,1))</f>
        <v>426.64691649521097</v>
      </c>
      <c r="CE12" s="62">
        <f t="shared" si="40"/>
        <v>71.485487617222645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5.5900000000000007</v>
      </c>
      <c r="D13" s="12">
        <f t="shared" si="32"/>
        <v>2.1084588929503836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59.426700226283664</v>
      </c>
      <c r="H13" s="70">
        <f t="shared" si="1"/>
        <v>306.74148257188858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305.41289363405355</v>
      </c>
      <c r="S13" s="62">
        <f ca="1">AVERAGE(OFFSET($R$3,0,0,'Données projet'!$E$9+1,1))-AVERAGE(OFFSET($H$3,0,0,'Données projet'!$E$9+1,1))</f>
        <v>165.12229410621887</v>
      </c>
      <c r="T13" s="62">
        <f t="shared" si="34"/>
        <v>148.17171564653341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79</v>
      </c>
      <c r="AG13" s="13">
        <f>VLOOKUP(A13,'Données projet'!$A$61:$I$81,9,0)</f>
        <v>11</v>
      </c>
      <c r="AH13" s="13">
        <f t="array" ref="AH13">INDEX(AG:AG,MIN(IF(ISNUMBER(AG13:AG209),ROW(AG13:AG209),"")))</f>
        <v>11</v>
      </c>
      <c r="AI13" s="14">
        <f>IF('Données projet'!$A$62&gt;35,AI12+AH13-AQ12,IF(A13&lt;'Données projet'!$A$62,$AF$205^A13,IF(A13='Données projet'!$A$62,'Données projet'!$B$62,AI12+AH13-AQ12)))</f>
        <v>79</v>
      </c>
      <c r="AJ13" s="14">
        <f>AI13*VLOOKUP('Données projet'!$B$10,Paramètres!$A$1:$I$89,3,0)*VLOOKUP('Données projet'!$B$10,Paramètres!$A$1:$I$89,5,0)</f>
        <v>71.479200000000006</v>
      </c>
      <c r="AK13" s="14">
        <f t="shared" si="35"/>
        <v>20.040346808618612</v>
      </c>
      <c r="AL13" s="22">
        <f t="shared" si="4"/>
        <v>159.39654402501074</v>
      </c>
      <c r="AM13" s="62">
        <f t="shared" si="5"/>
        <v>452.72987735834408</v>
      </c>
      <c r="AN13" s="62">
        <f ca="1">AVERAGE(OFFSET($AM$3,0,0,'Données projet'!$E$10+1,1))-AVERAGE(OFFSET($H$3,0,0,'Données projet'!$E$10+1,1))</f>
        <v>249.03969036629979</v>
      </c>
      <c r="AO13" s="62">
        <f t="shared" si="36"/>
        <v>347.8713931923707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21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306.13533976477066</v>
      </c>
      <c r="BI13" s="62">
        <f ca="1">AVERAGE(OFFSET($BH$3,0,0,'Données projet'!$E$11+1,1))-AVERAGE(OFFSET($H$3,0,0,'Données projet'!$E$11+1,1))</f>
        <v>280.57175994295949</v>
      </c>
      <c r="BJ13" s="62">
        <f t="shared" si="38"/>
        <v>216.69635818716841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3.3076923076923075</v>
      </c>
      <c r="BY13" s="13">
        <f>IF('Données projet'!$A$114&gt;35,BY12+BX13-CG12,IF(A13&lt;'Données projet'!$A$114,$BV$205^A13,IF(A13='Données projet'!$A$114,'Données projet'!$B$114,BY12+BX13-CG12)))</f>
        <v>33.076923076923073</v>
      </c>
      <c r="BZ13" s="14">
        <f>BY13*VLOOKUP('Données projet'!$B$12,Paramètres!$A$1:$I$89,3,0)*VLOOKUP('Données projet'!$B$12,Paramètres!$A$1:$I$89,5,0)</f>
        <v>16.339999999999996</v>
      </c>
      <c r="CA13" s="14">
        <f t="shared" si="39"/>
        <v>5.4397830340292987</v>
      </c>
      <c r="CB13" s="22">
        <f t="shared" si="10"/>
        <v>37.933122117601016</v>
      </c>
      <c r="CC13" s="62">
        <f t="shared" si="11"/>
        <v>331.26645545093436</v>
      </c>
      <c r="CD13" s="62">
        <f ca="1">AVERAGE(OFFSET($CC$3,0,0,'Données projet'!$E$12+1,1))-AVERAGE(OFFSET($H$3,0,0,'Données projet'!$E$12+1,1))</f>
        <v>426.64691649521097</v>
      </c>
      <c r="CE13" s="62">
        <f t="shared" si="40"/>
        <v>71.485487617222645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6.1490000000000009</v>
      </c>
      <c r="D14" s="12">
        <f t="shared" si="32"/>
        <v>2.293716374319045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65.171845696497897</v>
      </c>
      <c r="H14" s="70">
        <f t="shared" si="1"/>
        <v>308.03773101860565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308.5319571409737</v>
      </c>
      <c r="S14" s="62">
        <f ca="1">AVERAGE(OFFSET($R$3,0,0,'Données projet'!$E$9+1,1))-AVERAGE(OFFSET($H$3,0,0,'Données projet'!$E$9+1,1))</f>
        <v>165.12229410621887</v>
      </c>
      <c r="T14" s="62">
        <f t="shared" si="34"/>
        <v>148.17171564653341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</v>
      </c>
      <c r="AI14" s="14">
        <f>IF('Données projet'!$A$62&gt;35,AI13+AH14-AQ13,IF(A14&lt;'Données projet'!$A$62,$AF$205^A14,IF(A14='Données projet'!$A$62,'Données projet'!$B$62,AI13+AH14-AQ13)))</f>
        <v>69</v>
      </c>
      <c r="AJ14" s="14">
        <f>AI14*VLOOKUP('Données projet'!$B$10,Paramètres!$A$1:$I$89,3,0)*VLOOKUP('Données projet'!$B$10,Paramètres!$A$1:$I$89,5,0)</f>
        <v>62.431199999999997</v>
      </c>
      <c r="AK14" s="14">
        <f t="shared" si="35"/>
        <v>17.781524466058684</v>
      </c>
      <c r="AL14" s="22">
        <f t="shared" si="4"/>
        <v>139.70382844505221</v>
      </c>
      <c r="AM14" s="62">
        <f t="shared" si="5"/>
        <v>433.03716177838555</v>
      </c>
      <c r="AN14" s="62">
        <f ca="1">AVERAGE(OFFSET($AM$3,0,0,'Données projet'!$E$10+1,1))-AVERAGE(OFFSET($H$3,0,0,'Données projet'!$E$10+1,1))</f>
        <v>249.03969036629979</v>
      </c>
      <c r="AO14" s="62">
        <f t="shared" si="36"/>
        <v>347.8713931923707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309.15531959729486</v>
      </c>
      <c r="BI14" s="62">
        <f ca="1">AVERAGE(OFFSET($BH$3,0,0,'Données projet'!$E$11+1,1))-AVERAGE(OFFSET($H$3,0,0,'Données projet'!$E$11+1,1))</f>
        <v>280.57175994295949</v>
      </c>
      <c r="BJ14" s="62">
        <f t="shared" si="38"/>
        <v>216.69635818716841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3.3076923076923075</v>
      </c>
      <c r="BY14" s="13">
        <f>IF('Données projet'!$A$114&gt;35,BY13+BX14-CG13,IF(A14&lt;'Données projet'!$A$114,$BV$205^A14,IF(A14='Données projet'!$A$114,'Données projet'!$B$114,BY13+BX14-CG13)))</f>
        <v>36.38461538461538</v>
      </c>
      <c r="BZ14" s="14">
        <f>BY14*VLOOKUP('Données projet'!$B$12,Paramètres!$A$1:$I$89,3,0)*VLOOKUP('Données projet'!$B$12,Paramètres!$A$1:$I$89,5,0)</f>
        <v>17.973999999999997</v>
      </c>
      <c r="CA14" s="14">
        <f t="shared" si="39"/>
        <v>5.9177437414662242</v>
      </c>
      <c r="CB14" s="22">
        <f t="shared" si="10"/>
        <v>41.611453683053661</v>
      </c>
      <c r="CC14" s="62">
        <f t="shared" si="11"/>
        <v>334.94478701638695</v>
      </c>
      <c r="CD14" s="62">
        <f ca="1">AVERAGE(OFFSET($CC$3,0,0,'Données projet'!$E$12+1,1))-AVERAGE(OFFSET($H$3,0,0,'Données projet'!$E$12+1,1))</f>
        <v>426.64691649521097</v>
      </c>
      <c r="CE14" s="62">
        <f t="shared" si="40"/>
        <v>71.485487617222645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6.7080000000000011</v>
      </c>
      <c r="D15" s="12">
        <f t="shared" si="32"/>
        <v>2.4770209932006879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70.901916438742163</v>
      </c>
      <c r="H15" s="70">
        <f t="shared" si="1"/>
        <v>309.33057822982454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312.45927468832531</v>
      </c>
      <c r="S15" s="62">
        <f ca="1">AVERAGE(OFFSET($R$3,0,0,'Données projet'!$E$9+1,1))-AVERAGE(OFFSET($H$3,0,0,'Données projet'!$E$9+1,1))</f>
        <v>165.12229410621887</v>
      </c>
      <c r="T15" s="62">
        <f t="shared" si="34"/>
        <v>148.17171564653341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</v>
      </c>
      <c r="AI15" s="14">
        <f>IF('Données projet'!$A$62&gt;35,AI14+AH15-AQ14,IF(A15&lt;'Données projet'!$A$62,$AF$205^A15,IF(A15='Données projet'!$A$62,'Données projet'!$B$62,AI14+AH15-AQ14)))</f>
        <v>80</v>
      </c>
      <c r="AJ15" s="14">
        <f>AI15*VLOOKUP('Données projet'!$B$10,Paramètres!$A$1:$I$89,3,0)*VLOOKUP('Données projet'!$B$10,Paramètres!$A$1:$I$89,5,0)</f>
        <v>72.384</v>
      </c>
      <c r="AK15" s="14">
        <f t="shared" si="35"/>
        <v>20.264329923804397</v>
      </c>
      <c r="AL15" s="22">
        <f t="shared" si="4"/>
        <v>161.362507950626</v>
      </c>
      <c r="AM15" s="62">
        <f t="shared" si="5"/>
        <v>454.69584128395934</v>
      </c>
      <c r="AN15" s="62">
        <f ca="1">AVERAGE(OFFSET($AM$3,0,0,'Données projet'!$E$10+1,1))-AVERAGE(OFFSET($H$3,0,0,'Données projet'!$E$10+1,1))</f>
        <v>249.03969036629979</v>
      </c>
      <c r="AO15" s="62">
        <f t="shared" si="36"/>
        <v>347.8713931923707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312.8902077629582</v>
      </c>
      <c r="BI15" s="62">
        <f ca="1">AVERAGE(OFFSET($BH$3,0,0,'Données projet'!$E$11+1,1))-AVERAGE(OFFSET($H$3,0,0,'Données projet'!$E$11+1,1))</f>
        <v>280.57175994295949</v>
      </c>
      <c r="BJ15" s="62">
        <f t="shared" si="38"/>
        <v>216.69635818716841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3.3076923076923075</v>
      </c>
      <c r="BY15" s="13">
        <f>IF('Données projet'!$A$114&gt;35,BY14+BX15-CG14,IF(A15&lt;'Données projet'!$A$114,$BV$205^A15,IF(A15='Données projet'!$A$114,'Données projet'!$B$114,BY14+BX15-CG14)))</f>
        <v>39.692307692307686</v>
      </c>
      <c r="BZ15" s="14">
        <f>BY15*VLOOKUP('Données projet'!$B$12,Paramètres!$A$1:$I$89,3,0)*VLOOKUP('Données projet'!$B$12,Paramètres!$A$1:$I$89,5,0)</f>
        <v>19.608000000000001</v>
      </c>
      <c r="CA15" s="14">
        <f t="shared" si="39"/>
        <v>6.3906661015774366</v>
      </c>
      <c r="CB15" s="22">
        <f t="shared" si="10"/>
        <v>45.281010126914033</v>
      </c>
      <c r="CC15" s="62">
        <f t="shared" si="11"/>
        <v>338.61434346024737</v>
      </c>
      <c r="CD15" s="62">
        <f ca="1">AVERAGE(OFFSET($CC$3,0,0,'Données projet'!$E$12+1,1))-AVERAGE(OFFSET($H$3,0,0,'Données projet'!$E$12+1,1))</f>
        <v>426.64691649521097</v>
      </c>
      <c r="CE15" s="62">
        <f t="shared" si="40"/>
        <v>71.485487617222645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7.2670000000000012</v>
      </c>
      <c r="D16" s="12">
        <f t="shared" si="32"/>
        <v>2.6585539900627135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76.618311502238512</v>
      </c>
      <c r="H16" s="70">
        <f t="shared" si="1"/>
        <v>310.62033986602586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317.40498867664957</v>
      </c>
      <c r="S16" s="62">
        <f ca="1">AVERAGE(OFFSET($R$3,0,0,'Données projet'!$E$9+1,1))-AVERAGE(OFFSET($H$3,0,0,'Données projet'!$E$9+1,1))</f>
        <v>165.12229410621887</v>
      </c>
      <c r="T16" s="62">
        <f t="shared" si="34"/>
        <v>148.17171564653341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</v>
      </c>
      <c r="AI16" s="14">
        <f>IF('Données projet'!$A$62&gt;35,AI15+AH16-AQ15,IF(A16&lt;'Données projet'!$A$62,$AF$205^A16,IF(A16='Données projet'!$A$62,'Données projet'!$B$62,AI15+AH16-AQ15)))</f>
        <v>91</v>
      </c>
      <c r="AJ16" s="14">
        <f>AI16*VLOOKUP('Données projet'!$B$10,Paramètres!$A$1:$I$89,3,0)*VLOOKUP('Données projet'!$B$10,Paramètres!$A$1:$I$89,5,0)</f>
        <v>82.336799999999997</v>
      </c>
      <c r="AK16" s="14">
        <f t="shared" si="35"/>
        <v>22.707582950885364</v>
      </c>
      <c r="AL16" s="22">
        <f t="shared" si="4"/>
        <v>182.95230030612535</v>
      </c>
      <c r="AM16" s="62">
        <f t="shared" si="5"/>
        <v>476.28563363945864</v>
      </c>
      <c r="AN16" s="62">
        <f ca="1">AVERAGE(OFFSET($AM$3,0,0,'Données projet'!$E$10+1,1))-AVERAGE(OFFSET($H$3,0,0,'Données projet'!$E$10+1,1))</f>
        <v>249.03969036629979</v>
      </c>
      <c r="AO16" s="62">
        <f t="shared" si="36"/>
        <v>347.8713931923707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317.50979388947383</v>
      </c>
      <c r="BI16" s="62">
        <f ca="1">AVERAGE(OFFSET($BH$3,0,0,'Données projet'!$E$11+1,1))-AVERAGE(OFFSET($H$3,0,0,'Données projet'!$E$11+1,1))</f>
        <v>280.57175994295949</v>
      </c>
      <c r="BJ16" s="62">
        <f t="shared" si="38"/>
        <v>216.69635818716841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3.3076923076923075</v>
      </c>
      <c r="BY16" s="13">
        <f>IF('Données projet'!$A$114&gt;35,BY15+BX16-CG15,IF(A16&lt;'Données projet'!$A$114,$BV$205^A16,IF(A16='Données projet'!$A$114,'Données projet'!$B$114,BY15+BX16-CG15)))</f>
        <v>42.999999999999993</v>
      </c>
      <c r="BZ16" s="14">
        <f>BY16*VLOOKUP('Données projet'!$B$12,Paramètres!$A$1:$I$89,3,0)*VLOOKUP('Données projet'!$B$12,Paramètres!$A$1:$I$89,5,0)</f>
        <v>21.241999999999997</v>
      </c>
      <c r="CA16" s="14">
        <f t="shared" si="39"/>
        <v>6.859017711252279</v>
      </c>
      <c r="CB16" s="22">
        <f t="shared" si="10"/>
        <v>48.942605847097703</v>
      </c>
      <c r="CC16" s="62">
        <f t="shared" si="11"/>
        <v>342.27593918043101</v>
      </c>
      <c r="CD16" s="62">
        <f ca="1">AVERAGE(OFFSET($CC$3,0,0,'Données projet'!$E$12+1,1))-AVERAGE(OFFSET($H$3,0,0,'Données projet'!$E$12+1,1))</f>
        <v>426.64691649521097</v>
      </c>
      <c r="CE16" s="62">
        <f t="shared" si="40"/>
        <v>71.485487617222645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7.8260000000000014</v>
      </c>
      <c r="D17" s="12">
        <f t="shared" si="32"/>
        <v>2.8384671382814215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82.322202470944333</v>
      </c>
      <c r="H17" s="70">
        <f t="shared" si="1"/>
        <v>311.90728026584014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323.63404546151253</v>
      </c>
      <c r="S17" s="62">
        <f ca="1">AVERAGE(OFFSET($R$3,0,0,'Données projet'!$E$9+1,1))-AVERAGE(OFFSET($H$3,0,0,'Données projet'!$E$9+1,1))</f>
        <v>165.12229410621887</v>
      </c>
      <c r="T17" s="62">
        <f t="shared" si="34"/>
        <v>148.17171564653341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</v>
      </c>
      <c r="AI17" s="14">
        <f>IF('Données projet'!$A$62&gt;35,AI16+AH17-AQ16,IF(A17&lt;'Données projet'!$A$62,$AF$205^A17,IF(A17='Données projet'!$A$62,'Données projet'!$B$62,AI16+AH17-AQ16)))</f>
        <v>102</v>
      </c>
      <c r="AJ17" s="14">
        <f>AI17*VLOOKUP('Données projet'!$B$10,Paramètres!$A$1:$I$89,3,0)*VLOOKUP('Données projet'!$B$10,Paramètres!$A$1:$I$89,5,0)</f>
        <v>92.289599999999993</v>
      </c>
      <c r="AK17" s="14">
        <f t="shared" si="35"/>
        <v>25.116611431659546</v>
      </c>
      <c r="AL17" s="22">
        <f t="shared" si="4"/>
        <v>204.48248491014036</v>
      </c>
      <c r="AM17" s="62">
        <f t="shared" si="5"/>
        <v>497.8158182434737</v>
      </c>
      <c r="AN17" s="62">
        <f ca="1">AVERAGE(OFFSET($AM$3,0,0,'Données projet'!$E$10+1,1))-AVERAGE(OFFSET($H$3,0,0,'Données projet'!$E$10+1,1))</f>
        <v>249.03969036629979</v>
      </c>
      <c r="AO17" s="62">
        <f t="shared" si="36"/>
        <v>347.8713931923707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323.2243139626886</v>
      </c>
      <c r="BI17" s="62">
        <f ca="1">AVERAGE(OFFSET($BH$3,0,0,'Données projet'!$E$11+1,1))-AVERAGE(OFFSET($H$3,0,0,'Données projet'!$E$11+1,1))</f>
        <v>280.57175994295949</v>
      </c>
      <c r="BJ17" s="62">
        <f t="shared" si="38"/>
        <v>216.69635818716841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3.3076923076923075</v>
      </c>
      <c r="BY17" s="13">
        <f>IF('Données projet'!$A$114&gt;35,BY16+BX17-CG16,IF(A17&lt;'Données projet'!$A$114,$BV$205^A17,IF(A17='Données projet'!$A$114,'Données projet'!$B$114,BY16+BX17-CG16)))</f>
        <v>46.307692307692299</v>
      </c>
      <c r="BZ17" s="14">
        <f>BY17*VLOOKUP('Données projet'!$B$12,Paramètres!$A$1:$I$89,3,0)*VLOOKUP('Données projet'!$B$12,Paramètres!$A$1:$I$89,5,0)</f>
        <v>22.875999999999994</v>
      </c>
      <c r="CA17" s="14">
        <f t="shared" si="39"/>
        <v>7.3231901428567863</v>
      </c>
      <c r="CB17" s="22">
        <f t="shared" si="10"/>
        <v>52.596922832142219</v>
      </c>
      <c r="CC17" s="62">
        <f t="shared" si="11"/>
        <v>345.93025616547556</v>
      </c>
      <c r="CD17" s="62">
        <f ca="1">AVERAGE(OFFSET($CC$3,0,0,'Données projet'!$E$12+1,1))-AVERAGE(OFFSET($H$3,0,0,'Données projet'!$E$12+1,1))</f>
        <v>426.64691649521097</v>
      </c>
      <c r="CE17" s="62">
        <f t="shared" si="40"/>
        <v>71.485487617222645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8.3850000000000016</v>
      </c>
      <c r="D18" s="12">
        <f t="shared" si="32"/>
        <v>3.0168893007228847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88.014584075755593</v>
      </c>
      <c r="H18" s="70">
        <f t="shared" si="1"/>
        <v>313.1916238654257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331.48052823823258</v>
      </c>
      <c r="S18" s="62">
        <f ca="1">AVERAGE(OFFSET($R$3,0,0,'Données projet'!$E$9+1,1))-AVERAGE(OFFSET($H$3,0,0,'Données projet'!$E$9+1,1))</f>
        <v>165.12229410621887</v>
      </c>
      <c r="T18" s="62">
        <f t="shared" si="34"/>
        <v>148.17171564653341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113</v>
      </c>
      <c r="AG18" s="13">
        <f>VLOOKUP(A18,'Données projet'!$A$61:$I$81,9,0)</f>
        <v>11</v>
      </c>
      <c r="AH18" s="13">
        <f t="array" ref="AH18">INDEX(AG:AG,MIN(IF(ISNUMBER(AG18:AG214),ROW(AG18:AG214),"")))</f>
        <v>11</v>
      </c>
      <c r="AI18" s="14">
        <f>IF('Données projet'!$A$62&gt;35,AI17+AH18-AQ17,IF(A18&lt;'Données projet'!$A$62,$AF$205^A18,IF(A18='Données projet'!$A$62,'Données projet'!$B$62,AI17+AH18-AQ17)))</f>
        <v>113</v>
      </c>
      <c r="AJ18" s="14">
        <f>AI18*VLOOKUP('Données projet'!$B$10,Paramètres!$A$1:$I$89,3,0)*VLOOKUP('Données projet'!$B$10,Paramètres!$A$1:$I$89,5,0)</f>
        <v>102.24239999999999</v>
      </c>
      <c r="AK18" s="14">
        <f t="shared" si="35"/>
        <v>27.495526976991481</v>
      </c>
      <c r="AL18" s="22">
        <f t="shared" si="4"/>
        <v>225.96022281826015</v>
      </c>
      <c r="AM18" s="62">
        <f t="shared" si="5"/>
        <v>519.29355615159352</v>
      </c>
      <c r="AN18" s="62">
        <f ca="1">AVERAGE(OFFSET($AM$3,0,0,'Données projet'!$E$10+1,1))-AVERAGE(OFFSET($H$3,0,0,'Données projet'!$E$10+1,1))</f>
        <v>249.03969036629979</v>
      </c>
      <c r="AO18" s="62">
        <f t="shared" si="36"/>
        <v>347.8713931923707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17</v>
      </c>
      <c r="AR18" s="17">
        <f>IF(ISNA(VLOOKUP(A18,'Données projet'!$A$61:$I$81,5,0)),0%,VLOOKUP(A18,'Données projet'!$A$61:$I$81,5,0)*VLOOKUP('Données projet'!$B$10,Paramètres!$A$1:$I$89,7,0))</f>
        <v>0.06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1.0202341913894415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1.0202341913894415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330.29411192516659</v>
      </c>
      <c r="BI18" s="62">
        <f ca="1">AVERAGE(OFFSET($BH$3,0,0,'Données projet'!$E$11+1,1))-AVERAGE(OFFSET($H$3,0,0,'Données projet'!$E$11+1,1))</f>
        <v>280.57175994295949</v>
      </c>
      <c r="BJ18" s="62">
        <f t="shared" si="38"/>
        <v>216.69635818716841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3.3076923076923075</v>
      </c>
      <c r="BY18" s="13">
        <f>IF('Données projet'!$A$114&gt;35,BY17+BX18-CG17,IF(A18&lt;'Données projet'!$A$114,$BV$205^A18,IF(A18='Données projet'!$A$114,'Données projet'!$B$114,BY17+BX18-CG17)))</f>
        <v>49.615384615384606</v>
      </c>
      <c r="BZ18" s="14">
        <f>BY18*VLOOKUP('Données projet'!$B$12,Paramètres!$A$1:$I$89,3,0)*VLOOKUP('Données projet'!$B$12,Paramètres!$A$1:$I$89,5,0)</f>
        <v>24.509999999999994</v>
      </c>
      <c r="CA18" s="14">
        <f t="shared" si="39"/>
        <v>7.7835158600851351</v>
      </c>
      <c r="CB18" s="22">
        <f t="shared" si="10"/>
        <v>56.244540122981597</v>
      </c>
      <c r="CC18" s="62">
        <f t="shared" si="11"/>
        <v>349.57787345631493</v>
      </c>
      <c r="CD18" s="62">
        <f ca="1">AVERAGE(OFFSET($CC$3,0,0,'Données projet'!$E$12+1,1))-AVERAGE(OFFSET($H$3,0,0,'Données projet'!$E$12+1,1))</f>
        <v>426.64691649521097</v>
      </c>
      <c r="CE18" s="62">
        <f t="shared" si="40"/>
        <v>71.485487617222645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8.9440000000000008</v>
      </c>
      <c r="D19" s="12">
        <f t="shared" si="32"/>
        <v>3.193931186488729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93.69631091324635</v>
      </c>
      <c r="H19" s="70">
        <f t="shared" si="1"/>
        <v>314.47356348313451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341.36574806253117</v>
      </c>
      <c r="S19" s="62">
        <f ca="1">AVERAGE(OFFSET($R$3,0,0,'Données projet'!$E$9+1,1))-AVERAGE(OFFSET($H$3,0,0,'Données projet'!$E$9+1,1))</f>
        <v>165.12229410621887</v>
      </c>
      <c r="T19" s="62">
        <f t="shared" si="34"/>
        <v>148.17171564653341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9.8000000000000007</v>
      </c>
      <c r="AI19" s="14">
        <f>IF('Données projet'!$A$62&gt;35,AI18+AH19-AQ18,IF(A19&lt;'Données projet'!$A$62,$AF$205^A19,IF(A19='Données projet'!$A$62,'Données projet'!$B$62,AI18+AH19-AQ18)))</f>
        <v>105.8</v>
      </c>
      <c r="AJ19" s="14">
        <f>AI19*VLOOKUP('Données projet'!$B$10,Paramètres!$A$1:$I$89,3,0)*VLOOKUP('Données projet'!$B$10,Paramètres!$A$1:$I$89,5,0)</f>
        <v>95.72784</v>
      </c>
      <c r="AK19" s="14">
        <f t="shared" si="35"/>
        <v>25.941642560384413</v>
      </c>
      <c r="AL19" s="22">
        <f t="shared" si="4"/>
        <v>211.90768212600287</v>
      </c>
      <c r="AM19" s="62">
        <f t="shared" si="5"/>
        <v>505.24101545933615</v>
      </c>
      <c r="AN19" s="62">
        <f ca="1">AVERAGE(OFFSET($AM$3,0,0,'Données projet'!$E$10+1,1))-AVERAGE(OFFSET($H$3,0,0,'Données projet'!$E$10+1,1))</f>
        <v>249.03969036629979</v>
      </c>
      <c r="AO19" s="62">
        <f t="shared" si="36"/>
        <v>347.8713931923707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1.0002280211777062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1.0002280211777062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339.04161502361472</v>
      </c>
      <c r="BI19" s="62">
        <f ca="1">AVERAGE(OFFSET($BH$3,0,0,'Données projet'!$E$11+1,1))-AVERAGE(OFFSET($H$3,0,0,'Données projet'!$E$11+1,1))</f>
        <v>280.57175994295949</v>
      </c>
      <c r="BJ19" s="62">
        <f t="shared" si="38"/>
        <v>216.69635818716841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3.3076923076923075</v>
      </c>
      <c r="BY19" s="13">
        <f>IF('Données projet'!$A$114&gt;35,BY18+BX19-CG18,IF(A19&lt;'Données projet'!$A$114,$BV$205^A19,IF(A19='Données projet'!$A$114,'Données projet'!$B$114,BY18+BX19-CG18)))</f>
        <v>52.923076923076913</v>
      </c>
      <c r="BZ19" s="14">
        <f>BY19*VLOOKUP('Données projet'!$B$12,Paramètres!$A$1:$I$89,3,0)*VLOOKUP('Données projet'!$B$12,Paramètres!$A$1:$I$89,5,0)</f>
        <v>26.143999999999995</v>
      </c>
      <c r="CA19" s="14">
        <f t="shared" si="39"/>
        <v>8.2402804902714841</v>
      </c>
      <c r="CB19" s="22">
        <f t="shared" si="10"/>
        <v>59.885955187222827</v>
      </c>
      <c r="CC19" s="62">
        <f t="shared" si="11"/>
        <v>353.21928852055612</v>
      </c>
      <c r="CD19" s="62">
        <f ca="1">AVERAGE(OFFSET($CC$3,0,0,'Données projet'!$E$12+1,1))-AVERAGE(OFFSET($H$3,0,0,'Données projet'!$E$12+1,1))</f>
        <v>426.64691649521097</v>
      </c>
      <c r="CE19" s="62">
        <f t="shared" si="40"/>
        <v>71.485487617222645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9.5030000000000001</v>
      </c>
      <c r="D20" s="12">
        <f t="shared" si="32"/>
        <v>3.369688883880555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99.368124717674462</v>
      </c>
      <c r="H20" s="70">
        <f t="shared" si="1"/>
        <v>315.75326647275864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353.82108070972311</v>
      </c>
      <c r="S20" s="62">
        <f ca="1">AVERAGE(OFFSET($R$3,0,0,'Données projet'!$E$9+1,1))-AVERAGE(OFFSET($H$3,0,0,'Données projet'!$E$9+1,1))</f>
        <v>165.12229410621887</v>
      </c>
      <c r="T20" s="62">
        <f t="shared" si="34"/>
        <v>148.17171564653341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9.8000000000000007</v>
      </c>
      <c r="AI20" s="14">
        <f>IF('Données projet'!$A$62&gt;35,AI19+AH20-AQ19,IF(A20&lt;'Données projet'!$A$62,$AF$205^A20,IF(A20='Données projet'!$A$62,'Données projet'!$B$62,AI19+AH20-AQ19)))</f>
        <v>115.6</v>
      </c>
      <c r="AJ20" s="14">
        <f>AI20*VLOOKUP('Données projet'!$B$10,Paramètres!$A$1:$I$89,3,0)*VLOOKUP('Données projet'!$B$10,Paramètres!$A$1:$I$89,5,0)</f>
        <v>104.59487999999999</v>
      </c>
      <c r="AK20" s="14">
        <f t="shared" si="35"/>
        <v>28.053785838854211</v>
      </c>
      <c r="AL20" s="22">
        <f t="shared" si="4"/>
        <v>231.02975966933766</v>
      </c>
      <c r="AM20" s="62">
        <f t="shared" si="5"/>
        <v>524.36309300267101</v>
      </c>
      <c r="AN20" s="62">
        <f ca="1">AVERAGE(OFFSET($AM$3,0,0,'Données projet'!$E$10+1,1))-AVERAGE(OFFSET($H$3,0,0,'Données projet'!$E$10+1,1))</f>
        <v>249.03969036629979</v>
      </c>
      <c r="AO20" s="62">
        <f t="shared" si="36"/>
        <v>347.8713931923707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0.98061415976126398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0.98061415976126398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349.8661782737675</v>
      </c>
      <c r="BI20" s="62">
        <f ca="1">AVERAGE(OFFSET($BH$3,0,0,'Données projet'!$E$11+1,1))-AVERAGE(OFFSET($H$3,0,0,'Données projet'!$E$11+1,1))</f>
        <v>280.57175994295949</v>
      </c>
      <c r="BJ20" s="62">
        <f t="shared" si="38"/>
        <v>216.69635818716841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3.3076923076923075</v>
      </c>
      <c r="BY20" s="13">
        <f>IF('Données projet'!$A$114&gt;35,BY19+BX20-CG19,IF(A20&lt;'Données projet'!$A$114,$BV$205^A20,IF(A20='Données projet'!$A$114,'Données projet'!$B$114,BY19+BX20-CG19)))</f>
        <v>56.230769230769219</v>
      </c>
      <c r="BZ20" s="14">
        <f>BY20*VLOOKUP('Données projet'!$B$12,Paramètres!$A$1:$I$89,3,0)*VLOOKUP('Données projet'!$B$12,Paramètres!$A$1:$I$89,5,0)</f>
        <v>27.777999999999999</v>
      </c>
      <c r="CA20" s="14">
        <f t="shared" si="39"/>
        <v>8.6937319393695809</v>
      </c>
      <c r="CB20" s="22">
        <f t="shared" si="10"/>
        <v>63.521599794402</v>
      </c>
      <c r="CC20" s="62">
        <f t="shared" si="11"/>
        <v>356.85493312773531</v>
      </c>
      <c r="CD20" s="62">
        <f ca="1">AVERAGE(OFFSET($CC$3,0,0,'Données projet'!$E$12+1,1))-AVERAGE(OFFSET($H$3,0,0,'Données projet'!$E$12+1,1))</f>
        <v>426.64691649521097</v>
      </c>
      <c r="CE20" s="62">
        <f t="shared" si="40"/>
        <v>71.485487617222645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10.061999999999999</v>
      </c>
      <c r="D21" s="12">
        <f t="shared" si="32"/>
        <v>3.5442465380941046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105.03067503090188</v>
      </c>
      <c r="H21" s="70">
        <f t="shared" si="1"/>
        <v>317.03087938718056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369.5167972092915</v>
      </c>
      <c r="S21" s="62">
        <f ca="1">AVERAGE(OFFSET($R$3,0,0,'Données projet'!$E$9+1,1))-AVERAGE(OFFSET($H$3,0,0,'Données projet'!$E$9+1,1))</f>
        <v>165.12229410621887</v>
      </c>
      <c r="T21" s="62">
        <f t="shared" si="34"/>
        <v>148.17171564653341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9.8000000000000007</v>
      </c>
      <c r="AI21" s="14">
        <f>IF('Données projet'!$A$62&gt;35,AI20+AH21-AQ20,IF(A21&lt;'Données projet'!$A$62,$AF$205^A21,IF(A21='Données projet'!$A$62,'Données projet'!$B$62,AI20+AH21-AQ20)))</f>
        <v>125.39999999999999</v>
      </c>
      <c r="AJ21" s="14">
        <f>AI21*VLOOKUP('Données projet'!$B$10,Paramètres!$A$1:$I$89,3,0)*VLOOKUP('Données projet'!$B$10,Paramètres!$A$1:$I$89,5,0)</f>
        <v>113.46191999999998</v>
      </c>
      <c r="AK21" s="14">
        <f t="shared" si="35"/>
        <v>30.145163126535493</v>
      </c>
      <c r="AL21" s="22">
        <f t="shared" si="4"/>
        <v>250.11566977871595</v>
      </c>
      <c r="AM21" s="62">
        <f t="shared" si="5"/>
        <v>543.44900311204924</v>
      </c>
      <c r="AN21" s="62">
        <f ca="1">AVERAGE(OFFSET($AM$3,0,0,'Données projet'!$E$10+1,1))-AVERAGE(OFFSET($H$3,0,0,'Données projet'!$E$10+1,1))</f>
        <v>249.03969036629979</v>
      </c>
      <c r="AO21" s="62">
        <f t="shared" si="36"/>
        <v>347.8713931923707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0.96138491420392402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0.96138491420392402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363.26248699382734</v>
      </c>
      <c r="BI21" s="62">
        <f ca="1">AVERAGE(OFFSET($BH$3,0,0,'Données projet'!$E$11+1,1))-AVERAGE(OFFSET($H$3,0,0,'Données projet'!$E$11+1,1))</f>
        <v>280.57175994295949</v>
      </c>
      <c r="BJ21" s="62">
        <f t="shared" si="38"/>
        <v>216.69635818716841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3.3076923076923075</v>
      </c>
      <c r="BY21" s="13">
        <f>IF('Données projet'!$A$114&gt;35,BY20+BX21-CG20,IF(A21&lt;'Données projet'!$A$114,$BV$205^A21,IF(A21='Données projet'!$A$114,'Données projet'!$B$114,BY20+BX21-CG20)))</f>
        <v>59.538461538461526</v>
      </c>
      <c r="BZ21" s="14">
        <f>BY21*VLOOKUP('Données projet'!$B$12,Paramètres!$A$1:$I$89,3,0)*VLOOKUP('Données projet'!$B$12,Paramètres!$A$1:$I$89,5,0)</f>
        <v>29.411999999999995</v>
      </c>
      <c r="CA21" s="14">
        <f t="shared" si="39"/>
        <v>9.1440873003517869</v>
      </c>
      <c r="CB21" s="22">
        <f t="shared" si="10"/>
        <v>67.151852048112687</v>
      </c>
      <c r="CC21" s="62">
        <f t="shared" si="11"/>
        <v>360.485185381446</v>
      </c>
      <c r="CD21" s="62">
        <f ca="1">AVERAGE(OFFSET($CC$3,0,0,'Données projet'!$E$12+1,1))-AVERAGE(OFFSET($H$3,0,0,'Données projet'!$E$12+1,1))</f>
        <v>426.64691649521097</v>
      </c>
      <c r="CE21" s="62">
        <f t="shared" si="40"/>
        <v>71.485487617222645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10.620999999999999</v>
      </c>
      <c r="D22" s="12">
        <f t="shared" si="32"/>
        <v>3.7176784168109291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110.68453514731243</v>
      </c>
      <c r="H22" s="70">
        <f t="shared" si="1"/>
        <v>318.30653157594566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389.29846466872669</v>
      </c>
      <c r="S22" s="62">
        <f ca="1">AVERAGE(OFFSET($R$3,0,0,'Données projet'!$E$9+1,1))-AVERAGE(OFFSET($H$3,0,0,'Données projet'!$E$9+1,1))</f>
        <v>165.12229410621887</v>
      </c>
      <c r="T22" s="62">
        <f t="shared" si="34"/>
        <v>148.17171564653341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9.8000000000000007</v>
      </c>
      <c r="AI22" s="14">
        <f>IF('Données projet'!$A$62&gt;35,AI21+AH22-AQ21,IF(A22&lt;'Données projet'!$A$62,$AF$205^A22,IF(A22='Données projet'!$A$62,'Données projet'!$B$62,AI21+AH22-AQ21)))</f>
        <v>135.19999999999999</v>
      </c>
      <c r="AJ22" s="14">
        <f>AI22*VLOOKUP('Données projet'!$B$10,Paramètres!$A$1:$I$89,3,0)*VLOOKUP('Données projet'!$B$10,Paramètres!$A$1:$I$89,5,0)</f>
        <v>122.32895999999998</v>
      </c>
      <c r="AK22" s="14">
        <f t="shared" si="35"/>
        <v>32.217581794883031</v>
      </c>
      <c r="AL22" s="22">
        <f t="shared" si="4"/>
        <v>269.16856029275453</v>
      </c>
      <c r="AM22" s="62">
        <f t="shared" si="5"/>
        <v>562.50189362608785</v>
      </c>
      <c r="AN22" s="62">
        <f ca="1">AVERAGE(OFFSET($AM$3,0,0,'Données projet'!$E$10+1,1))-AVERAGE(OFFSET($H$3,0,0,'Données projet'!$E$10+1,1))</f>
        <v>249.03969036629979</v>
      </c>
      <c r="AO22" s="62">
        <f t="shared" si="36"/>
        <v>347.8713931923707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0.94253274242328189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0.94253274242328189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379.84337213080869</v>
      </c>
      <c r="BI22" s="62">
        <f ca="1">AVERAGE(OFFSET($BH$3,0,0,'Données projet'!$E$11+1,1))-AVERAGE(OFFSET($H$3,0,0,'Données projet'!$E$11+1,1))</f>
        <v>280.57175994295949</v>
      </c>
      <c r="BJ22" s="62">
        <f t="shared" si="38"/>
        <v>216.69635818716841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3.3076923076923075</v>
      </c>
      <c r="BY22" s="13">
        <f>IF('Données projet'!$A$114&gt;35,BY21+BX22-CG21,IF(A22&lt;'Données projet'!$A$114,$BV$205^A22,IF(A22='Données projet'!$A$114,'Données projet'!$B$114,BY21+BX22-CG21)))</f>
        <v>62.846153846153832</v>
      </c>
      <c r="BZ22" s="14">
        <f>BY22*VLOOKUP('Données projet'!$B$12,Paramètres!$A$1:$I$89,3,0)*VLOOKUP('Données projet'!$B$12,Paramètres!$A$1:$I$89,5,0)</f>
        <v>31.045999999999996</v>
      </c>
      <c r="CA22" s="14">
        <f t="shared" si="39"/>
        <v>9.5915381823955226</v>
      </c>
      <c r="CB22" s="22">
        <f t="shared" si="10"/>
        <v>70.777045667672184</v>
      </c>
      <c r="CC22" s="62">
        <f t="shared" si="11"/>
        <v>364.11037900100553</v>
      </c>
      <c r="CD22" s="62">
        <f ca="1">AVERAGE(OFFSET($CC$3,0,0,'Données projet'!$E$12+1,1))-AVERAGE(OFFSET($H$3,0,0,'Données projet'!$E$12+1,1))</f>
        <v>426.64691649521097</v>
      </c>
      <c r="CE22" s="62">
        <f t="shared" si="40"/>
        <v>71.485487617222645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11.179999999999998</v>
      </c>
      <c r="D23" s="12">
        <f t="shared" si="32"/>
        <v>3.8900505285230369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116.33021460614272</v>
      </c>
      <c r="H23" s="70">
        <f t="shared" si="1"/>
        <v>319.58033800384425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414.23290956434556</v>
      </c>
      <c r="S23" s="62">
        <f ca="1">AVERAGE(OFFSET($R$3,0,0,'Données projet'!$E$9+1,1))-AVERAGE(OFFSET($H$3,0,0,'Données projet'!$E$9+1,1))</f>
        <v>165.12229410621887</v>
      </c>
      <c r="T23" s="62">
        <f t="shared" si="34"/>
        <v>148.17171564653341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145</v>
      </c>
      <c r="AG23" s="13">
        <f>VLOOKUP(A23,'Données projet'!$A$61:$I$81,9,0)</f>
        <v>9.8000000000000007</v>
      </c>
      <c r="AH23" s="13">
        <f t="array" ref="AH23">INDEX(AG:AG,MIN(IF(ISNUMBER(AG23:AG219),ROW(AG23:AG219),"")))</f>
        <v>9.8000000000000007</v>
      </c>
      <c r="AI23" s="14">
        <f>IF('Données projet'!$A$62&gt;35,AI22+AH23-AQ22,IF(A23&lt;'Données projet'!$A$62,$AF$205^A23,IF(A23='Données projet'!$A$62,'Données projet'!$B$62,AI22+AH23-AQ22)))</f>
        <v>145</v>
      </c>
      <c r="AJ23" s="14">
        <f>AI23*VLOOKUP('Données projet'!$B$10,Paramètres!$A$1:$I$89,3,0)*VLOOKUP('Données projet'!$B$10,Paramètres!$A$1:$I$89,5,0)</f>
        <v>131.196</v>
      </c>
      <c r="AK23" s="14">
        <f t="shared" si="35"/>
        <v>34.272572346624997</v>
      </c>
      <c r="AL23" s="22">
        <f t="shared" si="4"/>
        <v>288.19109683703851</v>
      </c>
      <c r="AM23" s="62">
        <f t="shared" si="5"/>
        <v>581.52443017037183</v>
      </c>
      <c r="AN23" s="62">
        <f ca="1">AVERAGE(OFFSET($AM$3,0,0,'Données projet'!$E$10+1,1))-AVERAGE(OFFSET($H$3,0,0,'Données projet'!$E$10+1,1))</f>
        <v>249.03969036629979</v>
      </c>
      <c r="AO23" s="62">
        <f t="shared" si="36"/>
        <v>347.8713931923707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14</v>
      </c>
      <c r="AR23" s="17">
        <f>IF(ISNA(VLOOKUP(A23,'Données projet'!$A$61:$I$81,5,0)),0%,VLOOKUP(A23,'Données projet'!$A$61:$I$81,5,0)*VLOOKUP('Données projet'!$B$10,Paramètres!$A$1:$I$89,7,0))</f>
        <v>0.24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4.2848217042213168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4.2848217042213168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400.36809883857921</v>
      </c>
      <c r="BI23" s="62">
        <f ca="1">AVERAGE(OFFSET($BH$3,0,0,'Données projet'!$E$11+1,1))-AVERAGE(OFFSET($H$3,0,0,'Données projet'!$E$11+1,1))</f>
        <v>280.57175994295949</v>
      </c>
      <c r="BJ23" s="62">
        <f t="shared" si="38"/>
        <v>216.69635818716841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3.3076923076923075</v>
      </c>
      <c r="BY23" s="13">
        <f>IF('Données projet'!$A$114&gt;35,BY22+BX23-CG22,IF(A23&lt;'Données projet'!$A$114,$BV$205^A23,IF(A23='Données projet'!$A$114,'Données projet'!$B$114,BY22+BX23-CG22)))</f>
        <v>66.153846153846146</v>
      </c>
      <c r="BZ23" s="14">
        <f>BY23*VLOOKUP('Données projet'!$B$12,Paramètres!$A$1:$I$89,3,0)*VLOOKUP('Données projet'!$B$12,Paramètres!$A$1:$I$89,5,0)</f>
        <v>32.679999999999993</v>
      </c>
      <c r="CA23" s="14">
        <f t="shared" si="39"/>
        <v>10.036254886129425</v>
      </c>
      <c r="CB23" s="22">
        <f t="shared" si="10"/>
        <v>74.397477260008742</v>
      </c>
      <c r="CC23" s="62">
        <f t="shared" si="11"/>
        <v>367.73081059334208</v>
      </c>
      <c r="CD23" s="62">
        <f ca="1">AVERAGE(OFFSET($CC$3,0,0,'Données projet'!$E$12+1,1))-AVERAGE(OFFSET($H$3,0,0,'Données projet'!$E$12+1,1))</f>
        <v>426.64691649521097</v>
      </c>
      <c r="CE23" s="62">
        <f t="shared" si="40"/>
        <v>71.485487617222645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11.738999999999997</v>
      </c>
      <c r="D24" s="12">
        <f t="shared" si="32"/>
        <v>4.0614219079945988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121.96816911434426</v>
      </c>
      <c r="H24" s="70">
        <f t="shared" si="1"/>
        <v>320.85240148975726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121.5</v>
      </c>
      <c r="O24" s="14">
        <f>N24*VLOOKUP('Données projet'!$B$9,Paramètres!$A$1:$I$89,3,0)*VLOOKUP('Données projet'!$B$9,Paramètres!$A$1:$I$89,5,0)</f>
        <v>56.861999999999995</v>
      </c>
      <c r="P24" s="14">
        <f t="shared" si="33"/>
        <v>16.372420859571687</v>
      </c>
      <c r="Q24" s="22">
        <f t="shared" si="2"/>
        <v>127.54994966375402</v>
      </c>
      <c r="R24" s="62">
        <f t="shared" si="0"/>
        <v>420.88328299708735</v>
      </c>
      <c r="S24" s="62">
        <f ca="1">AVERAGE(OFFSET($R$3,0,0,'Données projet'!$E$9+1,1))-AVERAGE(OFFSET($H$3,0,0,'Données projet'!$E$9+1,1))</f>
        <v>165.12229410621887</v>
      </c>
      <c r="T24" s="62">
        <f t="shared" si="34"/>
        <v>148.17171564653341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8.4</v>
      </c>
      <c r="AI24" s="14">
        <f>IF('Données projet'!$A$62&gt;35,AI23+AH24-AQ23,IF(A24&lt;'Données projet'!$A$62,$AF$205^A24,IF(A24='Données projet'!$A$62,'Données projet'!$B$62,AI23+AH24-AQ23)))</f>
        <v>139.4</v>
      </c>
      <c r="AJ24" s="14">
        <f>AI24*VLOOKUP('Données projet'!$B$10,Paramètres!$A$1:$I$89,3,0)*VLOOKUP('Données projet'!$B$10,Paramètres!$A$1:$I$89,5,0)</f>
        <v>126.12912000000001</v>
      </c>
      <c r="AK24" s="14">
        <f t="shared" si="35"/>
        <v>33.100345121748241</v>
      </c>
      <c r="AL24" s="22">
        <f t="shared" si="4"/>
        <v>277.32465175371152</v>
      </c>
      <c r="AM24" s="62">
        <f t="shared" si="5"/>
        <v>570.65798508704484</v>
      </c>
      <c r="AN24" s="62">
        <f ca="1">AVERAGE(OFFSET($AM$3,0,0,'Données projet'!$E$10+1,1))-AVERAGE(OFFSET($H$3,0,0,'Données projet'!$E$10+1,1))</f>
        <v>249.03969036629979</v>
      </c>
      <c r="AO24" s="62">
        <f t="shared" si="36"/>
        <v>347.8713931923707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4.2007989640847168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4.2007989640847168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425.77744411092726</v>
      </c>
      <c r="BI24" s="62">
        <f ca="1">AVERAGE(OFFSET($BH$3,0,0,'Données projet'!$E$11+1,1))-AVERAGE(OFFSET($H$3,0,0,'Données projet'!$E$11+1,1))</f>
        <v>280.57175994295949</v>
      </c>
      <c r="BJ24" s="62">
        <f t="shared" si="38"/>
        <v>216.69635818716841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3.3076923076923075</v>
      </c>
      <c r="BY24" s="13">
        <f>IF('Données projet'!$A$114&gt;35,BY23+BX24-CG23,IF(A24&lt;'Données projet'!$A$114,$BV$205^A24,IF(A24='Données projet'!$A$114,'Données projet'!$B$114,BY23+BX24-CG23)))</f>
        <v>69.461538461538453</v>
      </c>
      <c r="BZ24" s="14">
        <f>BY24*VLOOKUP('Données projet'!$B$12,Paramètres!$A$1:$I$89,3,0)*VLOOKUP('Données projet'!$B$12,Paramètres!$A$1:$I$89,5,0)</f>
        <v>34.313999999999993</v>
      </c>
      <c r="CA24" s="14">
        <f t="shared" si="39"/>
        <v>10.478389720099615</v>
      </c>
      <c r="CB24" s="22">
        <f t="shared" si="10"/>
        <v>78.013412095840138</v>
      </c>
      <c r="CC24" s="62">
        <f t="shared" si="11"/>
        <v>371.34674542917344</v>
      </c>
      <c r="CD24" s="62">
        <f ca="1">AVERAGE(OFFSET($CC$3,0,0,'Données projet'!$E$12+1,1))-AVERAGE(OFFSET($H$3,0,0,'Données projet'!$E$12+1,1))</f>
        <v>426.64691649521097</v>
      </c>
      <c r="CE24" s="62">
        <f t="shared" si="40"/>
        <v>71.485487617222645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12.297999999999996</v>
      </c>
      <c r="D25" s="12">
        <f t="shared" si="32"/>
        <v>4.2318456499363739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127.59880852582461</v>
      </c>
      <c r="H25" s="70">
        <f t="shared" si="1"/>
        <v>322.12281450697247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128</v>
      </c>
      <c r="O25" s="14">
        <f>N25*VLOOKUP('Données projet'!$B$9,Paramètres!$A$1:$I$89,3,0)*VLOOKUP('Données projet'!$B$9,Paramètres!$A$1:$I$89,5,0)</f>
        <v>59.903999999999996</v>
      </c>
      <c r="P25" s="14">
        <f t="shared" si="33"/>
        <v>17.143994938960184</v>
      </c>
      <c r="Q25" s="22">
        <f t="shared" si="2"/>
        <v>134.19192451868898</v>
      </c>
      <c r="R25" s="62">
        <f t="shared" si="0"/>
        <v>427.52525785202226</v>
      </c>
      <c r="S25" s="62">
        <f ca="1">AVERAGE(OFFSET($R$3,0,0,'Données projet'!$E$9+1,1))-AVERAGE(OFFSET($H$3,0,0,'Données projet'!$E$9+1,1))</f>
        <v>165.12229410621887</v>
      </c>
      <c r="T25" s="62">
        <f t="shared" si="34"/>
        <v>148.17171564653341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8.4</v>
      </c>
      <c r="AI25" s="14">
        <f>IF('Données projet'!$A$62&gt;35,AI24+AH25-AQ24,IF(A25&lt;'Données projet'!$A$62,$AF$205^A25,IF(A25='Données projet'!$A$62,'Données projet'!$B$62,AI24+AH25-AQ24)))</f>
        <v>147.80000000000001</v>
      </c>
      <c r="AJ25" s="14">
        <f>AI25*VLOOKUP('Données projet'!$B$10,Paramètres!$A$1:$I$89,3,0)*VLOOKUP('Données projet'!$B$10,Paramètres!$A$1:$I$89,5,0)</f>
        <v>133.72944000000001</v>
      </c>
      <c r="AK25" s="14">
        <f t="shared" si="35"/>
        <v>34.856699711744326</v>
      </c>
      <c r="AL25" s="22">
        <f t="shared" si="4"/>
        <v>293.62085999795471</v>
      </c>
      <c r="AM25" s="62">
        <f t="shared" si="5"/>
        <v>586.95419333128802</v>
      </c>
      <c r="AN25" s="62">
        <f ca="1">AVERAGE(OFFSET($AM$3,0,0,'Données projet'!$E$10+1,1))-AVERAGE(OFFSET($H$3,0,0,'Données projet'!$E$10+1,1))</f>
        <v>249.03969036629979</v>
      </c>
      <c r="AO25" s="62">
        <f t="shared" si="36"/>
        <v>347.8713931923707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4.1184238586333839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4.1184238586333839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457.23719620976442</v>
      </c>
      <c r="BI25" s="62">
        <f ca="1">AVERAGE(OFFSET($BH$3,0,0,'Données projet'!$E$11+1,1))-AVERAGE(OFFSET($H$3,0,0,'Données projet'!$E$11+1,1))</f>
        <v>280.57175994295949</v>
      </c>
      <c r="BJ25" s="62">
        <f t="shared" si="38"/>
        <v>216.69635818716841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1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10.833198622733226</v>
      </c>
      <c r="BS25" s="24">
        <f t="shared" si="9"/>
        <v>10.833198622733226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3.3076923076923075</v>
      </c>
      <c r="BY25" s="13">
        <f>IF('Données projet'!$A$114&gt;35,BY24+BX25-CG24,IF(A25&lt;'Données projet'!$A$114,$BV$205^A25,IF(A25='Données projet'!$A$114,'Données projet'!$B$114,BY24+BX25-CG24)))</f>
        <v>72.769230769230759</v>
      </c>
      <c r="BZ25" s="14">
        <f>BY25*VLOOKUP('Données projet'!$B$12,Paramètres!$A$1:$I$89,3,0)*VLOOKUP('Données projet'!$B$12,Paramètres!$A$1:$I$89,5,0)</f>
        <v>35.947999999999993</v>
      </c>
      <c r="CA25" s="14">
        <f t="shared" si="39"/>
        <v>10.918079667629687</v>
      </c>
      <c r="CB25" s="22">
        <f t="shared" si="10"/>
        <v>81.625088754455007</v>
      </c>
      <c r="CC25" s="62">
        <f t="shared" si="11"/>
        <v>374.95842208778834</v>
      </c>
      <c r="CD25" s="62">
        <f ca="1">AVERAGE(OFFSET($CC$3,0,0,'Données projet'!$E$12+1,1))-AVERAGE(OFFSET($H$3,0,0,'Données projet'!$E$12+1,1))</f>
        <v>426.64691649521097</v>
      </c>
      <c r="CE25" s="62">
        <f t="shared" si="40"/>
        <v>71.485487617222645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12.856999999999996</v>
      </c>
      <c r="D26" s="12">
        <f t="shared" si="32"/>
        <v>4.4013697494266859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133.22250332890772</v>
      </c>
      <c r="H26" s="70">
        <f t="shared" si="1"/>
        <v>323.39166064691813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134.5</v>
      </c>
      <c r="O26" s="14">
        <f>N26*VLOOKUP('Données projet'!$B$9,Paramètres!$A$1:$I$89,3,0)*VLOOKUP('Données projet'!$B$9,Paramètres!$A$1:$I$89,5,0)</f>
        <v>62.946000000000005</v>
      </c>
      <c r="P26" s="14">
        <f t="shared" si="33"/>
        <v>17.911019680519331</v>
      </c>
      <c r="Q26" s="22">
        <f t="shared" si="2"/>
        <v>140.82597594357114</v>
      </c>
      <c r="R26" s="62">
        <f t="shared" si="0"/>
        <v>434.15930927690442</v>
      </c>
      <c r="S26" s="62">
        <f ca="1">AVERAGE(OFFSET($R$3,0,0,'Données projet'!$E$9+1,1))-AVERAGE(OFFSET($H$3,0,0,'Données projet'!$E$9+1,1))</f>
        <v>165.12229410621887</v>
      </c>
      <c r="T26" s="62">
        <f t="shared" si="34"/>
        <v>148.17171564653341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8.4</v>
      </c>
      <c r="AI26" s="14">
        <f>IF('Données projet'!$A$62&gt;35,AI25+AH26-AQ25,IF(A26&lt;'Données projet'!$A$62,$AF$205^A26,IF(A26='Données projet'!$A$62,'Données projet'!$B$62,AI25+AH26-AQ25)))</f>
        <v>156.20000000000002</v>
      </c>
      <c r="AJ26" s="14">
        <f>AI26*VLOOKUP('Données projet'!$B$10,Paramètres!$A$1:$I$89,3,0)*VLOOKUP('Données projet'!$B$10,Paramètres!$A$1:$I$89,5,0)</f>
        <v>141.32976000000002</v>
      </c>
      <c r="AK26" s="14">
        <f t="shared" si="35"/>
        <v>36.601467030988793</v>
      </c>
      <c r="AL26" s="22">
        <f t="shared" si="4"/>
        <v>309.89688707897216</v>
      </c>
      <c r="AM26" s="62">
        <f t="shared" si="5"/>
        <v>603.23022041230547</v>
      </c>
      <c r="AN26" s="62">
        <f ca="1">AVERAGE(OFFSET($AM$3,0,0,'Données projet'!$E$10+1,1))-AVERAGE(OFFSET($H$3,0,0,'Données projet'!$E$10+1,1))</f>
        <v>249.03969036629979</v>
      </c>
      <c r="AO26" s="62">
        <f t="shared" si="36"/>
        <v>347.8713931923707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4.0376640787560989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4.0376640787560989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452.47373260408426</v>
      </c>
      <c r="BI26" s="62">
        <f ca="1">AVERAGE(OFFSET($BH$3,0,0,'Données projet'!$E$11+1,1))-AVERAGE(OFFSET($H$3,0,0,'Données projet'!$E$11+1,1))</f>
        <v>280.57175994295949</v>
      </c>
      <c r="BJ26" s="62">
        <f t="shared" si="38"/>
        <v>216.69635818716841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7.6602282080754316</v>
      </c>
      <c r="BS26" s="24">
        <f t="shared" si="9"/>
        <v>7.6602282080754316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3.3076923076923075</v>
      </c>
      <c r="BY26" s="13">
        <f>IF('Données projet'!$A$114&gt;35,BY25+BX26-CG25,IF(A26&lt;'Données projet'!$A$114,$BV$205^A26,IF(A26='Données projet'!$A$114,'Données projet'!$B$114,BY25+BX26-CG25)))</f>
        <v>76.076923076923066</v>
      </c>
      <c r="BZ26" s="14">
        <f>BY26*VLOOKUP('Données projet'!$B$12,Paramètres!$A$1:$I$89,3,0)*VLOOKUP('Données projet'!$B$12,Paramètres!$A$1:$I$89,5,0)</f>
        <v>37.582000000000001</v>
      </c>
      <c r="CA26" s="14">
        <f t="shared" si="39"/>
        <v>11.35544855509047</v>
      </c>
      <c r="CB26" s="22">
        <f t="shared" si="10"/>
        <v>85.232722900115888</v>
      </c>
      <c r="CC26" s="62">
        <f t="shared" si="11"/>
        <v>378.56605623344922</v>
      </c>
      <c r="CD26" s="62">
        <f ca="1">AVERAGE(OFFSET($CC$3,0,0,'Données projet'!$E$12+1,1))-AVERAGE(OFFSET($H$3,0,0,'Données projet'!$E$12+1,1))</f>
        <v>426.64691649521097</v>
      </c>
      <c r="CE26" s="62">
        <f t="shared" si="40"/>
        <v>71.485487617222645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13.415999999999995</v>
      </c>
      <c r="D27" s="12">
        <f t="shared" si="32"/>
        <v>4.5700377920480229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138.83958997370399</v>
      </c>
      <c r="H27" s="70">
        <f t="shared" si="1"/>
        <v>324.65901582115026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141</v>
      </c>
      <c r="O27" s="14">
        <f>N27*VLOOKUP('Données projet'!$B$9,Paramètres!$A$1:$I$89,3,0)*VLOOKUP('Données projet'!$B$9,Paramètres!$A$1:$I$89,5,0)</f>
        <v>65.988</v>
      </c>
      <c r="P27" s="14">
        <f t="shared" si="33"/>
        <v>18.67374003807944</v>
      </c>
      <c r="Q27" s="22">
        <f t="shared" si="2"/>
        <v>147.45253056632168</v>
      </c>
      <c r="R27" s="62">
        <f t="shared" si="0"/>
        <v>440.785863899655</v>
      </c>
      <c r="S27" s="62">
        <f ca="1">AVERAGE(OFFSET($R$3,0,0,'Données projet'!$E$9+1,1))-AVERAGE(OFFSET($H$3,0,0,'Données projet'!$E$9+1,1))</f>
        <v>165.12229410621887</v>
      </c>
      <c r="T27" s="62">
        <f t="shared" si="34"/>
        <v>148.17171564653341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8.4</v>
      </c>
      <c r="AI27" s="14">
        <f>IF('Données projet'!$A$62&gt;35,AI26+AH27-AQ26,IF(A27&lt;'Données projet'!$A$62,$AF$205^A27,IF(A27='Données projet'!$A$62,'Données projet'!$B$62,AI26+AH27-AQ26)))</f>
        <v>164.60000000000002</v>
      </c>
      <c r="AJ27" s="14">
        <f>AI27*VLOOKUP('Données projet'!$B$10,Paramètres!$A$1:$I$89,3,0)*VLOOKUP('Données projet'!$B$10,Paramètres!$A$1:$I$89,5,0)</f>
        <v>148.93008</v>
      </c>
      <c r="AK27" s="14">
        <f t="shared" si="35"/>
        <v>38.335341256889777</v>
      </c>
      <c r="AL27" s="22">
        <f t="shared" si="4"/>
        <v>326.1539420224164</v>
      </c>
      <c r="AM27" s="62">
        <f t="shared" si="5"/>
        <v>619.48727535574972</v>
      </c>
      <c r="AN27" s="62">
        <f ca="1">AVERAGE(OFFSET($AM$3,0,0,'Données projet'!$E$10+1,1))-AVERAGE(OFFSET($H$3,0,0,'Données projet'!$E$10+1,1))</f>
        <v>249.03969036629979</v>
      </c>
      <c r="AO27" s="62">
        <f t="shared" si="36"/>
        <v>347.8713931923707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3.9584879489036053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3.9584879489036053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468.48347327497567</v>
      </c>
      <c r="BI27" s="62">
        <f ca="1">AVERAGE(OFFSET($BH$3,0,0,'Données projet'!$E$11+1,1))-AVERAGE(OFFSET($H$3,0,0,'Données projet'!$E$11+1,1))</f>
        <v>280.57175994295949</v>
      </c>
      <c r="BJ27" s="62">
        <f t="shared" si="38"/>
        <v>216.69635818716841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5.416599311366614</v>
      </c>
      <c r="BS27" s="24">
        <f t="shared" si="9"/>
        <v>5.416599311366614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3.3076923076923075</v>
      </c>
      <c r="BY27" s="13">
        <f>IF('Données projet'!$A$114&gt;35,BY26+BX27-CG26,IF(A27&lt;'Données projet'!$A$114,$BV$205^A27,IF(A27='Données projet'!$A$114,'Données projet'!$B$114,BY26+BX27-CG26)))</f>
        <v>79.384615384615373</v>
      </c>
      <c r="BZ27" s="14">
        <f>BY27*VLOOKUP('Données projet'!$B$12,Paramètres!$A$1:$I$89,3,0)*VLOOKUP('Données projet'!$B$12,Paramètres!$A$1:$I$89,5,0)</f>
        <v>39.216000000000001</v>
      </c>
      <c r="CA27" s="14">
        <f t="shared" si="39"/>
        <v>11.790608832439103</v>
      </c>
      <c r="CB27" s="22">
        <f t="shared" si="10"/>
        <v>88.836510383164764</v>
      </c>
      <c r="CC27" s="62">
        <f t="shared" si="11"/>
        <v>382.16984371649806</v>
      </c>
      <c r="CD27" s="62">
        <f ca="1">AVERAGE(OFFSET($CC$3,0,0,'Données projet'!$E$12+1,1))-AVERAGE(OFFSET($H$3,0,0,'Données projet'!$E$12+1,1))</f>
        <v>426.64691649521097</v>
      </c>
      <c r="CE27" s="62">
        <f t="shared" si="40"/>
        <v>71.485487617222645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13.974999999999994</v>
      </c>
      <c r="D28" s="12">
        <f t="shared" si="32"/>
        <v>4.7378895257597495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144.45037528656644</v>
      </c>
      <c r="H28" s="70">
        <f t="shared" si="1"/>
        <v>325.92494925736486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147.5</v>
      </c>
      <c r="O28" s="14">
        <f>N28*VLOOKUP('Données projet'!$B$9,Paramètres!$A$1:$I$89,3,0)*VLOOKUP('Données projet'!$B$9,Paramètres!$A$1:$I$89,5,0)</f>
        <v>69.03</v>
      </c>
      <c r="P28" s="14">
        <f t="shared" si="33"/>
        <v>19.432377104615718</v>
      </c>
      <c r="Q28" s="22">
        <f t="shared" si="2"/>
        <v>154.0719734572057</v>
      </c>
      <c r="R28" s="62">
        <f t="shared" si="0"/>
        <v>447.40530679053904</v>
      </c>
      <c r="S28" s="62">
        <f ca="1">AVERAGE(OFFSET($R$3,0,0,'Données projet'!$E$9+1,1))-AVERAGE(OFFSET($H$3,0,0,'Données projet'!$E$9+1,1))</f>
        <v>165.12229410621887</v>
      </c>
      <c r="T28" s="62">
        <f t="shared" si="34"/>
        <v>148.17171564653341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173</v>
      </c>
      <c r="AG28" s="13">
        <f>VLOOKUP(A28,'Données projet'!$A$61:$I$81,9,0)</f>
        <v>8.4</v>
      </c>
      <c r="AH28" s="13">
        <f t="array" ref="AH28">INDEX(AG:AG,MIN(IF(ISNUMBER(AG28:AG224),ROW(AG28:AG224),"")))</f>
        <v>8.4</v>
      </c>
      <c r="AI28" s="14">
        <f>IF('Données projet'!$A$62&gt;35,AI27+AH28-AQ27,IF(A28&lt;'Données projet'!$A$62,$AF$205^A28,IF(A28='Données projet'!$A$62,'Données projet'!$B$62,AI27+AH28-AQ27)))</f>
        <v>173.00000000000003</v>
      </c>
      <c r="AJ28" s="14">
        <f>AI28*VLOOKUP('Données projet'!$B$10,Paramètres!$A$1:$I$89,3,0)*VLOOKUP('Données projet'!$B$10,Paramètres!$A$1:$I$89,5,0)</f>
        <v>156.53040000000001</v>
      </c>
      <c r="AK28" s="14">
        <f t="shared" si="35"/>
        <v>40.058941713182037</v>
      </c>
      <c r="AL28" s="22">
        <f t="shared" si="4"/>
        <v>342.39310348379212</v>
      </c>
      <c r="AM28" s="62">
        <f t="shared" si="5"/>
        <v>635.72643681712543</v>
      </c>
      <c r="AN28" s="62">
        <f ca="1">AVERAGE(OFFSET($AM$3,0,0,'Données projet'!$E$10+1,1))-AVERAGE(OFFSET($H$3,0,0,'Données projet'!$E$10+1,1))</f>
        <v>249.03969036629979</v>
      </c>
      <c r="AO28" s="62">
        <f t="shared" si="36"/>
        <v>347.8713931923707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11</v>
      </c>
      <c r="AR28" s="17">
        <f>IF(ISNA(VLOOKUP(A28,'Données projet'!$A$61:$I$81,5,0)),0%,VLOOKUP(A28,'Données projet'!$A$61:$I$81,5,0)*VLOOKUP('Données projet'!$B$10,Paramètres!$A$1:$I$89,7,0))</f>
        <v>0.24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6.5214705570845792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6.5214705570845792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484.4588463196344</v>
      </c>
      <c r="BI28" s="62">
        <f ca="1">AVERAGE(OFFSET($BH$3,0,0,'Données projet'!$E$11+1,1))-AVERAGE(OFFSET($H$3,0,0,'Données projet'!$E$11+1,1))</f>
        <v>280.57175994295949</v>
      </c>
      <c r="BJ28" s="62">
        <f t="shared" si="38"/>
        <v>216.69635818716841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15.34038764069177</v>
      </c>
      <c r="BS28" s="24">
        <f t="shared" si="9"/>
        <v>15.34038764069177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3.3076923076923075</v>
      </c>
      <c r="BY28" s="13">
        <f>IF('Données projet'!$A$114&gt;35,BY27+BX28-CG27,IF(A28&lt;'Données projet'!$A$114,$BV$205^A28,IF(A28='Données projet'!$A$114,'Données projet'!$B$114,BY27+BX28-CG27)))</f>
        <v>82.692307692307679</v>
      </c>
      <c r="BZ28" s="14">
        <f>BY28*VLOOKUP('Données projet'!$B$12,Paramètres!$A$1:$I$89,3,0)*VLOOKUP('Données projet'!$B$12,Paramètres!$A$1:$I$89,5,0)</f>
        <v>40.849999999999994</v>
      </c>
      <c r="CA28" s="14">
        <f t="shared" si="39"/>
        <v>12.223663048639532</v>
      </c>
      <c r="CB28" s="22">
        <f t="shared" si="10"/>
        <v>92.436629809713835</v>
      </c>
      <c r="CC28" s="62">
        <f t="shared" si="11"/>
        <v>385.76996314304716</v>
      </c>
      <c r="CD28" s="62">
        <f ca="1">AVERAGE(OFFSET($CC$3,0,0,'Données projet'!$E$12+1,1))-AVERAGE(OFFSET($H$3,0,0,'Données projet'!$E$12+1,1))</f>
        <v>426.64691649521097</v>
      </c>
      <c r="CE28" s="62">
        <f t="shared" si="40"/>
        <v>71.485487617222645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14.533999999999994</v>
      </c>
      <c r="D29" s="12">
        <f t="shared" si="32"/>
        <v>4.9049613386955659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150.05514015835169</v>
      </c>
      <c r="H29" s="70">
        <f t="shared" si="1"/>
        <v>327.18952433156142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154</v>
      </c>
      <c r="O29" s="14">
        <f>N29*VLOOKUP('Données projet'!$B$9,Paramètres!$A$1:$I$89,3,0)*VLOOKUP('Données projet'!$B$9,Paramètres!$A$1:$I$89,5,0)</f>
        <v>72.072000000000003</v>
      </c>
      <c r="P29" s="14">
        <f t="shared" si="33"/>
        <v>20.187131385147271</v>
      </c>
      <c r="Q29" s="22">
        <f t="shared" si="2"/>
        <v>160.68465382913149</v>
      </c>
      <c r="R29" s="62">
        <f t="shared" si="0"/>
        <v>454.01798716246481</v>
      </c>
      <c r="S29" s="62">
        <f ca="1">AVERAGE(OFFSET($R$3,0,0,'Données projet'!$E$9+1,1))-AVERAGE(OFFSET($H$3,0,0,'Données projet'!$E$9+1,1))</f>
        <v>165.12229410621887</v>
      </c>
      <c r="T29" s="62">
        <f t="shared" si="34"/>
        <v>148.17171564653341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</v>
      </c>
      <c r="AI29" s="14">
        <f>IF('Données projet'!$A$62&gt;35,AI28+AH29-AQ28,IF(A29&lt;'Données projet'!$A$62,$AF$205^A29,IF(A29='Données projet'!$A$62,'Données projet'!$B$62,AI28+AH29-AQ28)))</f>
        <v>168.80000000000004</v>
      </c>
      <c r="AJ29" s="14">
        <f>AI29*VLOOKUP('Données projet'!$B$10,Paramètres!$A$1:$I$89,3,0)*VLOOKUP('Données projet'!$B$10,Paramètres!$A$1:$I$89,5,0)</f>
        <v>152.73024000000001</v>
      </c>
      <c r="AK29" s="14">
        <f t="shared" si="35"/>
        <v>39.198389597047516</v>
      </c>
      <c r="AL29" s="22">
        <f t="shared" si="4"/>
        <v>334.27569654819109</v>
      </c>
      <c r="AM29" s="62">
        <f t="shared" si="5"/>
        <v>627.60902988152441</v>
      </c>
      <c r="AN29" s="62">
        <f ca="1">AVERAGE(OFFSET($AM$3,0,0,'Données projet'!$E$10+1,1))-AVERAGE(OFFSET($H$3,0,0,'Données projet'!$E$10+1,1))</f>
        <v>249.03969036629979</v>
      </c>
      <c r="AO29" s="62">
        <f t="shared" si="36"/>
        <v>347.8713931923707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6.3935884971644246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6.3935884971644246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479.79911161741188</v>
      </c>
      <c r="BI29" s="62">
        <f ca="1">AVERAGE(OFFSET($BH$3,0,0,'Données projet'!$E$11+1,1))-AVERAGE(OFFSET($H$3,0,0,'Données projet'!$E$11+1,1))</f>
        <v>280.57175994295949</v>
      </c>
      <c r="BJ29" s="62">
        <f t="shared" si="38"/>
        <v>216.69635818716841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10.847292126763454</v>
      </c>
      <c r="BS29" s="24">
        <f t="shared" si="9"/>
        <v>10.847292126763454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3.3076923076923075</v>
      </c>
      <c r="BY29" s="13">
        <f>IF('Données projet'!$A$114&gt;35,BY28+BX29-CG28,IF(A29&lt;'Données projet'!$A$114,$BV$205^A29,IF(A29='Données projet'!$A$114,'Données projet'!$B$114,BY28+BX29-CG28)))</f>
        <v>85.999999999999986</v>
      </c>
      <c r="BZ29" s="14">
        <f>BY29*VLOOKUP('Données projet'!$B$12,Paramètres!$A$1:$I$89,3,0)*VLOOKUP('Données projet'!$B$12,Paramètres!$A$1:$I$89,5,0)</f>
        <v>42.483999999999995</v>
      </c>
      <c r="CA29" s="14">
        <f t="shared" si="39"/>
        <v>12.654705084370677</v>
      </c>
      <c r="CB29" s="22">
        <f t="shared" si="10"/>
        <v>96.033244688612243</v>
      </c>
      <c r="CC29" s="62">
        <f t="shared" si="11"/>
        <v>389.36657802194554</v>
      </c>
      <c r="CD29" s="62">
        <f ca="1">AVERAGE(OFFSET($CC$3,0,0,'Données projet'!$E$12+1,1))-AVERAGE(OFFSET($H$3,0,0,'Données projet'!$E$12+1,1))</f>
        <v>426.64691649521097</v>
      </c>
      <c r="CE29" s="62">
        <f t="shared" si="40"/>
        <v>71.485487617222645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15.092999999999993</v>
      </c>
      <c r="D30" s="12">
        <f t="shared" si="32"/>
        <v>5.0712866613861189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155.65414264929629</v>
      </c>
      <c r="H30" s="70">
        <f t="shared" si="1"/>
        <v>328.4527992685808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160.5</v>
      </c>
      <c r="O30" s="14">
        <f>N30*VLOOKUP('Données projet'!$B$9,Paramètres!$A$1:$I$89,3,0)*VLOOKUP('Données projet'!$B$9,Paramètres!$A$1:$I$89,5,0)</f>
        <v>75.114000000000004</v>
      </c>
      <c r="P30" s="14">
        <f t="shared" si="33"/>
        <v>20.938185501492693</v>
      </c>
      <c r="Q30" s="22">
        <f t="shared" si="2"/>
        <v>167.2908897484331</v>
      </c>
      <c r="R30" s="62">
        <f t="shared" si="0"/>
        <v>460.62422308176644</v>
      </c>
      <c r="S30" s="62">
        <f ca="1">AVERAGE(OFFSET($R$3,0,0,'Données projet'!$E$9+1,1))-AVERAGE(OFFSET($H$3,0,0,'Données projet'!$E$9+1,1))</f>
        <v>165.12229410621887</v>
      </c>
      <c r="T30" s="62">
        <f t="shared" si="34"/>
        <v>148.17171564653341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</v>
      </c>
      <c r="AI30" s="14">
        <f>IF('Données projet'!$A$62&gt;35,AI29+AH30-AQ29,IF(A30&lt;'Données projet'!$A$62,$AF$205^A30,IF(A30='Données projet'!$A$62,'Données projet'!$B$62,AI29+AH30-AQ29)))</f>
        <v>175.60000000000005</v>
      </c>
      <c r="AJ30" s="14">
        <f>AI30*VLOOKUP('Données projet'!$B$10,Paramètres!$A$1:$I$89,3,0)*VLOOKUP('Données projet'!$B$10,Paramètres!$A$1:$I$89,5,0)</f>
        <v>158.88288000000006</v>
      </c>
      <c r="AK30" s="14">
        <f t="shared" si="35"/>
        <v>40.590443217000178</v>
      </c>
      <c r="AL30" s="22">
        <f t="shared" si="4"/>
        <v>347.41603793627536</v>
      </c>
      <c r="AM30" s="62">
        <f t="shared" si="5"/>
        <v>640.74937126960867</v>
      </c>
      <c r="AN30" s="62">
        <f ca="1">AVERAGE(OFFSET($AM$3,0,0,'Données projet'!$E$10+1,1))-AVERAGE(OFFSET($H$3,0,0,'Données projet'!$E$10+1,1))</f>
        <v>249.03969036629979</v>
      </c>
      <c r="AO30" s="62">
        <f t="shared" si="36"/>
        <v>347.8713931923707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6.2682141264389495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6.2682141264389495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497.13048476928668</v>
      </c>
      <c r="BI30" s="62">
        <f ca="1">AVERAGE(OFFSET($BH$3,0,0,'Données projet'!$E$11+1,1))-AVERAGE(OFFSET($H$3,0,0,'Données projet'!$E$11+1,1))</f>
        <v>280.57175994295949</v>
      </c>
      <c r="BJ30" s="62">
        <f t="shared" si="38"/>
        <v>216.69635818716841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7.6701938203458866</v>
      </c>
      <c r="BS30" s="24">
        <f t="shared" si="9"/>
        <v>7.6701938203458866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3.3076923076923075</v>
      </c>
      <c r="BY30" s="13">
        <f>IF('Données projet'!$A$114&gt;35,BY29+BX30-CG29,IF(A30&lt;'Données projet'!$A$114,$BV$205^A30,IF(A30='Données projet'!$A$114,'Données projet'!$B$114,BY29+BX30-CG29)))</f>
        <v>89.307692307692292</v>
      </c>
      <c r="BZ30" s="14">
        <f>BY30*VLOOKUP('Données projet'!$B$12,Paramètres!$A$1:$I$89,3,0)*VLOOKUP('Données projet'!$B$12,Paramètres!$A$1:$I$89,5,0)</f>
        <v>44.117999999999995</v>
      </c>
      <c r="CA30" s="14">
        <f t="shared" si="39"/>
        <v>13.083821189752966</v>
      </c>
      <c r="CB30" s="22">
        <f t="shared" si="10"/>
        <v>99.626505238819732</v>
      </c>
      <c r="CC30" s="62">
        <f t="shared" si="11"/>
        <v>392.95983857215305</v>
      </c>
      <c r="CD30" s="62">
        <f ca="1">AVERAGE(OFFSET($CC$3,0,0,'Données projet'!$E$12+1,1))-AVERAGE(OFFSET($H$3,0,0,'Données projet'!$E$12+1,1))</f>
        <v>426.64691649521097</v>
      </c>
      <c r="CE30" s="62">
        <f t="shared" si="40"/>
        <v>71.485487617222645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15.651999999999992</v>
      </c>
      <c r="D31" s="12">
        <f t="shared" si="32"/>
        <v>5.2368963077179389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161.24762062098054</v>
      </c>
      <c r="H31" s="70">
        <f t="shared" si="1"/>
        <v>329.71482773594204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167</v>
      </c>
      <c r="O31" s="14">
        <f>N31*VLOOKUP('Données projet'!$B$9,Paramètres!$A$1:$I$89,3,0)*VLOOKUP('Données projet'!$B$9,Paramètres!$A$1:$I$89,5,0)</f>
        <v>78.156000000000006</v>
      </c>
      <c r="P31" s="14">
        <f t="shared" si="33"/>
        <v>21.685706446534809</v>
      </c>
      <c r="Q31" s="22">
        <f t="shared" si="2"/>
        <v>173.89097206104813</v>
      </c>
      <c r="R31" s="62">
        <f t="shared" si="0"/>
        <v>467.22430539438142</v>
      </c>
      <c r="S31" s="62">
        <f ca="1">AVERAGE(OFFSET($R$3,0,0,'Données projet'!$E$9+1,1))-AVERAGE(OFFSET($H$3,0,0,'Données projet'!$E$9+1,1))</f>
        <v>165.12229410621887</v>
      </c>
      <c r="T31" s="62">
        <f t="shared" si="34"/>
        <v>148.17171564653341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</v>
      </c>
      <c r="AI31" s="14">
        <f>IF('Données projet'!$A$62&gt;35,AI30+AH31-AQ30,IF(A31&lt;'Données projet'!$A$62,$AF$205^A31,IF(A31='Données projet'!$A$62,'Données projet'!$B$62,AI30+AH31-AQ30)))</f>
        <v>182.40000000000006</v>
      </c>
      <c r="AJ31" s="14">
        <f>AI31*VLOOKUP('Données projet'!$B$10,Paramètres!$A$1:$I$89,3,0)*VLOOKUP('Données projet'!$B$10,Paramètres!$A$1:$I$89,5,0)</f>
        <v>165.03552000000005</v>
      </c>
      <c r="AK31" s="14">
        <f t="shared" si="35"/>
        <v>41.976234598846517</v>
      </c>
      <c r="AL31" s="22">
        <f t="shared" si="4"/>
        <v>360.54547259299108</v>
      </c>
      <c r="AM31" s="62">
        <f t="shared" si="5"/>
        <v>653.87880592632439</v>
      </c>
      <c r="AN31" s="62">
        <f ca="1">AVERAGE(OFFSET($AM$3,0,0,'Données projet'!$E$10+1,1))-AVERAGE(OFFSET($H$3,0,0,'Données projet'!$E$10+1,1))</f>
        <v>249.03969036629979</v>
      </c>
      <c r="AO31" s="62">
        <f t="shared" si="36"/>
        <v>347.8713931923707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6.145298270652586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6.145298270652586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514.42775738247849</v>
      </c>
      <c r="BI31" s="62">
        <f ca="1">AVERAGE(OFFSET($BH$3,0,0,'Données projet'!$E$11+1,1))-AVERAGE(OFFSET($H$3,0,0,'Données projet'!$E$11+1,1))</f>
        <v>280.57175994295949</v>
      </c>
      <c r="BJ31" s="62">
        <f t="shared" si="38"/>
        <v>216.69635818716841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5.4236460633817281</v>
      </c>
      <c r="BS31" s="24">
        <f t="shared" si="9"/>
        <v>5.4236460633817281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3.3076923076923075</v>
      </c>
      <c r="BY31" s="13">
        <f>IF('Données projet'!$A$114&gt;35,BY30+BX31-CG30,IF(A31&lt;'Données projet'!$A$114,$BV$205^A31,IF(A31='Données projet'!$A$114,'Données projet'!$B$114,BY30+BX31-CG30)))</f>
        <v>92.615384615384599</v>
      </c>
      <c r="BZ31" s="14">
        <f>BY31*VLOOKUP('Données projet'!$B$12,Paramètres!$A$1:$I$89,3,0)*VLOOKUP('Données projet'!$B$12,Paramètres!$A$1:$I$89,5,0)</f>
        <v>45.751999999999988</v>
      </c>
      <c r="CA31" s="14">
        <f t="shared" si="39"/>
        <v>13.511090864015767</v>
      </c>
      <c r="CB31" s="22">
        <f t="shared" si="10"/>
        <v>103.21654992149411</v>
      </c>
      <c r="CC31" s="62">
        <f t="shared" si="11"/>
        <v>396.54988325482742</v>
      </c>
      <c r="CD31" s="62">
        <f ca="1">AVERAGE(OFFSET($CC$3,0,0,'Données projet'!$E$12+1,1))-AVERAGE(OFFSET($H$3,0,0,'Données projet'!$E$12+1,1))</f>
        <v>426.64691649521097</v>
      </c>
      <c r="CE31" s="62">
        <f t="shared" si="40"/>
        <v>71.485487617222645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16.210999999999991</v>
      </c>
      <c r="D32" s="12">
        <f t="shared" si="32"/>
        <v>5.4018187658151851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166.8357939817312</v>
      </c>
      <c r="H32" s="70">
        <f t="shared" si="1"/>
        <v>330.9756593504614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173.5</v>
      </c>
      <c r="O32" s="14">
        <f>N32*VLOOKUP('Données projet'!$B$9,Paramètres!$A$1:$I$89,3,0)*VLOOKUP('Données projet'!$B$9,Paramètres!$A$1:$I$89,5,0)</f>
        <v>81.198000000000008</v>
      </c>
      <c r="P32" s="14">
        <f t="shared" si="33"/>
        <v>22.429847477648512</v>
      </c>
      <c r="Q32" s="22">
        <f t="shared" si="2"/>
        <v>180.48516769023783</v>
      </c>
      <c r="R32" s="62">
        <f t="shared" si="0"/>
        <v>473.81850102357112</v>
      </c>
      <c r="S32" s="62">
        <f ca="1">AVERAGE(OFFSET($R$3,0,0,'Données projet'!$E$9+1,1))-AVERAGE(OFFSET($H$3,0,0,'Données projet'!$E$9+1,1))</f>
        <v>165.12229410621887</v>
      </c>
      <c r="T32" s="62">
        <f t="shared" si="34"/>
        <v>148.17171564653341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6.8</v>
      </c>
      <c r="AI32" s="14">
        <f>IF('Données projet'!$A$62&gt;35,AI31+AH32-AQ31,IF(A32&lt;'Données projet'!$A$62,$AF$205^A32,IF(A32='Données projet'!$A$62,'Données projet'!$B$62,AI31+AH32-AQ31)))</f>
        <v>189.20000000000007</v>
      </c>
      <c r="AJ32" s="14">
        <f>AI32*VLOOKUP('Données projet'!$B$10,Paramètres!$A$1:$I$89,3,0)*VLOOKUP('Données projet'!$B$10,Paramètres!$A$1:$I$89,5,0)</f>
        <v>171.18816000000007</v>
      </c>
      <c r="AK32" s="14">
        <f t="shared" si="35"/>
        <v>43.356023936000852</v>
      </c>
      <c r="AL32" s="22">
        <f t="shared" si="4"/>
        <v>373.66445368853493</v>
      </c>
      <c r="AM32" s="62">
        <f t="shared" si="5"/>
        <v>666.99778702186825</v>
      </c>
      <c r="AN32" s="62">
        <f ca="1">AVERAGE(OFFSET($AM$3,0,0,'Données projet'!$E$10+1,1))-AVERAGE(OFFSET($H$3,0,0,'Données projet'!$E$10+1,1))</f>
        <v>249.03969036629979</v>
      </c>
      <c r="AO32" s="62">
        <f t="shared" si="36"/>
        <v>347.8713931923707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6.024792719826924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6.024792719826924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531.69397310455531</v>
      </c>
      <c r="BI32" s="62">
        <f ca="1">AVERAGE(OFFSET($BH$3,0,0,'Données projet'!$E$11+1,1))-AVERAGE(OFFSET($H$3,0,0,'Données projet'!$E$11+1,1))</f>
        <v>280.57175994295949</v>
      </c>
      <c r="BJ32" s="62">
        <f t="shared" si="38"/>
        <v>216.69635818716841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3.8350969101729437</v>
      </c>
      <c r="BS32" s="24">
        <f t="shared" si="9"/>
        <v>3.8350969101729437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3.3076923076923075</v>
      </c>
      <c r="BY32" s="13">
        <f>IF('Données projet'!$A$114&gt;35,BY31+BX32-CG31,IF(A32&lt;'Données projet'!$A$114,$BV$205^A32,IF(A32='Données projet'!$A$114,'Données projet'!$B$114,BY31+BX32-CG31)))</f>
        <v>95.923076923076906</v>
      </c>
      <c r="BZ32" s="14">
        <f>BY32*VLOOKUP('Données projet'!$B$12,Paramètres!$A$1:$I$89,3,0)*VLOOKUP('Données projet'!$B$12,Paramètres!$A$1:$I$89,5,0)</f>
        <v>47.385999999999996</v>
      </c>
      <c r="CA32" s="14">
        <f t="shared" si="39"/>
        <v>13.936587605966682</v>
      </c>
      <c r="CB32" s="22">
        <f t="shared" si="10"/>
        <v>106.80350674705862</v>
      </c>
      <c r="CC32" s="62">
        <f t="shared" si="11"/>
        <v>400.13684008039195</v>
      </c>
      <c r="CD32" s="62">
        <f ca="1">AVERAGE(OFFSET($CC$3,0,0,'Données projet'!$E$12+1,1))-AVERAGE(OFFSET($H$3,0,0,'Données projet'!$E$12+1,1))</f>
        <v>426.64691649521097</v>
      </c>
      <c r="CE32" s="62">
        <f t="shared" si="40"/>
        <v>71.485487617222645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16.769999999999992</v>
      </c>
      <c r="D33" s="12">
        <f t="shared" si="32"/>
        <v>5.5660804476725998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172.41886661361301</v>
      </c>
      <c r="H33" s="70">
        <f t="shared" si="1"/>
        <v>332.23534011302974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180</v>
      </c>
      <c r="O33" s="14">
        <f>N33*VLOOKUP('Données projet'!$B$9,Paramètres!$A$1:$I$89,3,0)*VLOOKUP('Données projet'!$B$9,Paramètres!$A$1:$I$89,5,0)</f>
        <v>84.24</v>
      </c>
      <c r="P33" s="14">
        <f t="shared" si="33"/>
        <v>23.170749718409468</v>
      </c>
      <c r="Q33" s="22">
        <f t="shared" si="2"/>
        <v>187.07372242622981</v>
      </c>
      <c r="R33" s="62">
        <f t="shared" si="0"/>
        <v>480.40705575956315</v>
      </c>
      <c r="S33" s="62">
        <f ca="1">AVERAGE(OFFSET($R$3,0,0,'Données projet'!$E$9+1,1))-AVERAGE(OFFSET($H$3,0,0,'Données projet'!$E$9+1,1))</f>
        <v>165.12229410621887</v>
      </c>
      <c r="T33" s="62">
        <f t="shared" si="34"/>
        <v>148.17171564653341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196</v>
      </c>
      <c r="AG33" s="13">
        <f>VLOOKUP(A33,'Données projet'!$A$61:$I$81,9,0)</f>
        <v>6.8</v>
      </c>
      <c r="AH33" s="13">
        <f t="array" ref="AH33">INDEX(AG:AG,MIN(IF(ISNUMBER(AG33:AG229),ROW(AG33:AG229),"")))</f>
        <v>6.8</v>
      </c>
      <c r="AI33" s="14">
        <f>IF('Données projet'!$A$62&gt;35,AI32+AH33-AQ32,IF(A33&lt;'Données projet'!$A$62,$AF$205^A33,IF(A33='Données projet'!$A$62,'Données projet'!$B$62,AI32+AH33-AQ32)))</f>
        <v>196.00000000000009</v>
      </c>
      <c r="AJ33" s="14">
        <f>AI33*VLOOKUP('Données projet'!$B$10,Paramètres!$A$1:$I$89,3,0)*VLOOKUP('Données projet'!$B$10,Paramètres!$A$1:$I$89,5,0)</f>
        <v>177.34080000000006</v>
      </c>
      <c r="AK33" s="14">
        <f t="shared" si="35"/>
        <v>44.730051658603102</v>
      </c>
      <c r="AL33" s="22">
        <f t="shared" si="4"/>
        <v>386.77339997206712</v>
      </c>
      <c r="AM33" s="62">
        <f t="shared" si="5"/>
        <v>680.10673330540044</v>
      </c>
      <c r="AN33" s="62">
        <f ca="1">AVERAGE(OFFSET($AM$3,0,0,'Données projet'!$E$10+1,1))-AVERAGE(OFFSET($H$3,0,0,'Données projet'!$E$10+1,1))</f>
        <v>249.03969036629979</v>
      </c>
      <c r="AO33" s="62">
        <f t="shared" si="36"/>
        <v>347.8713931923707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9</v>
      </c>
      <c r="AR33" s="17">
        <f>IF(ISNA(VLOOKUP(A33,'Données projet'!$A$61:$I$81,5,0)),0%,VLOOKUP(A33,'Données projet'!$A$61:$I$81,5,0)*VLOOKUP('Données projet'!$B$10,Paramètres!$A$1:$I$89,7,0))</f>
        <v>0.27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8.3372081358972583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8.3372081358972583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548.93169830019815</v>
      </c>
      <c r="BI33" s="62">
        <f ca="1">AVERAGE(OFFSET($BH$3,0,0,'Données projet'!$E$11+1,1))-AVERAGE(OFFSET($H$3,0,0,'Données projet'!$E$11+1,1))</f>
        <v>280.57175994295949</v>
      </c>
      <c r="BJ33" s="62">
        <f t="shared" si="38"/>
        <v>216.69635818716841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9.0000000000000011E-2</v>
      </c>
      <c r="BO33" s="17">
        <f>IF(ISNA(VLOOKUP(A33,'Données projet'!$A$87:$I$107,7,0)),0%,VLOOKUP(A33,'Données projet'!$A$87:$I$107,7,0))</f>
        <v>0.8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2.4178959553116695</v>
      </c>
      <c r="BR33" s="23">
        <f>EXP(-LN(2)/2)*BR32+(1-EXP(-LN(2)/2))/(LN(2)/2)*BL33*BO33*VLOOKUP('Données projet'!$B$11,Paramètres!$A$1:$I$89,3,0)*0.475*44/12</f>
        <v>21.128260690337349</v>
      </c>
      <c r="BS33" s="24">
        <f t="shared" si="9"/>
        <v>23.54615664564902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3.3076923076923075</v>
      </c>
      <c r="BY33" s="13">
        <f>IF('Données projet'!$A$114&gt;35,BY32+BX33-CG32,IF(A33&lt;'Données projet'!$A$114,$BV$205^A33,IF(A33='Données projet'!$A$114,'Données projet'!$B$114,BY32+BX33-CG32)))</f>
        <v>99.230769230769212</v>
      </c>
      <c r="BZ33" s="14">
        <f>BY33*VLOOKUP('Données projet'!$B$12,Paramètres!$A$1:$I$89,3,0)*VLOOKUP('Données projet'!$B$12,Paramètres!$A$1:$I$89,5,0)</f>
        <v>49.019999999999989</v>
      </c>
      <c r="CA33" s="14">
        <f t="shared" si="39"/>
        <v>14.360379558039666</v>
      </c>
      <c r="CB33" s="22">
        <f t="shared" si="10"/>
        <v>110.38749439691907</v>
      </c>
      <c r="CC33" s="62">
        <f t="shared" si="11"/>
        <v>403.72082773025238</v>
      </c>
      <c r="CD33" s="62">
        <f ca="1">AVERAGE(OFFSET($CC$3,0,0,'Données projet'!$E$12+1,1))-AVERAGE(OFFSET($H$3,0,0,'Données projet'!$E$12+1,1))</f>
        <v>426.64691649521097</v>
      </c>
      <c r="CE33" s="62">
        <f t="shared" si="40"/>
        <v>71.485487617222645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17.328999999999994</v>
      </c>
      <c r="D34" s="12">
        <f t="shared" si="32"/>
        <v>5.7297059045690339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177.99702803526966</v>
      </c>
      <c r="H34" s="70">
        <f t="shared" si="1"/>
        <v>333.49391278379102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187</v>
      </c>
      <c r="O34" s="14">
        <f>N34*VLOOKUP('Données projet'!$B$9,Paramètres!$A$1:$I$89,3,0)*VLOOKUP('Données projet'!$B$9,Paramètres!$A$1:$I$89,5,0)</f>
        <v>87.515999999999991</v>
      </c>
      <c r="P34" s="14">
        <f t="shared" si="33"/>
        <v>23.965171662037644</v>
      </c>
      <c r="Q34" s="22">
        <f t="shared" si="2"/>
        <v>194.16304064471555</v>
      </c>
      <c r="R34" s="62">
        <f t="shared" si="0"/>
        <v>487.49637397804884</v>
      </c>
      <c r="S34" s="62">
        <f ca="1">AVERAGE(OFFSET($R$3,0,0,'Données projet'!$E$9+1,1))-AVERAGE(OFFSET($H$3,0,0,'Données projet'!$E$9+1,1))</f>
        <v>165.12229410621887</v>
      </c>
      <c r="T34" s="62">
        <f t="shared" si="34"/>
        <v>148.17171564653341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5.8</v>
      </c>
      <c r="AI34" s="14">
        <f>IF('Données projet'!$A$62&gt;35,AI33+AH34-AQ33,IF(A34&lt;'Données projet'!$A$62,$AF$205^A34,IF(A34='Données projet'!$A$62,'Données projet'!$B$62,AI33+AH34-AQ33)))</f>
        <v>192.8000000000001</v>
      </c>
      <c r="AJ34" s="14">
        <f>AI34*VLOOKUP('Données projet'!$B$10,Paramètres!$A$1:$I$89,3,0)*VLOOKUP('Données projet'!$B$10,Paramètres!$A$1:$I$89,5,0)</f>
        <v>174.4454400000001</v>
      </c>
      <c r="AK34" s="14">
        <f t="shared" si="35"/>
        <v>44.084153549607706</v>
      </c>
      <c r="AL34" s="22">
        <f t="shared" si="4"/>
        <v>380.60570876556693</v>
      </c>
      <c r="AM34" s="62">
        <f t="shared" si="5"/>
        <v>673.93904209890025</v>
      </c>
      <c r="AN34" s="62">
        <f ca="1">AVERAGE(OFFSET($AM$3,0,0,'Données projet'!$E$10+1,1))-AVERAGE(OFFSET($H$3,0,0,'Données projet'!$E$10+1,1))</f>
        <v>249.03969036629979</v>
      </c>
      <c r="AO34" s="62">
        <f t="shared" si="36"/>
        <v>347.8713931923707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8.1737205695471555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8.1737205695471555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523.96649762023048</v>
      </c>
      <c r="BI34" s="62">
        <f ca="1">AVERAGE(OFFSET($BH$3,0,0,'Données projet'!$E$11+1,1))-AVERAGE(OFFSET($H$3,0,0,'Données projet'!$E$11+1,1))</f>
        <v>280.57175994295949</v>
      </c>
      <c r="BJ34" s="62">
        <f t="shared" si="38"/>
        <v>216.69635818716841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2.3517784632620495</v>
      </c>
      <c r="BR34" s="23">
        <f>EXP(-LN(2)/2)*BR33+(1-EXP(-LN(2)/2))/(LN(2)/2)*BL34*BO34*VLOOKUP('Données projet'!$B$11,Paramètres!$A$1:$I$89,3,0)*0.475*44/12</f>
        <v>14.939936408814706</v>
      </c>
      <c r="BS34" s="24">
        <f t="shared" si="9"/>
        <v>17.291714872076756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3.3076923076923075</v>
      </c>
      <c r="BY34" s="13">
        <f>IF('Données projet'!$A$114&gt;35,BY33+BX34-CG33,IF(A34&lt;'Données projet'!$A$114,$BV$205^A34,IF(A34='Données projet'!$A$114,'Données projet'!$B$114,BY33+BX34-CG33)))</f>
        <v>102.53846153846152</v>
      </c>
      <c r="BZ34" s="14">
        <f>BY34*VLOOKUP('Données projet'!$B$12,Paramètres!$A$1:$I$89,3,0)*VLOOKUP('Données projet'!$B$12,Paramètres!$A$1:$I$89,5,0)</f>
        <v>50.653999999999996</v>
      </c>
      <c r="CA34" s="14">
        <f t="shared" si="39"/>
        <v>14.782530062057797</v>
      </c>
      <c r="CB34" s="22">
        <f t="shared" si="10"/>
        <v>113.96862319141734</v>
      </c>
      <c r="CC34" s="62">
        <f t="shared" si="11"/>
        <v>407.30195652475066</v>
      </c>
      <c r="CD34" s="62">
        <f ca="1">AVERAGE(OFFSET($CC$3,0,0,'Données projet'!$E$12+1,1))-AVERAGE(OFFSET($H$3,0,0,'Données projet'!$E$12+1,1))</f>
        <v>426.64691649521097</v>
      </c>
      <c r="CE34" s="62">
        <f t="shared" si="40"/>
        <v>71.485487617222645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17.887999999999995</v>
      </c>
      <c r="D35" s="12">
        <f t="shared" si="32"/>
        <v>5.8927180139048909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183.57045484417804</v>
      </c>
      <c r="H35" s="70">
        <f t="shared" si="1"/>
        <v>334.75141720755096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194</v>
      </c>
      <c r="O35" s="14">
        <f>N35*VLOOKUP('Données projet'!$B$9,Paramètres!$A$1:$I$89,3,0)*VLOOKUP('Données projet'!$B$9,Paramètres!$A$1:$I$89,5,0)</f>
        <v>90.792000000000002</v>
      </c>
      <c r="P35" s="14">
        <f t="shared" si="33"/>
        <v>24.756138813110173</v>
      </c>
      <c r="Q35" s="22">
        <f t="shared" ref="Q35:Q66" si="53">(O35+P35)*0.475*44/12</f>
        <v>201.24634176616689</v>
      </c>
      <c r="R35" s="62">
        <f t="shared" si="0"/>
        <v>494.57967509950021</v>
      </c>
      <c r="S35" s="62">
        <f ca="1">AVERAGE(OFFSET($R$3,0,0,'Données projet'!$E$9+1,1))-AVERAGE(OFFSET($H$3,0,0,'Données projet'!$E$9+1,1))</f>
        <v>165.12229410621887</v>
      </c>
      <c r="T35" s="62">
        <f t="shared" si="34"/>
        <v>148.17171564653341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5.8</v>
      </c>
      <c r="AI35" s="14">
        <f>IF('Données projet'!$A$62&gt;35,AI34+AH35-AQ34,IF(A35&lt;'Données projet'!$A$62,$AF$205^A35,IF(A35='Données projet'!$A$62,'Données projet'!$B$62,AI34+AH35-AQ34)))</f>
        <v>198.60000000000011</v>
      </c>
      <c r="AJ35" s="14">
        <f>AI35*VLOOKUP('Données projet'!$B$10,Paramètres!$A$1:$I$89,3,0)*VLOOKUP('Données projet'!$B$10,Paramètres!$A$1:$I$89,5,0)</f>
        <v>179.6932800000001</v>
      </c>
      <c r="AK35" s="14">
        <f t="shared" si="35"/>
        <v>45.253939845742352</v>
      </c>
      <c r="AL35" s="22">
        <f t="shared" si="4"/>
        <v>391.78307456466808</v>
      </c>
      <c r="AM35" s="62">
        <f t="shared" si="5"/>
        <v>685.1164078980014</v>
      </c>
      <c r="AN35" s="62">
        <f ca="1">AVERAGE(OFFSET($AM$3,0,0,'Données projet'!$E$10+1,1))-AVERAGE(OFFSET($H$3,0,0,'Données projet'!$E$10+1,1))</f>
        <v>249.03969036629979</v>
      </c>
      <c r="AO35" s="62">
        <f t="shared" si="36"/>
        <v>347.8713931923707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8.013438894655609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8.013438894655609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542.76012075698407</v>
      </c>
      <c r="BI35" s="62">
        <f ca="1">AVERAGE(OFFSET($BH$3,0,0,'Données projet'!$E$11+1,1))-AVERAGE(OFFSET($H$3,0,0,'Données projet'!$E$11+1,1))</f>
        <v>280.57175994295949</v>
      </c>
      <c r="BJ35" s="62">
        <f t="shared" si="38"/>
        <v>216.69635818716841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2.2874689575094944</v>
      </c>
      <c r="BR35" s="23">
        <f>EXP(-LN(2)/2)*BR34+(1-EXP(-LN(2)/2))/(LN(2)/2)*BL35*BO35*VLOOKUP('Données projet'!$B$11,Paramètres!$A$1:$I$89,3,0)*0.475*44/12</f>
        <v>10.564130345168676</v>
      </c>
      <c r="BS35" s="24">
        <f t="shared" si="9"/>
        <v>12.851599302678171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3.3076923076923075</v>
      </c>
      <c r="BY35" s="13">
        <f>IF('Données projet'!$A$114&gt;35,BY34+BX35-CG34,IF(A35&lt;'Données projet'!$A$114,$BV$205^A35,IF(A35='Données projet'!$A$114,'Données projet'!$B$114,BY34+BX35-CG34)))</f>
        <v>105.84615384615383</v>
      </c>
      <c r="BZ35" s="14">
        <f>BY35*VLOOKUP('Données projet'!$B$12,Paramètres!$A$1:$I$89,3,0)*VLOOKUP('Données projet'!$B$12,Paramètres!$A$1:$I$89,5,0)</f>
        <v>52.28799999999999</v>
      </c>
      <c r="CA35" s="14">
        <f t="shared" si="39"/>
        <v>15.203098141270226</v>
      </c>
      <c r="CB35" s="22">
        <f t="shared" si="10"/>
        <v>117.54699592937895</v>
      </c>
      <c r="CC35" s="62">
        <f t="shared" si="11"/>
        <v>410.88032926271228</v>
      </c>
      <c r="CD35" s="62">
        <f ca="1">AVERAGE(OFFSET($CC$3,0,0,'Données projet'!$E$12+1,1))-AVERAGE(OFFSET($H$3,0,0,'Données projet'!$E$12+1,1))</f>
        <v>426.64691649521097</v>
      </c>
      <c r="CE35" s="62">
        <f t="shared" si="40"/>
        <v>71.485487617222645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18.446999999999996</v>
      </c>
      <c r="D36" s="12">
        <f t="shared" si="32"/>
        <v>6.0551381420288193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189.13931197355578</v>
      </c>
      <c r="H36" s="70">
        <f t="shared" si="1"/>
        <v>336.00789059736684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201</v>
      </c>
      <c r="O36" s="14">
        <f>N36*VLOOKUP('Données projet'!$B$9,Paramètres!$A$1:$I$89,3,0)*VLOOKUP('Données projet'!$B$9,Paramètres!$A$1:$I$89,5,0)</f>
        <v>94.067999999999998</v>
      </c>
      <c r="P36" s="14">
        <f t="shared" si="33"/>
        <v>25.543790108694029</v>
      </c>
      <c r="Q36" s="22">
        <f t="shared" si="53"/>
        <v>208.32386777264207</v>
      </c>
      <c r="R36" s="62">
        <f t="shared" si="0"/>
        <v>501.65720110597539</v>
      </c>
      <c r="S36" s="62">
        <f ca="1">AVERAGE(OFFSET($R$3,0,0,'Données projet'!$E$9+1,1))-AVERAGE(OFFSET($H$3,0,0,'Données projet'!$E$9+1,1))</f>
        <v>165.12229410621887</v>
      </c>
      <c r="T36" s="62">
        <f t="shared" si="34"/>
        <v>148.17171564653341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5.8</v>
      </c>
      <c r="AI36" s="14">
        <f>IF('Données projet'!$A$62&gt;35,AI35+AH36-AQ35,IF(A36&lt;'Données projet'!$A$62,$AF$205^A36,IF(A36='Données projet'!$A$62,'Données projet'!$B$62,AI35+AH36-AQ35)))</f>
        <v>204.40000000000012</v>
      </c>
      <c r="AJ36" s="14">
        <f>AI36*VLOOKUP('Données projet'!$B$10,Paramètres!$A$1:$I$89,3,0)*VLOOKUP('Données projet'!$B$10,Paramètres!$A$1:$I$89,5,0)</f>
        <v>184.9411200000001</v>
      </c>
      <c r="AK36" s="14">
        <f t="shared" si="35"/>
        <v>46.419755730249477</v>
      </c>
      <c r="AL36" s="22">
        <f t="shared" si="4"/>
        <v>402.95352523018465</v>
      </c>
      <c r="AM36" s="62">
        <f t="shared" si="5"/>
        <v>696.28685856351797</v>
      </c>
      <c r="AN36" s="62">
        <f ca="1">AVERAGE(OFFSET($AM$3,0,0,'Données projet'!$E$10+1,1))-AVERAGE(OFFSET($H$3,0,0,'Données projet'!$E$10+1,1))</f>
        <v>249.03969036629979</v>
      </c>
      <c r="AO36" s="62">
        <f t="shared" si="36"/>
        <v>347.8713931923707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7.8563002456465165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7.8563002456465165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561.52163095029562</v>
      </c>
      <c r="BI36" s="62">
        <f ca="1">AVERAGE(OFFSET($BH$3,0,0,'Données projet'!$E$11+1,1))-AVERAGE(OFFSET($H$3,0,0,'Données projet'!$E$11+1,1))</f>
        <v>280.57175994295949</v>
      </c>
      <c r="BJ36" s="62">
        <f t="shared" si="38"/>
        <v>216.69635818716841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2.2249179985736327</v>
      </c>
      <c r="BR36" s="23">
        <f>EXP(-LN(2)/2)*BR35+(1-EXP(-LN(2)/2))/(LN(2)/2)*BL36*BO36*VLOOKUP('Données projet'!$B$11,Paramètres!$A$1:$I$89,3,0)*0.475*44/12</f>
        <v>7.4699682044073548</v>
      </c>
      <c r="BS36" s="24">
        <f t="shared" si="9"/>
        <v>9.694886202980987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3.3076923076923075</v>
      </c>
      <c r="BY36" s="13">
        <f>IF('Données projet'!$A$114&gt;35,BY35+BX36-CG35,IF(A36&lt;'Données projet'!$A$114,$BV$205^A36,IF(A36='Données projet'!$A$114,'Données projet'!$B$114,BY35+BX36-CG35)))</f>
        <v>109.15384615384613</v>
      </c>
      <c r="BZ36" s="14">
        <f>BY36*VLOOKUP('Données projet'!$B$12,Paramètres!$A$1:$I$89,3,0)*VLOOKUP('Données projet'!$B$12,Paramètres!$A$1:$I$89,5,0)</f>
        <v>53.92199999999999</v>
      </c>
      <c r="CA36" s="14">
        <f t="shared" si="39"/>
        <v>15.622138920441918</v>
      </c>
      <c r="CB36" s="22">
        <f t="shared" si="10"/>
        <v>121.12270861976965</v>
      </c>
      <c r="CC36" s="62">
        <f t="shared" si="11"/>
        <v>414.45604195310295</v>
      </c>
      <c r="CD36" s="62">
        <f ca="1">AVERAGE(OFFSET($CC$3,0,0,'Données projet'!$E$12+1,1))-AVERAGE(OFFSET($H$3,0,0,'Données projet'!$E$12+1,1))</f>
        <v>426.64691649521097</v>
      </c>
      <c r="CE36" s="62">
        <f t="shared" si="40"/>
        <v>71.485487617222645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19.005999999999997</v>
      </c>
      <c r="D37" s="12">
        <f t="shared" si="32"/>
        <v>6.216986286773305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194.70375379263601</v>
      </c>
      <c r="H37" s="70">
        <f t="shared" si="1"/>
        <v>337.26336778279682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208</v>
      </c>
      <c r="O37" s="14">
        <f>N37*VLOOKUP('Données projet'!$B$9,Paramètres!$A$1:$I$89,3,0)*VLOOKUP('Données projet'!$B$9,Paramètres!$A$1:$I$89,5,0)</f>
        <v>97.343999999999994</v>
      </c>
      <c r="P37" s="14">
        <f t="shared" si="33"/>
        <v>26.328254259866451</v>
      </c>
      <c r="Q37" s="22">
        <f t="shared" si="53"/>
        <v>215.39584283593408</v>
      </c>
      <c r="R37" s="62">
        <f t="shared" si="0"/>
        <v>508.72917616926736</v>
      </c>
      <c r="S37" s="62">
        <f ca="1">AVERAGE(OFFSET($R$3,0,0,'Données projet'!$E$9+1,1))-AVERAGE(OFFSET($H$3,0,0,'Données projet'!$E$9+1,1))</f>
        <v>165.12229410621887</v>
      </c>
      <c r="T37" s="62">
        <f t="shared" si="34"/>
        <v>148.17171564653341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5.8</v>
      </c>
      <c r="AI37" s="14">
        <f>IF('Données projet'!$A$62&gt;35,AI36+AH37-AQ36,IF(A37&lt;'Données projet'!$A$62,$AF$205^A37,IF(A37='Données projet'!$A$62,'Données projet'!$B$62,AI36+AH37-AQ36)))</f>
        <v>210.20000000000013</v>
      </c>
      <c r="AJ37" s="14">
        <f>AI37*VLOOKUP('Données projet'!$B$10,Paramètres!$A$1:$I$89,3,0)*VLOOKUP('Données projet'!$B$10,Paramètres!$A$1:$I$89,5,0)</f>
        <v>190.18896000000012</v>
      </c>
      <c r="AK37" s="14">
        <f t="shared" si="35"/>
        <v>47.581726807151739</v>
      </c>
      <c r="AL37" s="22">
        <f t="shared" si="4"/>
        <v>414.1172795224561</v>
      </c>
      <c r="AM37" s="62">
        <f t="shared" si="5"/>
        <v>707.45061285578936</v>
      </c>
      <c r="AN37" s="62">
        <f ca="1">AVERAGE(OFFSET($AM$3,0,0,'Données projet'!$E$10+1,1))-AVERAGE(OFFSET($H$3,0,0,'Données projet'!$E$10+1,1))</f>
        <v>249.03969036629979</v>
      </c>
      <c r="AO37" s="62">
        <f t="shared" si="36"/>
        <v>347.8713931923707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7.7022429896993803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7.7022429896993803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580.25359037922033</v>
      </c>
      <c r="BI37" s="62">
        <f ca="1">AVERAGE(OFFSET($BH$3,0,0,'Données projet'!$E$11+1,1))-AVERAGE(OFFSET($H$3,0,0,'Données projet'!$E$11+1,1))</f>
        <v>280.57175994295949</v>
      </c>
      <c r="BJ37" s="62">
        <f t="shared" si="38"/>
        <v>216.69635818716841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2.1640774988992844</v>
      </c>
      <c r="BR37" s="23">
        <f>EXP(-LN(2)/2)*BR36+(1-EXP(-LN(2)/2))/(LN(2)/2)*BL37*BO37*VLOOKUP('Données projet'!$B$11,Paramètres!$A$1:$I$89,3,0)*0.475*44/12</f>
        <v>5.2820651725843391</v>
      </c>
      <c r="BS37" s="24">
        <f t="shared" si="9"/>
        <v>7.4461426714836234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3.3076923076923075</v>
      </c>
      <c r="BY37" s="13">
        <f>IF('Données projet'!$A$114&gt;35,BY36+BX37-CG36,IF(A37&lt;'Données projet'!$A$114,$BV$205^A37,IF(A37='Données projet'!$A$114,'Données projet'!$B$114,BY36+BX37-CG36)))</f>
        <v>112.46153846153844</v>
      </c>
      <c r="BZ37" s="14">
        <f>BY37*VLOOKUP('Données projet'!$B$12,Paramètres!$A$1:$I$89,3,0)*VLOOKUP('Données projet'!$B$12,Paramètres!$A$1:$I$89,5,0)</f>
        <v>55.555999999999997</v>
      </c>
      <c r="CA37" s="14">
        <f t="shared" si="39"/>
        <v>16.039703993592667</v>
      </c>
      <c r="CB37" s="22">
        <f t="shared" si="10"/>
        <v>124.69585112217389</v>
      </c>
      <c r="CC37" s="62">
        <f t="shared" si="11"/>
        <v>418.02918445550722</v>
      </c>
      <c r="CD37" s="62">
        <f ca="1">AVERAGE(OFFSET($CC$3,0,0,'Données projet'!$E$12+1,1))-AVERAGE(OFFSET($H$3,0,0,'Données projet'!$E$12+1,1))</f>
        <v>426.64691649521097</v>
      </c>
      <c r="CE37" s="62">
        <f t="shared" si="40"/>
        <v>71.485487617222645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19.564999999999998</v>
      </c>
      <c r="D38" s="12">
        <f t="shared" si="32"/>
        <v>6.3782812027501414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200.26392507386075</v>
      </c>
      <c r="H38" s="70">
        <f t="shared" si="1"/>
        <v>338.51788142812313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215</v>
      </c>
      <c r="O38" s="14">
        <f>N38*VLOOKUP('Données projet'!$B$9,Paramètres!$A$1:$I$89,3,0)*VLOOKUP('Données projet'!$B$9,Paramètres!$A$1:$I$89,5,0)</f>
        <v>100.61999999999999</v>
      </c>
      <c r="P38" s="14">
        <f t="shared" si="33"/>
        <v>27.10965082293415</v>
      </c>
      <c r="Q38" s="22">
        <f t="shared" si="53"/>
        <v>222.46247518327695</v>
      </c>
      <c r="R38" s="62">
        <f t="shared" si="0"/>
        <v>515.79580851661024</v>
      </c>
      <c r="S38" s="62">
        <f ca="1">AVERAGE(OFFSET($R$3,0,0,'Données projet'!$E$9+1,1))-AVERAGE(OFFSET($H$3,0,0,'Données projet'!$E$9+1,1))</f>
        <v>165.12229410621887</v>
      </c>
      <c r="T38" s="62">
        <f t="shared" si="34"/>
        <v>148.17171564653341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216</v>
      </c>
      <c r="AG38" s="13">
        <f>VLOOKUP(A38,'Données projet'!$A$61:$I$81,9,0)</f>
        <v>5.8</v>
      </c>
      <c r="AH38" s="13">
        <f t="array" ref="AH38">INDEX(AG:AG,MIN(IF(ISNUMBER(AG38:AG234),ROW(AG38:AG234),"")))</f>
        <v>5.8</v>
      </c>
      <c r="AI38" s="14">
        <f>IF('Données projet'!$A$62&gt;35,AI37+AH38-AQ37,IF(A38&lt;'Données projet'!$A$62,$AF$205^A38,IF(A38='Données projet'!$A$62,'Données projet'!$B$62,AI37+AH38-AQ37)))</f>
        <v>216.00000000000014</v>
      </c>
      <c r="AJ38" s="14">
        <f>AI38*VLOOKUP('Données projet'!$B$10,Paramètres!$A$1:$I$89,3,0)*VLOOKUP('Données projet'!$B$10,Paramètres!$A$1:$I$89,5,0)</f>
        <v>195.43680000000012</v>
      </c>
      <c r="AK38" s="14">
        <f t="shared" si="35"/>
        <v>48.739971354487892</v>
      </c>
      <c r="AL38" s="22">
        <f t="shared" si="4"/>
        <v>425.27454344239999</v>
      </c>
      <c r="AM38" s="62">
        <f t="shared" si="5"/>
        <v>718.6078767757333</v>
      </c>
      <c r="AN38" s="62">
        <f ca="1">AVERAGE(OFFSET($AM$3,0,0,'Données projet'!$E$10+1,1))-AVERAGE(OFFSET($H$3,0,0,'Données projet'!$E$10+1,1))</f>
        <v>249.03969036629979</v>
      </c>
      <c r="AO38" s="62">
        <f t="shared" si="36"/>
        <v>347.8713931923707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7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7.5512067025757199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7.5512067025757199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598.95819927907769</v>
      </c>
      <c r="BI38" s="62">
        <f ca="1">AVERAGE(OFFSET($BH$3,0,0,'Données projet'!$E$11+1,1))-AVERAGE(OFFSET($H$3,0,0,'Données projet'!$E$11+1,1))</f>
        <v>280.57175994295949</v>
      </c>
      <c r="BJ38" s="62">
        <f t="shared" si="38"/>
        <v>216.69635818716841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2.1049006858879937</v>
      </c>
      <c r="BR38" s="23">
        <f>EXP(-LN(2)/2)*BR37+(1-EXP(-LN(2)/2))/(LN(2)/2)*BL38*BO38*VLOOKUP('Données projet'!$B$11,Paramètres!$A$1:$I$89,3,0)*0.475*44/12</f>
        <v>3.7349841022036778</v>
      </c>
      <c r="BS38" s="24">
        <f t="shared" si="9"/>
        <v>5.8398847880916716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3.3076923076923075</v>
      </c>
      <c r="BY38" s="13">
        <f>IF('Données projet'!$A$114&gt;35,BY37+BX38-CG37,IF(A38&lt;'Données projet'!$A$114,$BV$205^A38,IF(A38='Données projet'!$A$114,'Données projet'!$B$114,BY37+BX38-CG37)))</f>
        <v>115.76923076923075</v>
      </c>
      <c r="BZ38" s="14">
        <f>BY38*VLOOKUP('Données projet'!$B$12,Paramètres!$A$1:$I$89,3,0)*VLOOKUP('Données projet'!$B$12,Paramètres!$A$1:$I$89,5,0)</f>
        <v>57.189999999999991</v>
      </c>
      <c r="CA38" s="14">
        <f t="shared" si="39"/>
        <v>16.455841747257008</v>
      </c>
      <c r="CB38" s="22">
        <f t="shared" si="10"/>
        <v>128.26650770980592</v>
      </c>
      <c r="CC38" s="62">
        <f t="shared" si="11"/>
        <v>421.59984104313924</v>
      </c>
      <c r="CD38" s="62">
        <f ca="1">AVERAGE(OFFSET($CC$3,0,0,'Données projet'!$E$12+1,1))-AVERAGE(OFFSET($H$3,0,0,'Données projet'!$E$12+1,1))</f>
        <v>426.64691649521097</v>
      </c>
      <c r="CE38" s="62">
        <f t="shared" si="40"/>
        <v>71.485487617222645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39" s="12">
        <f t="shared" si="32"/>
        <v>6.539040511923969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205.81996184643063</v>
      </c>
      <c r="H39" s="70">
        <f t="shared" si="1"/>
        <v>339.77146222493423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222</v>
      </c>
      <c r="O39" s="14">
        <f>N39*VLOOKUP('Données projet'!$B$9,Paramètres!$A$1:$I$89,3,0)*VLOOKUP('Données projet'!$B$9,Paramètres!$A$1:$I$89,5,0)</f>
        <v>103.896</v>
      </c>
      <c r="P39" s="14">
        <f t="shared" si="33"/>
        <v>27.888091127225799</v>
      </c>
      <c r="Q39" s="22">
        <f t="shared" si="53"/>
        <v>229.52395871325157</v>
      </c>
      <c r="R39" s="62">
        <f t="shared" si="0"/>
        <v>522.85729204658492</v>
      </c>
      <c r="S39" s="62">
        <f ca="1">AVERAGE(OFFSET($R$3,0,0,'Données projet'!$E$9+1,1))-AVERAGE(OFFSET($H$3,0,0,'Données projet'!$E$9+1,1))</f>
        <v>165.12229410621887</v>
      </c>
      <c r="T39" s="62">
        <f t="shared" si="34"/>
        <v>148.17171564653341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4.8</v>
      </c>
      <c r="AI39" s="14">
        <f>IF('Données projet'!$A$62&gt;35,AI38+AH39-AQ38,IF(A39&lt;'Données projet'!$A$62,$AF$205^A39,IF(A39='Données projet'!$A$62,'Données projet'!$B$62,AI38+AH39-AQ38)))</f>
        <v>213.80000000000015</v>
      </c>
      <c r="AJ39" s="14">
        <f>AI39*VLOOKUP('Données projet'!$B$10,Paramètres!$A$1:$I$89,3,0)*VLOOKUP('Données projet'!$B$10,Paramètres!$A$1:$I$89,5,0)</f>
        <v>193.44624000000013</v>
      </c>
      <c r="AK39" s="14">
        <f t="shared" si="35"/>
        <v>48.301068656218547</v>
      </c>
      <c r="AL39" s="22">
        <f t="shared" si="4"/>
        <v>421.04322924291415</v>
      </c>
      <c r="AM39" s="62">
        <f t="shared" si="5"/>
        <v>714.37656257624747</v>
      </c>
      <c r="AN39" s="62">
        <f ca="1">AVERAGE(OFFSET($AM$3,0,0,'Données projet'!$E$10+1,1))-AVERAGE(OFFSET($H$3,0,0,'Données projet'!$E$10+1,1))</f>
        <v>249.03969036629979</v>
      </c>
      <c r="AO39" s="62">
        <f t="shared" si="36"/>
        <v>347.8713931923707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7.4031321449195158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7.4031321449195158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564.85955448553761</v>
      </c>
      <c r="BI39" s="62">
        <f ca="1">AVERAGE(OFFSET($BH$3,0,0,'Données projet'!$E$11+1,1))-AVERAGE(OFFSET($H$3,0,0,'Données projet'!$E$11+1,1))</f>
        <v>280.57175994295949</v>
      </c>
      <c r="BJ39" s="62">
        <f t="shared" si="38"/>
        <v>216.69635818716841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2.0473420659404704</v>
      </c>
      <c r="BR39" s="23">
        <f>EXP(-LN(2)/2)*BR38+(1-EXP(-LN(2)/2))/(LN(2)/2)*BL39*BO39*VLOOKUP('Données projet'!$B$11,Paramètres!$A$1:$I$89,3,0)*0.475*44/12</f>
        <v>2.64103258629217</v>
      </c>
      <c r="BS39" s="24">
        <f t="shared" si="9"/>
        <v>4.6883746522326408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3.3076923076923075</v>
      </c>
      <c r="BY39" s="13">
        <f>IF('Données projet'!$A$114&gt;35,BY38+BX39-CG38,IF(A39&lt;'Données projet'!$A$114,$BV$205^A39,IF(A39='Données projet'!$A$114,'Données projet'!$B$114,BY38+BX39-CG38)))</f>
        <v>119.07692307692305</v>
      </c>
      <c r="BZ39" s="14">
        <f>BY39*VLOOKUP('Données projet'!$B$12,Paramètres!$A$1:$I$89,3,0)*VLOOKUP('Données projet'!$B$12,Paramètres!$A$1:$I$89,5,0)</f>
        <v>58.823999999999991</v>
      </c>
      <c r="CA39" s="14">
        <f t="shared" si="39"/>
        <v>16.870597645761791</v>
      </c>
      <c r="CB39" s="22">
        <f t="shared" si="10"/>
        <v>131.83475756636844</v>
      </c>
      <c r="CC39" s="62">
        <f t="shared" si="11"/>
        <v>425.16809089970172</v>
      </c>
      <c r="CD39" s="62">
        <f ca="1">AVERAGE(OFFSET($CC$3,0,0,'Données projet'!$E$12+1,1))-AVERAGE(OFFSET($H$3,0,0,'Données projet'!$E$12+1,1))</f>
        <v>426.64691649521097</v>
      </c>
      <c r="CE39" s="62">
        <f t="shared" si="40"/>
        <v>71.485487617222645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</v>
      </c>
      <c r="D40" s="12">
        <f t="shared" si="32"/>
        <v>6.6992808015544387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211.37199215235009</v>
      </c>
      <c r="H40" s="70">
        <f t="shared" si="1"/>
        <v>341.02413906270726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229</v>
      </c>
      <c r="O40" s="14">
        <f>N40*VLOOKUP('Données projet'!$B$9,Paramètres!$A$1:$I$89,3,0)*VLOOKUP('Données projet'!$B$9,Paramètres!$A$1:$I$89,5,0)</f>
        <v>107.172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529.91380773549133</v>
      </c>
      <c r="S40" s="62">
        <f ca="1">AVERAGE(OFFSET($R$3,0,0,'Données projet'!$E$9+1,1))-AVERAGE(OFFSET($H$3,0,0,'Données projet'!$E$9+1,1))</f>
        <v>165.12229410621887</v>
      </c>
      <c r="T40" s="62">
        <f t="shared" si="34"/>
        <v>148.17171564653341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4.8</v>
      </c>
      <c r="AI40" s="14">
        <f>IF('Données projet'!$A$62&gt;35,AI39+AH40-AQ39,IF(A40&lt;'Données projet'!$A$62,$AF$205^A40,IF(A40='Données projet'!$A$62,'Données projet'!$B$62,AI39+AH40-AQ39)))</f>
        <v>218.60000000000016</v>
      </c>
      <c r="AJ40" s="14">
        <f>AI40*VLOOKUP('Données projet'!$B$10,Paramètres!$A$1:$I$89,3,0)*VLOOKUP('Données projet'!$B$10,Paramètres!$A$1:$I$89,5,0)</f>
        <v>197.78928000000013</v>
      </c>
      <c r="AK40" s="14">
        <f t="shared" si="35"/>
        <v>49.258004531609984</v>
      </c>
      <c r="AL40" s="22">
        <f t="shared" si="4"/>
        <v>430.2740205592209</v>
      </c>
      <c r="AM40" s="62">
        <f t="shared" si="5"/>
        <v>723.60735389255422</v>
      </c>
      <c r="AN40" s="62">
        <f ca="1">AVERAGE(OFFSET($AM$3,0,0,'Données projet'!$E$10+1,1))-AVERAGE(OFFSET($H$3,0,0,'Données projet'!$E$10+1,1))</f>
        <v>249.03969036629979</v>
      </c>
      <c r="AO40" s="62">
        <f t="shared" si="36"/>
        <v>347.8713931923707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7.2579612390223875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7.2579612390223875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583.33014493564747</v>
      </c>
      <c r="BI40" s="62">
        <f ca="1">AVERAGE(OFFSET($BH$3,0,0,'Données projet'!$E$11+1,1))-AVERAGE(OFFSET($H$3,0,0,'Données projet'!$E$11+1,1))</f>
        <v>280.57175994295949</v>
      </c>
      <c r="BJ40" s="62">
        <f t="shared" si="38"/>
        <v>216.69635818716841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1.9913573894822882</v>
      </c>
      <c r="BR40" s="23">
        <f>EXP(-LN(2)/2)*BR39+(1-EXP(-LN(2)/2))/(LN(2)/2)*BL40*BO40*VLOOKUP('Données projet'!$B$11,Paramètres!$A$1:$I$89,3,0)*0.475*44/12</f>
        <v>1.8674920511018394</v>
      </c>
      <c r="BS40" s="24">
        <f t="shared" si="9"/>
        <v>3.8588494405841276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3.3076923076923075</v>
      </c>
      <c r="BY40" s="13">
        <f>IF('Données projet'!$A$114&gt;35,BY39+BX40-CG39,IF(A40&lt;'Données projet'!$A$114,$BV$205^A40,IF(A40='Données projet'!$A$114,'Données projet'!$B$114,BY39+BX40-CG39)))</f>
        <v>122.38461538461536</v>
      </c>
      <c r="BZ40" s="14">
        <f>BY40*VLOOKUP('Données projet'!$B$12,Paramètres!$A$1:$I$89,3,0)*VLOOKUP('Données projet'!$B$12,Paramètres!$A$1:$I$89,5,0)</f>
        <v>60.457999999999991</v>
      </c>
      <c r="CA40" s="14">
        <f t="shared" si="39"/>
        <v>17.284014483915104</v>
      </c>
      <c r="CB40" s="22">
        <f t="shared" si="10"/>
        <v>135.40067522615212</v>
      </c>
      <c r="CC40" s="62">
        <f t="shared" si="11"/>
        <v>428.73400855948546</v>
      </c>
      <c r="CD40" s="62">
        <f ca="1">AVERAGE(OFFSET($CC$3,0,0,'Données projet'!$E$12+1,1))-AVERAGE(OFFSET($H$3,0,0,'Données projet'!$E$12+1,1))</f>
        <v>426.64691649521097</v>
      </c>
      <c r="CE40" s="62">
        <f t="shared" si="40"/>
        <v>71.485487617222645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21.242000000000001</v>
      </c>
      <c r="D41" s="12">
        <f t="shared" si="32"/>
        <v>6.859017711252279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216.92013671843867</v>
      </c>
      <c r="H41" s="70">
        <f t="shared" si="1"/>
        <v>342.27593918043101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236</v>
      </c>
      <c r="O41" s="14">
        <f>N41*VLOOKUP('Données projet'!$B$9,Paramètres!$A$1:$I$89,3,0)*VLOOKUP('Données projet'!$B$9,Paramètres!$A$1:$I$89,5,0)</f>
        <v>110.44799999999999</v>
      </c>
      <c r="P41" s="14">
        <f t="shared" si="33"/>
        <v>29.436511885319565</v>
      </c>
      <c r="Q41" s="22">
        <f t="shared" si="53"/>
        <v>243.63219153359822</v>
      </c>
      <c r="R41" s="62">
        <f t="shared" si="0"/>
        <v>536.96552486693156</v>
      </c>
      <c r="S41" s="62">
        <f ca="1">AVERAGE(OFFSET($R$3,0,0,'Données projet'!$E$9+1,1))-AVERAGE(OFFSET($H$3,0,0,'Données projet'!$E$9+1,1))</f>
        <v>165.12229410621887</v>
      </c>
      <c r="T41" s="62">
        <f t="shared" si="34"/>
        <v>148.17171564653341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4.8</v>
      </c>
      <c r="AI41" s="14">
        <f>IF('Données projet'!$A$62&gt;35,AI40+AH41-AQ40,IF(A41&lt;'Données projet'!$A$62,$AF$205^A41,IF(A41='Données projet'!$A$62,'Données projet'!$B$62,AI40+AH41-AQ40)))</f>
        <v>223.40000000000018</v>
      </c>
      <c r="AJ41" s="14">
        <f>AI41*VLOOKUP('Données projet'!$B$10,Paramètres!$A$1:$I$89,3,0)*VLOOKUP('Données projet'!$B$10,Paramètres!$A$1:$I$89,5,0)</f>
        <v>202.13232000000013</v>
      </c>
      <c r="AK41" s="14">
        <f t="shared" si="35"/>
        <v>50.21249748895967</v>
      </c>
      <c r="AL41" s="22">
        <f t="shared" si="4"/>
        <v>439.50055712660497</v>
      </c>
      <c r="AM41" s="62">
        <f t="shared" si="5"/>
        <v>732.83389045993829</v>
      </c>
      <c r="AN41" s="62">
        <f ca="1">AVERAGE(OFFSET($AM$3,0,0,'Données projet'!$E$10+1,1))-AVERAGE(OFFSET($H$3,0,0,'Données projet'!$E$10+1,1))</f>
        <v>249.03969036629979</v>
      </c>
      <c r="AO41" s="62">
        <f t="shared" si="36"/>
        <v>347.8713931923707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7.1156370460443927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7.1156370460443927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601.7744528299088</v>
      </c>
      <c r="BI41" s="62">
        <f ca="1">AVERAGE(OFFSET($BH$3,0,0,'Données projet'!$E$11+1,1))-AVERAGE(OFFSET($H$3,0,0,'Données projet'!$E$11+1,1))</f>
        <v>280.57175994295949</v>
      </c>
      <c r="BJ41" s="62">
        <f t="shared" si="38"/>
        <v>216.69635818716841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1.9369036169459612</v>
      </c>
      <c r="BR41" s="23">
        <f>EXP(-LN(2)/2)*BR40+(1-EXP(-LN(2)/2))/(LN(2)/2)*BL41*BO41*VLOOKUP('Données projet'!$B$11,Paramètres!$A$1:$I$89,3,0)*0.475*44/12</f>
        <v>1.3205162931460852</v>
      </c>
      <c r="BS41" s="24">
        <f t="shared" si="9"/>
        <v>3.2574199100920467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3.3076923076923075</v>
      </c>
      <c r="BY41" s="13">
        <f>IF('Données projet'!$A$114&gt;35,BY40+BX41-CG40,IF(A41&lt;'Données projet'!$A$114,$BV$205^A41,IF(A41='Données projet'!$A$114,'Données projet'!$B$114,BY40+BX41-CG40)))</f>
        <v>125.69230769230766</v>
      </c>
      <c r="BZ41" s="14">
        <f>BY41*VLOOKUP('Données projet'!$B$12,Paramètres!$A$1:$I$89,3,0)*VLOOKUP('Données projet'!$B$12,Paramètres!$A$1:$I$89,5,0)</f>
        <v>62.091999999999992</v>
      </c>
      <c r="CA41" s="14">
        <f t="shared" si="39"/>
        <v>17.696132611609141</v>
      </c>
      <c r="CB41" s="22">
        <f t="shared" si="10"/>
        <v>138.96433096521923</v>
      </c>
      <c r="CC41" s="62">
        <f t="shared" si="11"/>
        <v>432.29766429855255</v>
      </c>
      <c r="CD41" s="62">
        <f ca="1">AVERAGE(OFFSET($CC$3,0,0,'Données projet'!$E$12+1,1))-AVERAGE(OFFSET($H$3,0,0,'Données projet'!$E$12+1,1))</f>
        <v>426.64691649521097</v>
      </c>
      <c r="CE41" s="62">
        <f t="shared" si="40"/>
        <v>71.485487617222645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21.801000000000002</v>
      </c>
      <c r="D42" s="12">
        <f t="shared" si="32"/>
        <v>7.0182660106137922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222.46450955561525</v>
      </c>
      <c r="H42" s="70">
        <f t="shared" si="1"/>
        <v>343.52688830181899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243</v>
      </c>
      <c r="O42" s="14">
        <f>N42*VLOOKUP('Données projet'!$B$9,Paramètres!$A$1:$I$89,3,0)*VLOOKUP('Données projet'!$B$9,Paramètres!$A$1:$I$89,5,0)</f>
        <v>113.72399999999999</v>
      </c>
      <c r="P42" s="14">
        <f t="shared" si="33"/>
        <v>30.206680638130489</v>
      </c>
      <c r="Q42" s="22">
        <f t="shared" si="53"/>
        <v>250.67926877807722</v>
      </c>
      <c r="R42" s="62">
        <f t="shared" si="0"/>
        <v>544.0126021114105</v>
      </c>
      <c r="S42" s="62">
        <f ca="1">AVERAGE(OFFSET($R$3,0,0,'Données projet'!$E$9+1,1))-AVERAGE(OFFSET($H$3,0,0,'Données projet'!$E$9+1,1))</f>
        <v>165.12229410621887</v>
      </c>
      <c r="T42" s="62">
        <f t="shared" si="34"/>
        <v>148.17171564653341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4.8</v>
      </c>
      <c r="AI42" s="14">
        <f>IF('Données projet'!$A$62&gt;35,AI41+AH42-AQ41,IF(A42&lt;'Données projet'!$A$62,$AF$205^A42,IF(A42='Données projet'!$A$62,'Données projet'!$B$62,AI41+AH42-AQ41)))</f>
        <v>228.20000000000019</v>
      </c>
      <c r="AJ42" s="14">
        <f>AI42*VLOOKUP('Données projet'!$B$10,Paramètres!$A$1:$I$89,3,0)*VLOOKUP('Données projet'!$B$10,Paramètres!$A$1:$I$89,5,0)</f>
        <v>206.47536000000017</v>
      </c>
      <c r="AK42" s="14">
        <f t="shared" si="35"/>
        <v>51.164606062687312</v>
      </c>
      <c r="AL42" s="22">
        <f t="shared" si="4"/>
        <v>448.72294089251392</v>
      </c>
      <c r="AM42" s="62">
        <f t="shared" si="5"/>
        <v>742.05627422584723</v>
      </c>
      <c r="AN42" s="62">
        <f ca="1">AVERAGE(OFFSET($AM$3,0,0,'Données projet'!$E$10+1,1))-AVERAGE(OFFSET($H$3,0,0,'Données projet'!$E$10+1,1))</f>
        <v>249.03969036629979</v>
      </c>
      <c r="AO42" s="62">
        <f t="shared" si="36"/>
        <v>347.8713931923707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6.9761037436815103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6.9761037436815103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620.1942705288061</v>
      </c>
      <c r="BI42" s="62">
        <f ca="1">AVERAGE(OFFSET($BH$3,0,0,'Données projet'!$E$11+1,1))-AVERAGE(OFFSET($H$3,0,0,'Données projet'!$E$11+1,1))</f>
        <v>280.57175994295949</v>
      </c>
      <c r="BJ42" s="62">
        <f t="shared" si="38"/>
        <v>216.69635818716841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1.8839388856832395</v>
      </c>
      <c r="BR42" s="23">
        <f>EXP(-LN(2)/2)*BR41+(1-EXP(-LN(2)/2))/(LN(2)/2)*BL42*BO42*VLOOKUP('Données projet'!$B$11,Paramètres!$A$1:$I$89,3,0)*0.475*44/12</f>
        <v>0.93374602555091979</v>
      </c>
      <c r="BS42" s="24">
        <f t="shared" si="9"/>
        <v>2.8176849112341591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>
        <f>VLOOKUP(A42,'Données projet'!$A$113:$I$133,2,0)</f>
        <v>129</v>
      </c>
      <c r="BW42" s="13">
        <f>VLOOKUP(A42,'Données projet'!$A$113:$I$133,9,0)</f>
        <v>3.3076923076923075</v>
      </c>
      <c r="BX42" s="13">
        <f t="array" ref="BX42">INDEX(BW:BW,MIN(IF(ISNUMBER(BW42:BW238),ROW(BW42:BW238),"")))</f>
        <v>3.3076923076923075</v>
      </c>
      <c r="BY42" s="13">
        <f>IF('Données projet'!$A$114&gt;35,BY41+BX42-CG41,IF(A42&lt;'Données projet'!$A$114,$BV$205^A42,IF(A42='Données projet'!$A$114,'Données projet'!$B$114,BY41+BX42-CG41)))</f>
        <v>128.99999999999997</v>
      </c>
      <c r="BZ42" s="14">
        <f>BY42*VLOOKUP('Données projet'!$B$12,Paramètres!$A$1:$I$89,3,0)*VLOOKUP('Données projet'!$B$12,Paramètres!$A$1:$I$89,5,0)</f>
        <v>63.725999999999985</v>
      </c>
      <c r="CA42" s="14">
        <f t="shared" si="39"/>
        <v>18.106990134115833</v>
      </c>
      <c r="CB42" s="22">
        <f t="shared" si="10"/>
        <v>142.52579115025171</v>
      </c>
      <c r="CC42" s="62">
        <f t="shared" si="11"/>
        <v>435.85912448358499</v>
      </c>
      <c r="CD42" s="62">
        <f ca="1">AVERAGE(OFFSET($CC$3,0,0,'Données projet'!$E$12+1,1))-AVERAGE(OFFSET($H$3,0,0,'Données projet'!$E$12+1,1))</f>
        <v>426.64691649521097</v>
      </c>
      <c r="CE42" s="62">
        <f t="shared" si="40"/>
        <v>71.485487617222645</v>
      </c>
      <c r="CF42" s="16">
        <f>IF(ISNA(VLOOKUP(A42,'Données projet'!$A$113:$I$133,3,0)),0,VLOOKUP(A42,'Données projet'!$A$113:$I$133,3,0))</f>
        <v>1</v>
      </c>
      <c r="CG42" s="16">
        <f>IF(ISNA(VLOOKUP(A42,'Données projet'!$A$113:$I$133,4,0)),0,VLOOKUP(A42,'Données projet'!$A$113:$I$133,4,0))</f>
        <v>25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22.360000000000003</v>
      </c>
      <c r="D43" s="12">
        <f t="shared" si="32"/>
        <v>7.1770396686687832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228.00521849498713</v>
      </c>
      <c r="H43" s="70">
        <f t="shared" si="1"/>
        <v>344.77701075626476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250</v>
      </c>
      <c r="O43" s="14">
        <f>N43*VLOOKUP('Données projet'!$B$9,Paramètres!$A$1:$I$89,3,0)*VLOOKUP('Données projet'!$B$9,Paramètres!$A$1:$I$89,5,0)</f>
        <v>117</v>
      </c>
      <c r="P43" s="14">
        <f t="shared" si="33"/>
        <v>30.974270896484146</v>
      </c>
      <c r="Q43" s="22">
        <f t="shared" si="53"/>
        <v>257.72185514470988</v>
      </c>
      <c r="R43" s="62">
        <f t="shared" si="0"/>
        <v>551.05518847804319</v>
      </c>
      <c r="S43" s="62">
        <f ca="1">AVERAGE(OFFSET($R$3,0,0,'Données projet'!$E$9+1,1))-AVERAGE(OFFSET($H$3,0,0,'Données projet'!$E$9+1,1))</f>
        <v>165.12229410621887</v>
      </c>
      <c r="T43" s="62">
        <f t="shared" si="34"/>
        <v>148.17171564653341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233</v>
      </c>
      <c r="AG43" s="13">
        <f>VLOOKUP(A43,'Données projet'!$A$61:$I$81,9,0)</f>
        <v>4.8</v>
      </c>
      <c r="AH43" s="13">
        <f t="array" ref="AH43">INDEX(AG:AG,MIN(IF(ISNUMBER(AG43:AG239),ROW(AG43:AG239),"")))</f>
        <v>4.8</v>
      </c>
      <c r="AI43" s="14">
        <f>IF('Données projet'!$A$62&gt;35,AI42+AH43-AQ42,IF(A43&lt;'Données projet'!$A$62,$AF$205^A43,IF(A43='Données projet'!$A$62,'Données projet'!$B$62,AI42+AH43-AQ42)))</f>
        <v>233.0000000000002</v>
      </c>
      <c r="AJ43" s="14">
        <f>AI43*VLOOKUP('Données projet'!$B$10,Paramètres!$A$1:$I$89,3,0)*VLOOKUP('Données projet'!$B$10,Paramètres!$A$1:$I$89,5,0)</f>
        <v>210.81840000000017</v>
      </c>
      <c r="AK43" s="14">
        <f t="shared" si="35"/>
        <v>52.114386184062248</v>
      </c>
      <c r="AL43" s="22">
        <f t="shared" si="4"/>
        <v>457.94126927057533</v>
      </c>
      <c r="AM43" s="62">
        <f t="shared" si="5"/>
        <v>751.27460260390865</v>
      </c>
      <c r="AN43" s="62">
        <f ca="1">AVERAGE(OFFSET($AM$3,0,0,'Données projet'!$E$10+1,1))-AVERAGE(OFFSET($H$3,0,0,'Données projet'!$E$10+1,1))</f>
        <v>249.03969036629979</v>
      </c>
      <c r="AO43" s="62">
        <f t="shared" si="36"/>
        <v>347.8713931923707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6.8393066042710533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6.8393066042710533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638.59117190026234</v>
      </c>
      <c r="BI43" s="62">
        <f ca="1">AVERAGE(OFFSET($BH$3,0,0,'Données projet'!$E$11+1,1))-AVERAGE(OFFSET($H$3,0,0,'Données projet'!$E$11+1,1))</f>
        <v>280.57175994295949</v>
      </c>
      <c r="BJ43" s="62">
        <f t="shared" si="38"/>
        <v>216.69635818716841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1.8324224777821911</v>
      </c>
      <c r="BR43" s="23">
        <f>EXP(-LN(2)/2)*BR42+(1-EXP(-LN(2)/2))/(LN(2)/2)*BL43*BO43*VLOOKUP('Données projet'!$B$11,Paramètres!$A$1:$I$89,3,0)*0.475*44/12</f>
        <v>0.66025814657304271</v>
      </c>
      <c r="BS43" s="24">
        <f t="shared" si="9"/>
        <v>2.4926806243552337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21</v>
      </c>
      <c r="BY43" s="13">
        <f>IF('Données projet'!$A$114&gt;35,BY42+BX43-CG42,IF(A43&lt;'Données projet'!$A$114,$BV$205^A43,IF(A43='Données projet'!$A$114,'Données projet'!$B$114,BY42+BX43-CG42)))</f>
        <v>124.99999999999997</v>
      </c>
      <c r="BZ43" s="14">
        <f>BY43*VLOOKUP('Données projet'!$B$12,Paramètres!$A$1:$I$89,3,0)*VLOOKUP('Données projet'!$B$12,Paramètres!$A$1:$I$89,5,0)</f>
        <v>61.749999999999993</v>
      </c>
      <c r="CA43" s="14">
        <f t="shared" si="39"/>
        <v>17.609980879967505</v>
      </c>
      <c r="CB43" s="22">
        <f t="shared" si="10"/>
        <v>138.21863336594339</v>
      </c>
      <c r="CC43" s="62">
        <f t="shared" si="11"/>
        <v>431.5519666992767</v>
      </c>
      <c r="CD43" s="62">
        <f ca="1">AVERAGE(OFFSET($CC$3,0,0,'Données projet'!$E$12+1,1))-AVERAGE(OFFSET($H$3,0,0,'Données projet'!$E$12+1,1))</f>
        <v>426.64691649521097</v>
      </c>
      <c r="CE43" s="62">
        <f t="shared" si="40"/>
        <v>71.485487617222645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22.919000000000004</v>
      </c>
      <c r="D44" s="12">
        <f t="shared" si="32"/>
        <v>7.3353519161881984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233.54236566882119</v>
      </c>
      <c r="H44" s="70">
        <f t="shared" si="1"/>
        <v>346.02632958736109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194</v>
      </c>
      <c r="O44" s="14">
        <f>N44*VLOOKUP('Données projet'!$B$9,Paramètres!$A$1:$I$89,3,0)*VLOOKUP('Données projet'!$B$9,Paramètres!$A$1:$I$89,5,0)</f>
        <v>90.792000000000002</v>
      </c>
      <c r="P44" s="14">
        <f t="shared" si="33"/>
        <v>24.756138813110173</v>
      </c>
      <c r="Q44" s="22">
        <f t="shared" si="53"/>
        <v>201.24634176616689</v>
      </c>
      <c r="R44" s="62">
        <f t="shared" si="0"/>
        <v>494.57967509950021</v>
      </c>
      <c r="S44" s="62">
        <f ca="1">AVERAGE(OFFSET($R$3,0,0,'Données projet'!$E$9+1,1))-AVERAGE(OFFSET($H$3,0,0,'Données projet'!$E$9+1,1))</f>
        <v>165.12229410621887</v>
      </c>
      <c r="T44" s="62">
        <f t="shared" si="34"/>
        <v>148.17171564653341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</v>
      </c>
      <c r="AI44" s="14">
        <f>IF('Données projet'!$A$62&gt;35,AI43+AH44-AQ43,IF(A44&lt;'Données projet'!$A$62,$AF$205^A44,IF(A44='Données projet'!$A$62,'Données projet'!$B$62,AI43+AH44-AQ43)))</f>
        <v>232.0000000000002</v>
      </c>
      <c r="AJ44" s="14">
        <f>AI44*VLOOKUP('Données projet'!$B$10,Paramètres!$A$1:$I$89,3,0)*VLOOKUP('Données projet'!$B$10,Paramètres!$A$1:$I$89,5,0)</f>
        <v>209.9136000000002</v>
      </c>
      <c r="AK44" s="14">
        <f t="shared" si="35"/>
        <v>51.916704672341361</v>
      </c>
      <c r="AL44" s="22">
        <f t="shared" si="4"/>
        <v>456.02111397099492</v>
      </c>
      <c r="AM44" s="62">
        <f t="shared" si="5"/>
        <v>749.35444730432823</v>
      </c>
      <c r="AN44" s="62">
        <f ca="1">AVERAGE(OFFSET($AM$3,0,0,'Données projet'!$E$10+1,1))-AVERAGE(OFFSET($H$3,0,0,'Données projet'!$E$10+1,1))</f>
        <v>249.03969036629979</v>
      </c>
      <c r="AO44" s="62">
        <f t="shared" si="36"/>
        <v>347.8713931923707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6.7051919733264187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6.7051919733264187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16.600000000000001</v>
      </c>
      <c r="BD44" s="13">
        <f>IF('Données projet'!$A$88&gt;35,BD43+BC44-BL43,IF(A44&lt;'Données projet'!$A$88,$BA$205^A44,IF(A44='Données projet'!$A$88,'Données projet'!$B$88,BD43+BC44-BL43)))</f>
        <v>239.60000000000008</v>
      </c>
      <c r="BE44" s="14">
        <f>BD44*VLOOKUP('Données projet'!$B$11,Paramètres!$A$1:$I$89,3,0)*VLOOKUP('Données projet'!$B$11,Paramètres!$A$1:$I$89,5,0)</f>
        <v>143.28080000000006</v>
      </c>
      <c r="BF44" s="14">
        <f t="shared" si="37"/>
        <v>37.047574465948976</v>
      </c>
      <c r="BG44" s="22">
        <f t="shared" si="7"/>
        <v>314.07191886152788</v>
      </c>
      <c r="BH44" s="62">
        <f t="shared" si="8"/>
        <v>607.40525219486119</v>
      </c>
      <c r="BI44" s="62">
        <f ca="1">AVERAGE(OFFSET($BH$3,0,0,'Données projet'!$E$11+1,1))-AVERAGE(OFFSET($H$3,0,0,'Données projet'!$E$11+1,1))</f>
        <v>280.57175994295949</v>
      </c>
      <c r="BJ44" s="62">
        <f t="shared" si="38"/>
        <v>216.69635818716841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1.7823147887643271</v>
      </c>
      <c r="BR44" s="23">
        <f>EXP(-LN(2)/2)*BR43+(1-EXP(-LN(2)/2))/(LN(2)/2)*BL44*BO44*VLOOKUP('Données projet'!$B$11,Paramètres!$A$1:$I$89,3,0)*0.475*44/12</f>
        <v>0.46687301277545995</v>
      </c>
      <c r="BS44" s="24">
        <f t="shared" si="9"/>
        <v>2.249187801539787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21</v>
      </c>
      <c r="BY44" s="13">
        <f>IF('Données projet'!$A$114&gt;35,BY43+BX44-CG43,IF(A44&lt;'Données projet'!$A$114,$BV$205^A44,IF(A44='Données projet'!$A$114,'Données projet'!$B$114,BY43+BX44-CG43)))</f>
        <v>145.99999999999997</v>
      </c>
      <c r="BZ44" s="14">
        <f>BY44*VLOOKUP('Données projet'!$B$12,Paramètres!$A$1:$I$89,3,0)*VLOOKUP('Données projet'!$B$12,Paramètres!$A$1:$I$89,5,0)</f>
        <v>72.123999999999995</v>
      </c>
      <c r="CA44" s="14">
        <f t="shared" si="39"/>
        <v>20.200000505261777</v>
      </c>
      <c r="CB44" s="22">
        <f t="shared" si="10"/>
        <v>160.79763421333092</v>
      </c>
      <c r="CC44" s="62">
        <f t="shared" si="11"/>
        <v>454.13096754666424</v>
      </c>
      <c r="CD44" s="62">
        <f ca="1">AVERAGE(OFFSET($CC$3,0,0,'Données projet'!$E$12+1,1))-AVERAGE(OFFSET($H$3,0,0,'Données projet'!$E$12+1,1))</f>
        <v>426.64691649521097</v>
      </c>
      <c r="CE44" s="62">
        <f t="shared" si="40"/>
        <v>71.485487617222645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23.478000000000005</v>
      </c>
      <c r="D45" s="12">
        <f t="shared" si="32"/>
        <v>7.4932153017418228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239.07604794327025</v>
      </c>
      <c r="H45" s="70">
        <f t="shared" si="1"/>
        <v>347.27486665053368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201</v>
      </c>
      <c r="O45" s="14">
        <f>N45*VLOOKUP('Données projet'!$B$9,Paramètres!$A$1:$I$89,3,0)*VLOOKUP('Données projet'!$B$9,Paramètres!$A$1:$I$89,5,0)</f>
        <v>94.067999999999998</v>
      </c>
      <c r="P45" s="14">
        <f t="shared" si="33"/>
        <v>25.543790108694029</v>
      </c>
      <c r="Q45" s="22">
        <f t="shared" si="53"/>
        <v>208.32386777264207</v>
      </c>
      <c r="R45" s="62">
        <f t="shared" si="0"/>
        <v>501.65720110597539</v>
      </c>
      <c r="S45" s="62">
        <f ca="1">AVERAGE(OFFSET($R$3,0,0,'Données projet'!$E$9+1,1))-AVERAGE(OFFSET($H$3,0,0,'Données projet'!$E$9+1,1))</f>
        <v>165.12229410621887</v>
      </c>
      <c r="T45" s="62">
        <f t="shared" si="34"/>
        <v>148.17171564653341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</v>
      </c>
      <c r="AI45" s="14">
        <f>IF('Données projet'!$A$62&gt;35,AI44+AH45-AQ44,IF(A45&lt;'Données projet'!$A$62,$AF$205^A45,IF(A45='Données projet'!$A$62,'Données projet'!$B$62,AI44+AH45-AQ44)))</f>
        <v>237.0000000000002</v>
      </c>
      <c r="AJ45" s="14">
        <f>AI45*VLOOKUP('Données projet'!$B$10,Paramètres!$A$1:$I$89,3,0)*VLOOKUP('Données projet'!$B$10,Paramètres!$A$1:$I$89,5,0)</f>
        <v>214.43760000000015</v>
      </c>
      <c r="AK45" s="14">
        <f t="shared" si="35"/>
        <v>52.904129603372425</v>
      </c>
      <c r="AL45" s="22">
        <f t="shared" si="4"/>
        <v>465.6201790592072</v>
      </c>
      <c r="AM45" s="62">
        <f t="shared" si="5"/>
        <v>758.95351239254046</v>
      </c>
      <c r="AN45" s="62">
        <f ca="1">AVERAGE(OFFSET($AM$3,0,0,'Données projet'!$E$10+1,1))-AVERAGE(OFFSET($H$3,0,0,'Données projet'!$E$10+1,1))</f>
        <v>249.03969036629979</v>
      </c>
      <c r="AO45" s="62">
        <f t="shared" si="36"/>
        <v>347.8713931923707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6.5737072484927603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6.5737072484927603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16.600000000000001</v>
      </c>
      <c r="BD45" s="13">
        <f>IF('Données projet'!$A$88&gt;35,BD44+BC45-BL44,IF(A45&lt;'Données projet'!$A$88,$BA$205^A45,IF(A45='Données projet'!$A$88,'Données projet'!$B$88,BD44+BC45-BL44)))</f>
        <v>256.2000000000001</v>
      </c>
      <c r="BE45" s="14">
        <f>BD45*VLOOKUP('Données projet'!$B$11,Paramètres!$A$1:$I$89,3,0)*VLOOKUP('Données projet'!$B$11,Paramètres!$A$1:$I$89,5,0)</f>
        <v>153.20760000000007</v>
      </c>
      <c r="BF45" s="14">
        <f t="shared" si="37"/>
        <v>39.306624169832133</v>
      </c>
      <c r="BG45" s="22">
        <f t="shared" si="7"/>
        <v>335.29560709579107</v>
      </c>
      <c r="BH45" s="62">
        <f t="shared" si="8"/>
        <v>628.62894042912444</v>
      </c>
      <c r="BI45" s="62">
        <f ca="1">AVERAGE(OFFSET($BH$3,0,0,'Données projet'!$E$11+1,1))-AVERAGE(OFFSET($H$3,0,0,'Données projet'!$E$11+1,1))</f>
        <v>280.57175994295949</v>
      </c>
      <c r="BJ45" s="62">
        <f t="shared" si="38"/>
        <v>216.69635818716841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1.7335772971377055</v>
      </c>
      <c r="BR45" s="23">
        <f>EXP(-LN(2)/2)*BR44+(1-EXP(-LN(2)/2))/(LN(2)/2)*BL45*BO45*VLOOKUP('Données projet'!$B$11,Paramètres!$A$1:$I$89,3,0)*0.475*44/12</f>
        <v>0.33012907328652141</v>
      </c>
      <c r="BS45" s="24">
        <f t="shared" si="9"/>
        <v>2.0637063704242271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21</v>
      </c>
      <c r="BY45" s="13">
        <f>IF('Données projet'!$A$114&gt;35,BY44+BX45-CG44,IF(A45&lt;'Données projet'!$A$114,$BV$205^A45,IF(A45='Données projet'!$A$114,'Données projet'!$B$114,BY44+BX45-CG44)))</f>
        <v>166.99999999999997</v>
      </c>
      <c r="BZ45" s="14">
        <f>BY45*VLOOKUP('Données projet'!$B$12,Paramètres!$A$1:$I$89,3,0)*VLOOKUP('Données projet'!$B$12,Paramètres!$A$1:$I$89,5,0)</f>
        <v>82.49799999999999</v>
      </c>
      <c r="CA45" s="14">
        <f t="shared" si="39"/>
        <v>22.746860847025957</v>
      </c>
      <c r="CB45" s="22">
        <f t="shared" si="10"/>
        <v>183.30146597523685</v>
      </c>
      <c r="CC45" s="62">
        <f t="shared" si="11"/>
        <v>476.63479930857017</v>
      </c>
      <c r="CD45" s="62">
        <f ca="1">AVERAGE(OFFSET($CC$3,0,0,'Données projet'!$E$12+1,1))-AVERAGE(OFFSET($H$3,0,0,'Données projet'!$E$12+1,1))</f>
        <v>426.64691649521097</v>
      </c>
      <c r="CE45" s="62">
        <f t="shared" si="40"/>
        <v>71.485487617222645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24.037000000000006</v>
      </c>
      <c r="D46" s="12">
        <f t="shared" si="32"/>
        <v>7.6506417422667603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244.60635730872593</v>
      </c>
      <c r="H46" s="70">
        <f t="shared" si="1"/>
        <v>348.52264270111459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208</v>
      </c>
      <c r="O46" s="14">
        <f>N46*VLOOKUP('Données projet'!$B$9,Paramètres!$A$1:$I$89,3,0)*VLOOKUP('Données projet'!$B$9,Paramètres!$A$1:$I$89,5,0)</f>
        <v>97.343999999999994</v>
      </c>
      <c r="P46" s="14">
        <f t="shared" si="33"/>
        <v>26.328254259866451</v>
      </c>
      <c r="Q46" s="22">
        <f t="shared" si="53"/>
        <v>215.39584283593408</v>
      </c>
      <c r="R46" s="62">
        <f t="shared" si="0"/>
        <v>508.72917616926736</v>
      </c>
      <c r="S46" s="62">
        <f ca="1">AVERAGE(OFFSET($R$3,0,0,'Données projet'!$E$9+1,1))-AVERAGE(OFFSET($H$3,0,0,'Données projet'!$E$9+1,1))</f>
        <v>165.12229410621887</v>
      </c>
      <c r="T46" s="62">
        <f t="shared" si="34"/>
        <v>148.17171564653341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</v>
      </c>
      <c r="AI46" s="14">
        <f>IF('Données projet'!$A$62&gt;35,AI45+AH46-AQ45,IF(A46&lt;'Données projet'!$A$62,$AF$205^A46,IF(A46='Données projet'!$A$62,'Données projet'!$B$62,AI45+AH46-AQ45)))</f>
        <v>242.0000000000002</v>
      </c>
      <c r="AJ46" s="14">
        <f>AI46*VLOOKUP('Données projet'!$B$10,Paramètres!$A$1:$I$89,3,0)*VLOOKUP('Données projet'!$B$10,Paramètres!$A$1:$I$89,5,0)</f>
        <v>218.96160000000017</v>
      </c>
      <c r="AK46" s="14">
        <f t="shared" si="35"/>
        <v>53.889132503707479</v>
      </c>
      <c r="AL46" s="22">
        <f t="shared" si="4"/>
        <v>475.2150257772908</v>
      </c>
      <c r="AM46" s="62">
        <f t="shared" si="5"/>
        <v>768.54835911062412</v>
      </c>
      <c r="AN46" s="62">
        <f ca="1">AVERAGE(OFFSET($AM$3,0,0,'Données projet'!$E$10+1,1))-AVERAGE(OFFSET($H$3,0,0,'Données projet'!$E$10+1,1))</f>
        <v>249.03969036629979</v>
      </c>
      <c r="AO46" s="62">
        <f t="shared" si="36"/>
        <v>347.8713931923707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6.4448008589153272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6.4448008589153272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16.600000000000001</v>
      </c>
      <c r="BD46" s="13">
        <f>IF('Données projet'!$A$88&gt;35,BD45+BC46-BL45,IF(A46&lt;'Données projet'!$A$88,$BA$205^A46,IF(A46='Données projet'!$A$88,'Données projet'!$B$88,BD45+BC46-BL45)))</f>
        <v>272.80000000000013</v>
      </c>
      <c r="BE46" s="14">
        <f>BD46*VLOOKUP('Données projet'!$B$11,Paramètres!$A$1:$I$89,3,0)*VLOOKUP('Données projet'!$B$11,Paramètres!$A$1:$I$89,5,0)</f>
        <v>163.13440000000008</v>
      </c>
      <c r="BF46" s="14">
        <f t="shared" si="37"/>
        <v>41.548687845426002</v>
      </c>
      <c r="BG46" s="22">
        <f t="shared" si="7"/>
        <v>356.48971133078379</v>
      </c>
      <c r="BH46" s="62">
        <f t="shared" si="8"/>
        <v>649.82304466411711</v>
      </c>
      <c r="BI46" s="62">
        <f ca="1">AVERAGE(OFFSET($BH$3,0,0,'Données projet'!$E$11+1,1))-AVERAGE(OFFSET($H$3,0,0,'Données projet'!$E$11+1,1))</f>
        <v>280.57175994295949</v>
      </c>
      <c r="BJ46" s="62">
        <f t="shared" si="38"/>
        <v>216.69635818716841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1.6861725347826071</v>
      </c>
      <c r="BR46" s="23">
        <f>EXP(-LN(2)/2)*BR45+(1-EXP(-LN(2)/2))/(LN(2)/2)*BL46*BO46*VLOOKUP('Données projet'!$B$11,Paramètres!$A$1:$I$89,3,0)*0.475*44/12</f>
        <v>0.23343650638773003</v>
      </c>
      <c r="BS46" s="24">
        <f t="shared" si="9"/>
        <v>1.919609041170337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21</v>
      </c>
      <c r="BY46" s="13">
        <f>IF('Données projet'!$A$114&gt;35,BY45+BX46-CG45,IF(A46&lt;'Données projet'!$A$114,$BV$205^A46,IF(A46='Données projet'!$A$114,'Données projet'!$B$114,BY45+BX46-CG45)))</f>
        <v>187.99999999999997</v>
      </c>
      <c r="BZ46" s="14">
        <f>BY46*VLOOKUP('Données projet'!$B$12,Paramètres!$A$1:$I$89,3,0)*VLOOKUP('Données projet'!$B$12,Paramètres!$A$1:$I$89,5,0)</f>
        <v>92.871999999999986</v>
      </c>
      <c r="CA46" s="14">
        <f t="shared" si="39"/>
        <v>25.256610838382159</v>
      </c>
      <c r="CB46" s="22">
        <f t="shared" si="10"/>
        <v>205.74066387684888</v>
      </c>
      <c r="CC46" s="62">
        <f t="shared" si="11"/>
        <v>499.0739972101822</v>
      </c>
      <c r="CD46" s="62">
        <f ca="1">AVERAGE(OFFSET($CC$3,0,0,'Données projet'!$E$12+1,1))-AVERAGE(OFFSET($H$3,0,0,'Données projet'!$E$12+1,1))</f>
        <v>426.64691649521097</v>
      </c>
      <c r="CE46" s="62">
        <f t="shared" si="40"/>
        <v>71.485487617222645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24.596000000000007</v>
      </c>
      <c r="D47" s="12">
        <f t="shared" si="32"/>
        <v>7.8076425687993289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250.13338123283697</v>
      </c>
      <c r="H47" s="70">
        <f t="shared" si="1"/>
        <v>349.76967747399215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215</v>
      </c>
      <c r="O47" s="14">
        <f>N47*VLOOKUP('Données projet'!$B$9,Paramètres!$A$1:$I$89,3,0)*VLOOKUP('Données projet'!$B$9,Paramètres!$A$1:$I$89,5,0)</f>
        <v>100.61999999999999</v>
      </c>
      <c r="P47" s="14">
        <f t="shared" si="33"/>
        <v>27.10965082293415</v>
      </c>
      <c r="Q47" s="22">
        <f t="shared" si="53"/>
        <v>222.46247518327695</v>
      </c>
      <c r="R47" s="62">
        <f t="shared" si="0"/>
        <v>515.79580851661024</v>
      </c>
      <c r="S47" s="62">
        <f ca="1">AVERAGE(OFFSET($R$3,0,0,'Données projet'!$E$9+1,1))-AVERAGE(OFFSET($H$3,0,0,'Données projet'!$E$9+1,1))</f>
        <v>165.12229410621887</v>
      </c>
      <c r="T47" s="62">
        <f t="shared" si="34"/>
        <v>148.17171564653341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</v>
      </c>
      <c r="AI47" s="14">
        <f>IF('Données projet'!$A$62&gt;35,AI46+AH47-AQ46,IF(A47&lt;'Données projet'!$A$62,$AF$205^A47,IF(A47='Données projet'!$A$62,'Données projet'!$B$62,AI46+AH47-AQ46)))</f>
        <v>247.0000000000002</v>
      </c>
      <c r="AJ47" s="14">
        <f>AI47*VLOOKUP('Données projet'!$B$10,Paramètres!$A$1:$I$89,3,0)*VLOOKUP('Données projet'!$B$10,Paramètres!$A$1:$I$89,5,0)</f>
        <v>223.48560000000018</v>
      </c>
      <c r="AK47" s="14">
        <f t="shared" si="35"/>
        <v>54.87176918107798</v>
      </c>
      <c r="AL47" s="22">
        <f t="shared" si="4"/>
        <v>484.80575132371115</v>
      </c>
      <c r="AM47" s="62">
        <f t="shared" si="5"/>
        <v>778.13908465704446</v>
      </c>
      <c r="AN47" s="62">
        <f ca="1">AVERAGE(OFFSET($AM$3,0,0,'Données projet'!$E$10+1,1))-AVERAGE(OFFSET($H$3,0,0,'Données projet'!$E$10+1,1))</f>
        <v>249.03969036629979</v>
      </c>
      <c r="AO47" s="62">
        <f t="shared" si="36"/>
        <v>347.8713931923707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6.318422245012373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6.318422245012373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16.600000000000001</v>
      </c>
      <c r="BD47" s="13">
        <f>IF('Données projet'!$A$88&gt;35,BD46+BC47-BL46,IF(A47&lt;'Données projet'!$A$88,$BA$205^A47,IF(A47='Données projet'!$A$88,'Données projet'!$B$88,BD46+BC47-BL46)))</f>
        <v>289.40000000000015</v>
      </c>
      <c r="BE47" s="14">
        <f>BD47*VLOOKUP('Données projet'!$B$11,Paramètres!$A$1:$I$89,3,0)*VLOOKUP('Données projet'!$B$11,Paramètres!$A$1:$I$89,5,0)</f>
        <v>173.0612000000001</v>
      </c>
      <c r="BF47" s="14">
        <f t="shared" si="37"/>
        <v>43.774916798471111</v>
      </c>
      <c r="BG47" s="22">
        <f t="shared" si="7"/>
        <v>377.65623675733735</v>
      </c>
      <c r="BH47" s="62">
        <f t="shared" si="8"/>
        <v>670.98957009067067</v>
      </c>
      <c r="BI47" s="62">
        <f ca="1">AVERAGE(OFFSET($BH$3,0,0,'Données projet'!$E$11+1,1))-AVERAGE(OFFSET($H$3,0,0,'Données projet'!$E$11+1,1))</f>
        <v>280.57175994295949</v>
      </c>
      <c r="BJ47" s="62">
        <f t="shared" si="38"/>
        <v>216.69635818716841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1.6400640581470169</v>
      </c>
      <c r="BR47" s="23">
        <f>EXP(-LN(2)/2)*BR46+(1-EXP(-LN(2)/2))/(LN(2)/2)*BL47*BO47*VLOOKUP('Données projet'!$B$11,Paramètres!$A$1:$I$89,3,0)*0.475*44/12</f>
        <v>0.16506453664326073</v>
      </c>
      <c r="BS47" s="24">
        <f t="shared" si="9"/>
        <v>1.8051285947902778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21</v>
      </c>
      <c r="BY47" s="13">
        <f>IF('Données projet'!$A$114&gt;35,BY46+BX47-CG46,IF(A47&lt;'Données projet'!$A$114,$BV$205^A47,IF(A47='Données projet'!$A$114,'Données projet'!$B$114,BY46+BX47-CG46)))</f>
        <v>208.99999999999997</v>
      </c>
      <c r="BZ47" s="14">
        <f>BY47*VLOOKUP('Données projet'!$B$12,Paramètres!$A$1:$I$89,3,0)*VLOOKUP('Données projet'!$B$12,Paramètres!$A$1:$I$89,5,0)</f>
        <v>103.24599999999998</v>
      </c>
      <c r="CA47" s="14">
        <f t="shared" si="39"/>
        <v>27.733868712631917</v>
      </c>
      <c r="CB47" s="22">
        <f t="shared" si="10"/>
        <v>228.12327134116723</v>
      </c>
      <c r="CC47" s="62">
        <f t="shared" si="11"/>
        <v>521.45660467450057</v>
      </c>
      <c r="CD47" s="62">
        <f ca="1">AVERAGE(OFFSET($CC$3,0,0,'Données projet'!$E$12+1,1))-AVERAGE(OFFSET($H$3,0,0,'Données projet'!$E$12+1,1))</f>
        <v>426.64691649521097</v>
      </c>
      <c r="CE47" s="62">
        <f t="shared" si="40"/>
        <v>71.485487617222645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25.155000000000008</v>
      </c>
      <c r="D48" s="12">
        <f t="shared" si="32"/>
        <v>7.9642285679322873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255.65720298053</v>
      </c>
      <c r="H48" s="70">
        <f t="shared" si="1"/>
        <v>351.01598975581538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222</v>
      </c>
      <c r="O48" s="14">
        <f>N48*VLOOKUP('Données projet'!$B$9,Paramètres!$A$1:$I$89,3,0)*VLOOKUP('Données projet'!$B$9,Paramètres!$A$1:$I$89,5,0)</f>
        <v>103.896</v>
      </c>
      <c r="P48" s="14">
        <f t="shared" si="33"/>
        <v>27.888091127225799</v>
      </c>
      <c r="Q48" s="22">
        <f t="shared" si="53"/>
        <v>229.52395871325157</v>
      </c>
      <c r="R48" s="62">
        <f t="shared" si="0"/>
        <v>522.85729204658492</v>
      </c>
      <c r="S48" s="62">
        <f ca="1">AVERAGE(OFFSET($R$3,0,0,'Données projet'!$E$9+1,1))-AVERAGE(OFFSET($H$3,0,0,'Données projet'!$E$9+1,1))</f>
        <v>165.12229410621887</v>
      </c>
      <c r="T48" s="62">
        <f t="shared" si="34"/>
        <v>148.17171564653341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252</v>
      </c>
      <c r="AG48" s="13">
        <f>VLOOKUP(A48,'Données projet'!$A$61:$I$81,9,0)</f>
        <v>5</v>
      </c>
      <c r="AH48" s="13">
        <f t="array" ref="AH48">INDEX(AG:AG,MIN(IF(ISNUMBER(AG48:AG244),ROW(AG48:AG244),"")))</f>
        <v>5</v>
      </c>
      <c r="AI48" s="14">
        <f>IF('Données projet'!$A$62&gt;35,AI47+AH48-AQ47,IF(A48&lt;'Données projet'!$A$62,$AF$205^A48,IF(A48='Données projet'!$A$62,'Données projet'!$B$62,AI47+AH48-AQ47)))</f>
        <v>252.0000000000002</v>
      </c>
      <c r="AJ48" s="14">
        <f>AI48*VLOOKUP('Données projet'!$B$10,Paramètres!$A$1:$I$89,3,0)*VLOOKUP('Données projet'!$B$10,Paramètres!$A$1:$I$89,5,0)</f>
        <v>228.00960000000018</v>
      </c>
      <c r="AK48" s="14">
        <f t="shared" si="35"/>
        <v>55.852093054619878</v>
      </c>
      <c r="AL48" s="22">
        <f t="shared" si="4"/>
        <v>494.39244873679655</v>
      </c>
      <c r="AM48" s="62">
        <f t="shared" si="5"/>
        <v>787.72578207012987</v>
      </c>
      <c r="AN48" s="62">
        <f ca="1">AVERAGE(OFFSET($AM$3,0,0,'Données projet'!$E$10+1,1))-AVERAGE(OFFSET($H$3,0,0,'Données projet'!$E$10+1,1))</f>
        <v>249.03969036629979</v>
      </c>
      <c r="AO48" s="62">
        <f t="shared" si="36"/>
        <v>347.8713931923707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252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6.1945218386447127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6.1945218386447127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306</v>
      </c>
      <c r="BB48" s="13">
        <f>VLOOKUP(A48,'Données projet'!$A$87:$I$107,9,0)</f>
        <v>16.600000000000001</v>
      </c>
      <c r="BC48" s="13">
        <f t="array" ref="BC48">INDEX(BB:BB,MIN(IF(ISNUMBER(BB48:BB244),ROW(BB48:BB244),"")))</f>
        <v>16.600000000000001</v>
      </c>
      <c r="BD48" s="13">
        <f>IF('Données projet'!$A$88&gt;35,BD47+BC48-BL47,IF(A48&lt;'Données projet'!$A$88,$BA$205^A48,IF(A48='Données projet'!$A$88,'Données projet'!$B$88,BD47+BC48-BL47)))</f>
        <v>306.00000000000017</v>
      </c>
      <c r="BE48" s="14">
        <f>BD48*VLOOKUP('Données projet'!$B$11,Paramètres!$A$1:$I$89,3,0)*VLOOKUP('Données projet'!$B$11,Paramètres!$A$1:$I$89,5,0)</f>
        <v>182.98800000000011</v>
      </c>
      <c r="BF48" s="14">
        <f t="shared" si="37"/>
        <v>45.986322796524874</v>
      </c>
      <c r="BG48" s="22">
        <f t="shared" si="7"/>
        <v>398.79694553728103</v>
      </c>
      <c r="BH48" s="62">
        <f t="shared" si="8"/>
        <v>692.13027887061435</v>
      </c>
      <c r="BI48" s="62">
        <f ca="1">AVERAGE(OFFSET($BH$3,0,0,'Données projet'!$E$11+1,1))-AVERAGE(OFFSET($H$3,0,0,'Données projet'!$E$11+1,1))</f>
        <v>280.57175994295949</v>
      </c>
      <c r="BJ48" s="62">
        <f t="shared" si="38"/>
        <v>216.69635818716841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1.5952164202297663</v>
      </c>
      <c r="BR48" s="23">
        <f>EXP(-LN(2)/2)*BR47+(1-EXP(-LN(2)/2))/(LN(2)/2)*BL48*BO48*VLOOKUP('Données projet'!$B$11,Paramètres!$A$1:$I$89,3,0)*0.475*44/12</f>
        <v>0.11671825319386503</v>
      </c>
      <c r="BS48" s="24">
        <f t="shared" si="9"/>
        <v>1.7119346734236314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21</v>
      </c>
      <c r="BY48" s="13">
        <f>IF('Données projet'!$A$114&gt;35,BY47+BX48-CG47,IF(A48&lt;'Données projet'!$A$114,$BV$205^A48,IF(A48='Données projet'!$A$114,'Données projet'!$B$114,BY47+BX48-CG47)))</f>
        <v>229.99999999999997</v>
      </c>
      <c r="BZ48" s="14">
        <f>BY48*VLOOKUP('Données projet'!$B$12,Paramètres!$A$1:$I$89,3,0)*VLOOKUP('Données projet'!$B$12,Paramètres!$A$1:$I$89,5,0)</f>
        <v>113.61999999999999</v>
      </c>
      <c r="CA48" s="14">
        <f t="shared" si="39"/>
        <v>30.182270904187739</v>
      </c>
      <c r="CB48" s="22">
        <f t="shared" si="10"/>
        <v>250.45562182479364</v>
      </c>
      <c r="CC48" s="62">
        <f t="shared" si="11"/>
        <v>543.78895515812701</v>
      </c>
      <c r="CD48" s="62">
        <f ca="1">AVERAGE(OFFSET($CC$3,0,0,'Données projet'!$E$12+1,1))-AVERAGE(OFFSET($H$3,0,0,'Données projet'!$E$12+1,1))</f>
        <v>426.64691649521097</v>
      </c>
      <c r="CE48" s="62">
        <f t="shared" si="40"/>
        <v>71.485487617222645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25.714000000000009</v>
      </c>
      <c r="D49" s="12">
        <f t="shared" si="32"/>
        <v>8.1204100194831259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261.17790190478212</v>
      </c>
      <c r="H49" s="70">
        <f t="shared" si="1"/>
        <v>352.26159745059977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229</v>
      </c>
      <c r="O49" s="14">
        <f>N49*VLOOKUP('Données projet'!$B$9,Paramètres!$A$1:$I$89,3,0)*VLOOKUP('Données projet'!$B$9,Paramètres!$A$1:$I$89,5,0)</f>
        <v>107.172</v>
      </c>
      <c r="P49" s="14">
        <f t="shared" si="33"/>
        <v>28.663679082578788</v>
      </c>
      <c r="Q49" s="22">
        <f t="shared" si="53"/>
        <v>236.58047440215805</v>
      </c>
      <c r="R49" s="62">
        <f t="shared" si="0"/>
        <v>529.91380773549133</v>
      </c>
      <c r="S49" s="62">
        <f ca="1">AVERAGE(OFFSET($R$3,0,0,'Données projet'!$E$9+1,1))-AVERAGE(OFFSET($H$3,0,0,'Données projet'!$E$9+1,1))</f>
        <v>165.12229410621887</v>
      </c>
      <c r="T49" s="62">
        <f t="shared" si="34"/>
        <v>148.17171564653341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1.9895196601282805E-13</v>
      </c>
      <c r="AJ49" s="14">
        <f>AI49*VLOOKUP('Données projet'!$B$10,Paramètres!$A$1:$I$89,3,0)*VLOOKUP('Données projet'!$B$10,Paramètres!$A$1:$I$89,5,0)</f>
        <v>1.8001173884840681E-13</v>
      </c>
      <c r="AK49" s="14">
        <f t="shared" si="35"/>
        <v>2.5254331426407198E-12</v>
      </c>
      <c r="AL49" s="22">
        <f t="shared" si="4"/>
        <v>4.7119831685935622E-12</v>
      </c>
      <c r="AM49" s="62">
        <f t="shared" si="5"/>
        <v>293.33333333333803</v>
      </c>
      <c r="AN49" s="62">
        <f ca="1">AVERAGE(OFFSET($AM$3,0,0,'Données projet'!$E$10+1,1))-AVERAGE(OFFSET($H$3,0,0,'Données projet'!$E$10+1,1))</f>
        <v>249.03969036629979</v>
      </c>
      <c r="AO49" s="62">
        <f t="shared" si="36"/>
        <v>347.8713931923707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6.0730510436741367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6.0730510436741367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270.40000000000015</v>
      </c>
      <c r="BE49" s="14">
        <f>BD49*VLOOKUP('Données projet'!$B$11,Paramètres!$A$1:$I$89,3,0)*VLOOKUP('Données projet'!$B$11,Paramètres!$A$1:$I$89,5,0)</f>
        <v>161.6992000000001</v>
      </c>
      <c r="BF49" s="14">
        <f t="shared" si="37"/>
        <v>41.225538754249229</v>
      </c>
      <c r="BG49" s="22">
        <f t="shared" si="7"/>
        <v>353.42725333031763</v>
      </c>
      <c r="BH49" s="62">
        <f t="shared" si="8"/>
        <v>646.76058666365088</v>
      </c>
      <c r="BI49" s="62">
        <f ca="1">AVERAGE(OFFSET($BH$3,0,0,'Données projet'!$E$11+1,1))-AVERAGE(OFFSET($H$3,0,0,'Données projet'!$E$11+1,1))</f>
        <v>280.57175994295949</v>
      </c>
      <c r="BJ49" s="62">
        <f t="shared" si="38"/>
        <v>216.69635818716841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1.5515951433297976</v>
      </c>
      <c r="BR49" s="23">
        <f>EXP(-LN(2)/2)*BR48+(1-EXP(-LN(2)/2))/(LN(2)/2)*BL49*BO49*VLOOKUP('Données projet'!$B$11,Paramètres!$A$1:$I$89,3,0)*0.475*44/12</f>
        <v>8.2532268321630381E-2</v>
      </c>
      <c r="BS49" s="24">
        <f t="shared" si="9"/>
        <v>1.6341274116514279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251</v>
      </c>
      <c r="BW49" s="13">
        <f>VLOOKUP(A49,'Données projet'!$A$113:$I$133,9,0)</f>
        <v>21</v>
      </c>
      <c r="BX49" s="13">
        <f t="array" ref="BX49">INDEX(BW:BW,MIN(IF(ISNUMBER(BW49:BW245),ROW(BW49:BW245),"")))</f>
        <v>21</v>
      </c>
      <c r="BY49" s="13">
        <f>IF('Données projet'!$A$114&gt;35,BY48+BX49-CG48,IF(A49&lt;'Données projet'!$A$114,$BV$205^A49,IF(A49='Données projet'!$A$114,'Données projet'!$B$114,BY48+BX49-CG48)))</f>
        <v>250.99999999999997</v>
      </c>
      <c r="BZ49" s="14">
        <f>BY49*VLOOKUP('Données projet'!$B$12,Paramètres!$A$1:$I$89,3,0)*VLOOKUP('Données projet'!$B$12,Paramètres!$A$1:$I$89,5,0)</f>
        <v>123.994</v>
      </c>
      <c r="CA49" s="14">
        <f t="shared" si="39"/>
        <v>32.604751702468832</v>
      </c>
      <c r="CB49" s="22">
        <f t="shared" si="10"/>
        <v>272.74282588179989</v>
      </c>
      <c r="CC49" s="62">
        <f t="shared" si="11"/>
        <v>566.0761592151332</v>
      </c>
      <c r="CD49" s="62">
        <f ca="1">AVERAGE(OFFSET($CC$3,0,0,'Données projet'!$E$12+1,1))-AVERAGE(OFFSET($H$3,0,0,'Données projet'!$E$12+1,1))</f>
        <v>426.64691649521097</v>
      </c>
      <c r="CE49" s="62">
        <f t="shared" si="40"/>
        <v>71.485487617222645</v>
      </c>
      <c r="CF49" s="16">
        <f>IF(ISNA(VLOOKUP(A49,'Données projet'!$A$113:$I$133,3,0)),0,VLOOKUP(A49,'Données projet'!$A$113:$I$133,3,0))</f>
        <v>2</v>
      </c>
      <c r="CG49" s="16">
        <f>IF(ISNA(VLOOKUP(A49,'Données projet'!$A$113:$I$133,4,0)),0,VLOOKUP(A49,'Données projet'!$A$113:$I$133,4,0))</f>
        <v>50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26.27300000000001</v>
      </c>
      <c r="D50" s="12">
        <f t="shared" si="32"/>
        <v>8.2761967307944264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266.69555371139563</v>
      </c>
      <c r="H50" s="70">
        <f t="shared" si="1"/>
        <v>353.50651763946695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236</v>
      </c>
      <c r="O50" s="14">
        <f>N50*VLOOKUP('Données projet'!$B$9,Paramètres!$A$1:$I$89,3,0)*VLOOKUP('Données projet'!$B$9,Paramètres!$A$1:$I$89,5,0)</f>
        <v>110.44799999999999</v>
      </c>
      <c r="P50" s="14">
        <f t="shared" si="33"/>
        <v>29.436511885319565</v>
      </c>
      <c r="Q50" s="22">
        <f t="shared" si="53"/>
        <v>243.63219153359822</v>
      </c>
      <c r="R50" s="62">
        <f t="shared" si="0"/>
        <v>536.96552486693156</v>
      </c>
      <c r="S50" s="62">
        <f ca="1">AVERAGE(OFFSET($R$3,0,0,'Données projet'!$E$9+1,1))-AVERAGE(OFFSET($H$3,0,0,'Données projet'!$E$9+1,1))</f>
        <v>165.12229410621887</v>
      </c>
      <c r="T50" s="62">
        <f t="shared" si="34"/>
        <v>148.17171564653341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1.9895196601282805E-13</v>
      </c>
      <c r="AJ50" s="14">
        <f>AI50*VLOOKUP('Données projet'!$B$10,Paramètres!$A$1:$I$89,3,0)*VLOOKUP('Données projet'!$B$10,Paramètres!$A$1:$I$89,5,0)</f>
        <v>1.8001173884840681E-13</v>
      </c>
      <c r="AK50" s="14">
        <f t="shared" si="35"/>
        <v>2.5254331426407198E-12</v>
      </c>
      <c r="AL50" s="22">
        <f t="shared" si="4"/>
        <v>4.7119831685935622E-12</v>
      </c>
      <c r="AM50" s="62">
        <f t="shared" si="5"/>
        <v>293.33333333333803</v>
      </c>
      <c r="AN50" s="62">
        <f ca="1">AVERAGE(OFFSET($AM$3,0,0,'Données projet'!$E$10+1,1))-AVERAGE(OFFSET($H$3,0,0,'Données projet'!$E$10+1,1))</f>
        <v>249.03969036629979</v>
      </c>
      <c r="AO50" s="62">
        <f t="shared" si="36"/>
        <v>347.8713931923707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5.953962216903065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5.953962216903065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287.80000000000013</v>
      </c>
      <c r="BE50" s="14">
        <f>BD50*VLOOKUP('Données projet'!$B$11,Paramètres!$A$1:$I$89,3,0)*VLOOKUP('Données projet'!$B$11,Paramètres!$A$1:$I$89,5,0)</f>
        <v>172.10440000000008</v>
      </c>
      <c r="BF50" s="14">
        <f t="shared" si="37"/>
        <v>43.561001176960559</v>
      </c>
      <c r="BG50" s="22">
        <f t="shared" si="7"/>
        <v>375.61724038320648</v>
      </c>
      <c r="BH50" s="62">
        <f t="shared" si="8"/>
        <v>668.95057371653979</v>
      </c>
      <c r="BI50" s="62">
        <f ca="1">AVERAGE(OFFSET($BH$3,0,0,'Données projet'!$E$11+1,1))-AVERAGE(OFFSET($H$3,0,0,'Données projet'!$E$11+1,1))</f>
        <v>280.57175994295949</v>
      </c>
      <c r="BJ50" s="62">
        <f t="shared" si="38"/>
        <v>216.69635818716841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1.509166692540602</v>
      </c>
      <c r="BR50" s="23">
        <f>EXP(-LN(2)/2)*BR49+(1-EXP(-LN(2)/2))/(LN(2)/2)*BL50*BO50*VLOOKUP('Données projet'!$B$11,Paramètres!$A$1:$I$89,3,0)*0.475*44/12</f>
        <v>5.8359126596932528E-2</v>
      </c>
      <c r="BS50" s="24">
        <f t="shared" si="9"/>
        <v>1.5675258191375345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26.142857142857142</v>
      </c>
      <c r="BY50" s="13">
        <f>IF('Données projet'!$A$114&gt;35,BY49+BX50-CG49,IF(A50&lt;'Données projet'!$A$114,$BV$205^A50,IF(A50='Données projet'!$A$114,'Données projet'!$B$114,BY49+BX50-CG49)))</f>
        <v>227.14285714285711</v>
      </c>
      <c r="BZ50" s="14">
        <f>BY50*VLOOKUP('Données projet'!$B$12,Paramètres!$A$1:$I$89,3,0)*VLOOKUP('Données projet'!$B$12,Paramètres!$A$1:$I$89,5,0)</f>
        <v>112.20857142857142</v>
      </c>
      <c r="CA50" s="14">
        <f t="shared" si="39"/>
        <v>29.850737667869183</v>
      </c>
      <c r="CB50" s="22">
        <f t="shared" si="10"/>
        <v>247.41996334296735</v>
      </c>
      <c r="CC50" s="62">
        <f t="shared" si="11"/>
        <v>540.75329667630069</v>
      </c>
      <c r="CD50" s="62">
        <f ca="1">AVERAGE(OFFSET($CC$3,0,0,'Données projet'!$E$12+1,1))-AVERAGE(OFFSET($H$3,0,0,'Données projet'!$E$12+1,1))</f>
        <v>426.64691649521097</v>
      </c>
      <c r="CE50" s="62">
        <f t="shared" si="40"/>
        <v>71.485487617222645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26.832000000000011</v>
      </c>
      <c r="D51" s="12">
        <f t="shared" si="32"/>
        <v>8.4315980680326348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272.21023070060295</v>
      </c>
      <c r="H51" s="70">
        <f t="shared" si="1"/>
        <v>354.75076663515682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243</v>
      </c>
      <c r="O51" s="14">
        <f>N51*VLOOKUP('Données projet'!$B$9,Paramètres!$A$1:$I$89,3,0)*VLOOKUP('Données projet'!$B$9,Paramètres!$A$1:$I$89,5,0)</f>
        <v>113.72399999999999</v>
      </c>
      <c r="P51" s="14">
        <f t="shared" si="33"/>
        <v>30.206680638130489</v>
      </c>
      <c r="Q51" s="22">
        <f t="shared" si="53"/>
        <v>250.67926877807722</v>
      </c>
      <c r="R51" s="62">
        <f t="shared" si="0"/>
        <v>544.0126021114105</v>
      </c>
      <c r="S51" s="62">
        <f ca="1">AVERAGE(OFFSET($R$3,0,0,'Données projet'!$E$9+1,1))-AVERAGE(OFFSET($H$3,0,0,'Données projet'!$E$9+1,1))</f>
        <v>165.12229410621887</v>
      </c>
      <c r="T51" s="62">
        <f t="shared" si="34"/>
        <v>148.17171564653341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1.9895196601282805E-13</v>
      </c>
      <c r="AJ51" s="14">
        <f>AI51*VLOOKUP('Données projet'!$B$10,Paramètres!$A$1:$I$89,3,0)*VLOOKUP('Données projet'!$B$10,Paramètres!$A$1:$I$89,5,0)</f>
        <v>1.8001173884840681E-13</v>
      </c>
      <c r="AK51" s="14">
        <f t="shared" si="35"/>
        <v>2.5254331426407198E-12</v>
      </c>
      <c r="AL51" s="22">
        <f t="shared" si="4"/>
        <v>4.7119831685935622E-12</v>
      </c>
      <c r="AM51" s="62">
        <f t="shared" si="5"/>
        <v>293.33333333333803</v>
      </c>
      <c r="AN51" s="62">
        <f ca="1">AVERAGE(OFFSET($AM$3,0,0,'Données projet'!$E$10+1,1))-AVERAGE(OFFSET($H$3,0,0,'Données projet'!$E$10+1,1))</f>
        <v>249.03969036629979</v>
      </c>
      <c r="AO51" s="62">
        <f t="shared" si="36"/>
        <v>347.8713931923707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5.8372086493879616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5.8372086493879616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305.2000000000001</v>
      </c>
      <c r="BE51" s="14">
        <f>BD51*VLOOKUP('Données projet'!$B$11,Paramètres!$A$1:$I$89,3,0)*VLOOKUP('Données projet'!$B$11,Paramètres!$A$1:$I$89,5,0)</f>
        <v>182.50960000000006</v>
      </c>
      <c r="BF51" s="14">
        <f t="shared" si="37"/>
        <v>45.880075205637056</v>
      </c>
      <c r="BG51" s="22">
        <f t="shared" si="7"/>
        <v>397.77868431648454</v>
      </c>
      <c r="BH51" s="62">
        <f t="shared" si="8"/>
        <v>691.11201764981786</v>
      </c>
      <c r="BI51" s="62">
        <f ca="1">AVERAGE(OFFSET($BH$3,0,0,'Données projet'!$E$11+1,1))-AVERAGE(OFFSET($H$3,0,0,'Données projet'!$E$11+1,1))</f>
        <v>280.57175994295949</v>
      </c>
      <c r="BJ51" s="62">
        <f t="shared" si="38"/>
        <v>216.69635818716841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1.4678984499694521</v>
      </c>
      <c r="BR51" s="23">
        <f>EXP(-LN(2)/2)*BR50+(1-EXP(-LN(2)/2))/(LN(2)/2)*BL51*BO51*VLOOKUP('Données projet'!$B$11,Paramètres!$A$1:$I$89,3,0)*0.475*44/12</f>
        <v>4.1266134160815197E-2</v>
      </c>
      <c r="BS51" s="24">
        <f t="shared" si="9"/>
        <v>1.5091645841302672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26.142857142857142</v>
      </c>
      <c r="BY51" s="13">
        <f>IF('Données projet'!$A$114&gt;35,BY50+BX51-CG50,IF(A51&lt;'Données projet'!$A$114,$BV$205^A51,IF(A51='Données projet'!$A$114,'Données projet'!$B$114,BY50+BX51-CG50)))</f>
        <v>253.28571428571425</v>
      </c>
      <c r="BZ51" s="14">
        <f>BY51*VLOOKUP('Données projet'!$B$12,Paramètres!$A$1:$I$89,3,0)*VLOOKUP('Données projet'!$B$12,Paramètres!$A$1:$I$89,5,0)</f>
        <v>125.12314285714284</v>
      </c>
      <c r="CA51" s="14">
        <f t="shared" si="39"/>
        <v>32.866965395788462</v>
      </c>
      <c r="CB51" s="22">
        <f t="shared" si="10"/>
        <v>275.16610520718865</v>
      </c>
      <c r="CC51" s="62">
        <f t="shared" si="11"/>
        <v>568.49943854052196</v>
      </c>
      <c r="CD51" s="62">
        <f ca="1">AVERAGE(OFFSET($CC$3,0,0,'Données projet'!$E$12+1,1))-AVERAGE(OFFSET($H$3,0,0,'Données projet'!$E$12+1,1))</f>
        <v>426.64691649521097</v>
      </c>
      <c r="CE51" s="62">
        <f t="shared" si="40"/>
        <v>71.485487617222645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27.391000000000012</v>
      </c>
      <c r="D52" s="12">
        <f t="shared" si="32"/>
        <v>8.586622984805059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277.72200198796901</v>
      </c>
      <c r="H52" s="70">
        <f t="shared" si="1"/>
        <v>355.99436003186884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250</v>
      </c>
      <c r="O52" s="14">
        <f>N52*VLOOKUP('Données projet'!$B$9,Paramètres!$A$1:$I$89,3,0)*VLOOKUP('Données projet'!$B$9,Paramètres!$A$1:$I$89,5,0)</f>
        <v>117</v>
      </c>
      <c r="P52" s="14">
        <f t="shared" si="33"/>
        <v>30.974270896484146</v>
      </c>
      <c r="Q52" s="22">
        <f t="shared" si="53"/>
        <v>257.72185514470988</v>
      </c>
      <c r="R52" s="62">
        <f t="shared" si="0"/>
        <v>551.05518847804319</v>
      </c>
      <c r="S52" s="62">
        <f ca="1">AVERAGE(OFFSET($R$3,0,0,'Données projet'!$E$9+1,1))-AVERAGE(OFFSET($H$3,0,0,'Données projet'!$E$9+1,1))</f>
        <v>165.12229410621887</v>
      </c>
      <c r="T52" s="62">
        <f t="shared" si="34"/>
        <v>148.17171564653341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1.9895196601282805E-13</v>
      </c>
      <c r="AJ52" s="14">
        <f>AI52*VLOOKUP('Données projet'!$B$10,Paramètres!$A$1:$I$89,3,0)*VLOOKUP('Données projet'!$B$10,Paramètres!$A$1:$I$89,5,0)</f>
        <v>1.8001173884840681E-13</v>
      </c>
      <c r="AK52" s="14">
        <f t="shared" si="35"/>
        <v>2.5254331426407198E-12</v>
      </c>
      <c r="AL52" s="22">
        <f t="shared" si="4"/>
        <v>4.7119831685935622E-12</v>
      </c>
      <c r="AM52" s="62">
        <f t="shared" si="5"/>
        <v>293.33333333333803</v>
      </c>
      <c r="AN52" s="62">
        <f ca="1">AVERAGE(OFFSET($AM$3,0,0,'Données projet'!$E$10+1,1))-AVERAGE(OFFSET($H$3,0,0,'Données projet'!$E$10+1,1))</f>
        <v>249.03969036629979</v>
      </c>
      <c r="AO52" s="62">
        <f t="shared" si="36"/>
        <v>347.8713931923707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5.7227445481191852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5.7227445481191852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322.60000000000008</v>
      </c>
      <c r="BE52" s="14">
        <f>BD52*VLOOKUP('Données projet'!$B$11,Paramètres!$A$1:$I$89,3,0)*VLOOKUP('Données projet'!$B$11,Paramètres!$A$1:$I$89,5,0)</f>
        <v>192.91480000000007</v>
      </c>
      <c r="BF52" s="14">
        <f t="shared" si="37"/>
        <v>48.18380163388656</v>
      </c>
      <c r="BG52" s="22">
        <f t="shared" si="7"/>
        <v>419.91339784568589</v>
      </c>
      <c r="BH52" s="62">
        <f t="shared" si="8"/>
        <v>713.24673117901921</v>
      </c>
      <c r="BI52" s="62">
        <f ca="1">AVERAGE(OFFSET($BH$3,0,0,'Données projet'!$E$11+1,1))-AVERAGE(OFFSET($H$3,0,0,'Données projet'!$E$11+1,1))</f>
        <v>280.57175994295949</v>
      </c>
      <c r="BJ52" s="62">
        <f t="shared" si="38"/>
        <v>216.69635818716841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1.4277586896616128</v>
      </c>
      <c r="BR52" s="23">
        <f>EXP(-LN(2)/2)*BR51+(1-EXP(-LN(2)/2))/(LN(2)/2)*BL52*BO52*VLOOKUP('Données projet'!$B$11,Paramètres!$A$1:$I$89,3,0)*0.475*44/12</f>
        <v>2.9179563298466268E-2</v>
      </c>
      <c r="BS52" s="24">
        <f t="shared" si="9"/>
        <v>1.4569382529600789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26.142857142857142</v>
      </c>
      <c r="BY52" s="13">
        <f>IF('Données projet'!$A$114&gt;35,BY51+BX52-CG51,IF(A52&lt;'Données projet'!$A$114,$BV$205^A52,IF(A52='Données projet'!$A$114,'Données projet'!$B$114,BY51+BX52-CG51)))</f>
        <v>279.42857142857139</v>
      </c>
      <c r="BZ52" s="14">
        <f>BY52*VLOOKUP('Données projet'!$B$12,Paramètres!$A$1:$I$89,3,0)*VLOOKUP('Données projet'!$B$12,Paramètres!$A$1:$I$89,5,0)</f>
        <v>138.03771428571429</v>
      </c>
      <c r="CA52" s="14">
        <f t="shared" si="39"/>
        <v>35.847104760256201</v>
      </c>
      <c r="CB52" s="22">
        <f t="shared" si="10"/>
        <v>302.84939317173189</v>
      </c>
      <c r="CC52" s="62">
        <f t="shared" si="11"/>
        <v>596.18272650506515</v>
      </c>
      <c r="CD52" s="62">
        <f ca="1">AVERAGE(OFFSET($CC$3,0,0,'Données projet'!$E$12+1,1))-AVERAGE(OFFSET($H$3,0,0,'Données projet'!$E$12+1,1))</f>
        <v>426.64691649521097</v>
      </c>
      <c r="CE52" s="62">
        <f t="shared" si="40"/>
        <v>71.485487617222645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27.950000000000014</v>
      </c>
      <c r="D53" s="12">
        <f t="shared" si="32"/>
        <v>8.7412800483747457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283.23093370675252</v>
      </c>
      <c r="H53" s="70">
        <f t="shared" si="1"/>
        <v>357.23731275091933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257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257</v>
      </c>
      <c r="O53" s="14">
        <f>N53*VLOOKUP('Données projet'!$B$9,Paramètres!$A$1:$I$89,3,0)*VLOOKUP('Données projet'!$B$9,Paramètres!$A$1:$I$89,5,0)</f>
        <v>120.276</v>
      </c>
      <c r="P53" s="14">
        <f t="shared" si="33"/>
        <v>31.739363152156315</v>
      </c>
      <c r="Q53" s="22">
        <f t="shared" si="53"/>
        <v>264.76009082333889</v>
      </c>
      <c r="R53" s="62">
        <f t="shared" si="0"/>
        <v>558.0934241566722</v>
      </c>
      <c r="S53" s="62">
        <f ca="1">AVERAGE(OFFSET($R$3,0,0,'Données projet'!$E$9+1,1))-AVERAGE(OFFSET($H$3,0,0,'Données projet'!$E$9+1,1))</f>
        <v>165.12229410621887</v>
      </c>
      <c r="T53" s="62">
        <f t="shared" si="34"/>
        <v>148.17171564653341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1.9895196601282805E-13</v>
      </c>
      <c r="AJ53" s="14">
        <f>AI53*VLOOKUP('Données projet'!$B$10,Paramètres!$A$1:$I$89,3,0)*VLOOKUP('Données projet'!$B$10,Paramètres!$A$1:$I$89,5,0)</f>
        <v>1.8001173884840681E-13</v>
      </c>
      <c r="AK53" s="14">
        <f t="shared" si="35"/>
        <v>2.5254331426407198E-12</v>
      </c>
      <c r="AL53" s="22">
        <f t="shared" si="4"/>
        <v>4.7119831685935622E-12</v>
      </c>
      <c r="AM53" s="62">
        <f t="shared" si="5"/>
        <v>293.33333333333803</v>
      </c>
      <c r="AN53" s="62">
        <f ca="1">AVERAGE(OFFSET($AM$3,0,0,'Données projet'!$E$10+1,1))-AVERAGE(OFFSET($H$3,0,0,'Données projet'!$E$10+1,1))</f>
        <v>249.03969036629979</v>
      </c>
      <c r="AO53" s="62">
        <f t="shared" si="36"/>
        <v>347.8713931923707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5.6105250180600814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5.6105250180600814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340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340.00000000000006</v>
      </c>
      <c r="BE53" s="14">
        <f>BD53*VLOOKUP('Données projet'!$B$11,Paramètres!$A$1:$I$89,3,0)*VLOOKUP('Données projet'!$B$11,Paramètres!$A$1:$I$89,5,0)</f>
        <v>203.32000000000005</v>
      </c>
      <c r="BF53" s="14">
        <f t="shared" si="37"/>
        <v>50.473102640215579</v>
      </c>
      <c r="BG53" s="22">
        <f t="shared" si="7"/>
        <v>442.02298709837555</v>
      </c>
      <c r="BH53" s="62">
        <f t="shared" si="8"/>
        <v>735.35632043170881</v>
      </c>
      <c r="BI53" s="62">
        <f ca="1">AVERAGE(OFFSET($BH$3,0,0,'Données projet'!$E$11+1,1))-AVERAGE(OFFSET($H$3,0,0,'Données projet'!$E$11+1,1))</f>
        <v>280.57175994295949</v>
      </c>
      <c r="BJ53" s="62">
        <f t="shared" si="38"/>
        <v>216.69635818716841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1.3887165532102497</v>
      </c>
      <c r="BR53" s="23">
        <f>EXP(-LN(2)/2)*BR52+(1-EXP(-LN(2)/2))/(LN(2)/2)*BL53*BO53*VLOOKUP('Données projet'!$B$11,Paramètres!$A$1:$I$89,3,0)*0.475*44/12</f>
        <v>2.0633067080407602E-2</v>
      </c>
      <c r="BS53" s="24">
        <f t="shared" si="9"/>
        <v>1.4093496202906572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26.142857142857142</v>
      </c>
      <c r="BY53" s="13">
        <f>IF('Données projet'!$A$114&gt;35,BY52+BX53-CG52,IF(A53&lt;'Données projet'!$A$114,$BV$205^A53,IF(A53='Données projet'!$A$114,'Données projet'!$B$114,BY52+BX53-CG52)))</f>
        <v>305.57142857142856</v>
      </c>
      <c r="BZ53" s="14">
        <f>BY53*VLOOKUP('Données projet'!$B$12,Paramètres!$A$1:$I$89,3,0)*VLOOKUP('Données projet'!$B$12,Paramètres!$A$1:$I$89,5,0)</f>
        <v>150.95228571428572</v>
      </c>
      <c r="CA53" s="14">
        <f t="shared" si="39"/>
        <v>38.794916194070787</v>
      </c>
      <c r="CB53" s="22">
        <f t="shared" si="10"/>
        <v>330.47637665705423</v>
      </c>
      <c r="CC53" s="62">
        <f t="shared" si="11"/>
        <v>623.80970999038755</v>
      </c>
      <c r="CD53" s="62">
        <f ca="1">AVERAGE(OFFSET($CC$3,0,0,'Données projet'!$E$12+1,1))-AVERAGE(OFFSET($H$3,0,0,'Données projet'!$E$12+1,1))</f>
        <v>426.64691649521097</v>
      </c>
      <c r="CE53" s="62">
        <f t="shared" si="40"/>
        <v>71.485487617222645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28.509000000000015</v>
      </c>
      <c r="D54" s="12">
        <f t="shared" si="32"/>
        <v>8.8955774637189755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288.73708919362031</v>
      </c>
      <c r="H54" s="70">
        <f t="shared" si="1"/>
        <v>358.47963908264387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265</v>
      </c>
      <c r="O54" s="14">
        <f>N54*VLOOKUP('Données projet'!$B$9,Paramètres!$A$1:$I$89,3,0)*VLOOKUP('Données projet'!$B$9,Paramètres!$A$1:$I$89,5,0)</f>
        <v>124.02</v>
      </c>
      <c r="P54" s="14">
        <f t="shared" si="33"/>
        <v>32.610792634958898</v>
      </c>
      <c r="Q54" s="22">
        <f t="shared" si="53"/>
        <v>272.79863050588671</v>
      </c>
      <c r="R54" s="62">
        <f t="shared" si="0"/>
        <v>566.13196383922002</v>
      </c>
      <c r="S54" s="62">
        <f ca="1">AVERAGE(OFFSET($R$3,0,0,'Données projet'!$E$9+1,1))-AVERAGE(OFFSET($H$3,0,0,'Données projet'!$E$9+1,1))</f>
        <v>165.12229410621887</v>
      </c>
      <c r="T54" s="62">
        <f t="shared" si="34"/>
        <v>148.17171564653341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1.9895196601282805E-13</v>
      </c>
      <c r="AJ54" s="14">
        <f>AI54*VLOOKUP('Données projet'!$B$10,Paramètres!$A$1:$I$89,3,0)*VLOOKUP('Données projet'!$B$10,Paramètres!$A$1:$I$89,5,0)</f>
        <v>1.8001173884840681E-13</v>
      </c>
      <c r="AK54" s="14">
        <f t="shared" si="35"/>
        <v>2.5254331426407198E-12</v>
      </c>
      <c r="AL54" s="22">
        <f t="shared" si="4"/>
        <v>4.7119831685935622E-12</v>
      </c>
      <c r="AM54" s="62">
        <f t="shared" si="5"/>
        <v>293.33333333333803</v>
      </c>
      <c r="AN54" s="62">
        <f ca="1">AVERAGE(OFFSET($AM$3,0,0,'Données projet'!$E$10+1,1))-AVERAGE(OFFSET($H$3,0,0,'Données projet'!$E$10+1,1))</f>
        <v>249.03969036629979</v>
      </c>
      <c r="AO54" s="62">
        <f t="shared" si="36"/>
        <v>347.8713931923707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5.5005060445382821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5.5005060445382821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304.62500000000006</v>
      </c>
      <c r="BE54" s="14">
        <f>BD54*VLOOKUP('Données projet'!$B$11,Paramètres!$A$1:$I$89,3,0)*VLOOKUP('Données projet'!$B$11,Paramètres!$A$1:$I$89,5,0)</f>
        <v>182.16575000000003</v>
      </c>
      <c r="BF54" s="14">
        <f t="shared" si="37"/>
        <v>45.803689728693968</v>
      </c>
      <c r="BG54" s="22">
        <f t="shared" si="7"/>
        <v>397.04677419414202</v>
      </c>
      <c r="BH54" s="62">
        <f t="shared" si="8"/>
        <v>690.38010752747527</v>
      </c>
      <c r="BI54" s="62">
        <f ca="1">AVERAGE(OFFSET($BH$3,0,0,'Données projet'!$E$11+1,1))-AVERAGE(OFFSET($H$3,0,0,'Données projet'!$E$11+1,1))</f>
        <v>280.57175994295949</v>
      </c>
      <c r="BJ54" s="62">
        <f t="shared" si="38"/>
        <v>216.69635818716841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1.3507420260332859</v>
      </c>
      <c r="BR54" s="23">
        <f>EXP(-LN(2)/2)*BR53+(1-EXP(-LN(2)/2))/(LN(2)/2)*BL54*BO54*VLOOKUP('Données projet'!$B$11,Paramètres!$A$1:$I$89,3,0)*0.475*44/12</f>
        <v>1.4589781649233136E-2</v>
      </c>
      <c r="BS54" s="24">
        <f t="shared" si="9"/>
        <v>1.3653318076825189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26.142857142857142</v>
      </c>
      <c r="BY54" s="13">
        <f>IF('Données projet'!$A$114&gt;35,BY53+BX54-CG53,IF(A54&lt;'Données projet'!$A$114,$BV$205^A54,IF(A54='Données projet'!$A$114,'Données projet'!$B$114,BY53+BX54-CG53)))</f>
        <v>331.71428571428572</v>
      </c>
      <c r="BZ54" s="14">
        <f>BY54*VLOOKUP('Données projet'!$B$12,Paramètres!$A$1:$I$89,3,0)*VLOOKUP('Données projet'!$B$12,Paramètres!$A$1:$I$89,5,0)</f>
        <v>163.86685714285716</v>
      </c>
      <c r="CA54" s="14">
        <f t="shared" si="39"/>
        <v>41.713479941035693</v>
      </c>
      <c r="CB54" s="22">
        <f t="shared" si="10"/>
        <v>358.05242042111337</v>
      </c>
      <c r="CC54" s="62">
        <f t="shared" si="11"/>
        <v>651.38575375444668</v>
      </c>
      <c r="CD54" s="62">
        <f ca="1">AVERAGE(OFFSET($CC$3,0,0,'Données projet'!$E$12+1,1))-AVERAGE(OFFSET($H$3,0,0,'Données projet'!$E$12+1,1))</f>
        <v>426.64691649521097</v>
      </c>
      <c r="CE54" s="62">
        <f t="shared" si="40"/>
        <v>71.485487617222645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29.068000000000016</v>
      </c>
      <c r="D55" s="12">
        <f t="shared" si="32"/>
        <v>9.0495230956474586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294.24052915938398</v>
      </c>
      <c r="H55" s="70">
        <f t="shared" si="1"/>
        <v>359.72135272491931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273</v>
      </c>
      <c r="O55" s="14">
        <f>N55*VLOOKUP('Données projet'!$B$9,Paramètres!$A$1:$I$89,3,0)*VLOOKUP('Données projet'!$B$9,Paramètres!$A$1:$I$89,5,0)</f>
        <v>127.76400000000001</v>
      </c>
      <c r="P55" s="14">
        <f t="shared" si="33"/>
        <v>33.479164830670051</v>
      </c>
      <c r="Q55" s="22">
        <f t="shared" si="53"/>
        <v>280.83184541341694</v>
      </c>
      <c r="R55" s="62">
        <f t="shared" si="0"/>
        <v>574.16517874675026</v>
      </c>
      <c r="S55" s="62">
        <f ca="1">AVERAGE(OFFSET($R$3,0,0,'Données projet'!$E$9+1,1))-AVERAGE(OFFSET($H$3,0,0,'Données projet'!$E$9+1,1))</f>
        <v>165.12229410621887</v>
      </c>
      <c r="T55" s="62">
        <f t="shared" si="34"/>
        <v>148.17171564653341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1.9895196601282805E-13</v>
      </c>
      <c r="AJ55" s="14">
        <f>AI55*VLOOKUP('Données projet'!$B$10,Paramètres!$A$1:$I$89,3,0)*VLOOKUP('Données projet'!$B$10,Paramètres!$A$1:$I$89,5,0)</f>
        <v>1.8001173884840681E-13</v>
      </c>
      <c r="AK55" s="14">
        <f t="shared" si="35"/>
        <v>2.5254331426407198E-12</v>
      </c>
      <c r="AL55" s="22">
        <f t="shared" si="4"/>
        <v>4.7119831685935622E-12</v>
      </c>
      <c r="AM55" s="62">
        <f t="shared" si="5"/>
        <v>293.33333333333803</v>
      </c>
      <c r="AN55" s="62">
        <f ca="1">AVERAGE(OFFSET($AM$3,0,0,'Données projet'!$E$10+1,1))-AVERAGE(OFFSET($H$3,0,0,'Données projet'!$E$10+1,1))</f>
        <v>249.03969036629979</v>
      </c>
      <c r="AO55" s="62">
        <f t="shared" si="36"/>
        <v>347.8713931923707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5.3926444759822969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5.3926444759822969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322.25000000000006</v>
      </c>
      <c r="BE55" s="14">
        <f>BD55*VLOOKUP('Données projet'!$B$11,Paramètres!$A$1:$I$89,3,0)*VLOOKUP('Données projet'!$B$11,Paramètres!$A$1:$I$89,5,0)</f>
        <v>192.70550000000006</v>
      </c>
      <c r="BF55" s="14">
        <f t="shared" si="37"/>
        <v>48.137607387789963</v>
      </c>
      <c r="BG55" s="22">
        <f t="shared" si="7"/>
        <v>419.46841203373424</v>
      </c>
      <c r="BH55" s="62">
        <f t="shared" si="8"/>
        <v>712.8017453670675</v>
      </c>
      <c r="BI55" s="62">
        <f ca="1">AVERAGE(OFFSET($BH$3,0,0,'Données projet'!$E$11+1,1))-AVERAGE(OFFSET($H$3,0,0,'Données projet'!$E$11+1,1))</f>
        <v>280.57175994295949</v>
      </c>
      <c r="BJ55" s="62">
        <f t="shared" si="38"/>
        <v>216.69635818716841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1.3138059142989698</v>
      </c>
      <c r="BR55" s="23">
        <f>EXP(-LN(2)/2)*BR54+(1-EXP(-LN(2)/2))/(LN(2)/2)*BL55*BO55*VLOOKUP('Données projet'!$B$11,Paramètres!$A$1:$I$89,3,0)*0.475*44/12</f>
        <v>1.0316533540203803E-2</v>
      </c>
      <c r="BS55" s="24">
        <f t="shared" si="9"/>
        <v>1.3241224478391735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26.142857142857142</v>
      </c>
      <c r="BY55" s="13">
        <f>IF('Données projet'!$A$114&gt;35,BY54+BX55-CG54,IF(A55&lt;'Données projet'!$A$114,$BV$205^A55,IF(A55='Données projet'!$A$114,'Données projet'!$B$114,BY54+BX55-CG54)))</f>
        <v>357.85714285714289</v>
      </c>
      <c r="BZ55" s="14">
        <f>BY55*VLOOKUP('Données projet'!$B$12,Paramètres!$A$1:$I$89,3,0)*VLOOKUP('Données projet'!$B$12,Paramètres!$A$1:$I$89,5,0)</f>
        <v>176.78142857142859</v>
      </c>
      <c r="CA55" s="14">
        <f t="shared" si="39"/>
        <v>44.605363119764192</v>
      </c>
      <c r="CB55" s="22">
        <f t="shared" si="10"/>
        <v>385.58199552882746</v>
      </c>
      <c r="CC55" s="62">
        <f t="shared" si="11"/>
        <v>678.91532886216078</v>
      </c>
      <c r="CD55" s="62">
        <f ca="1">AVERAGE(OFFSET($CC$3,0,0,'Données projet'!$E$12+1,1))-AVERAGE(OFFSET($H$3,0,0,'Données projet'!$E$12+1,1))</f>
        <v>426.64691649521097</v>
      </c>
      <c r="CE55" s="62">
        <f t="shared" si="40"/>
        <v>71.485487617222645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29.627000000000017</v>
      </c>
      <c r="D56" s="12">
        <f t="shared" si="32"/>
        <v>9.2031244891710831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299.74131184623303</v>
      </c>
      <c r="H56" s="70">
        <f t="shared" si="1"/>
        <v>360.96246681863965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281</v>
      </c>
      <c r="O56" s="14">
        <f>N56*VLOOKUP('Données projet'!$B$9,Paramètres!$A$1:$I$89,3,0)*VLOOKUP('Données projet'!$B$9,Paramètres!$A$1:$I$89,5,0)</f>
        <v>131.50800000000001</v>
      </c>
      <c r="P56" s="14">
        <f t="shared" si="33"/>
        <v>34.344579617082509</v>
      </c>
      <c r="Q56" s="22">
        <f t="shared" si="53"/>
        <v>288.85990949975201</v>
      </c>
      <c r="R56" s="62">
        <f t="shared" si="0"/>
        <v>582.19324283308538</v>
      </c>
      <c r="S56" s="62">
        <f ca="1">AVERAGE(OFFSET($R$3,0,0,'Données projet'!$E$9+1,1))-AVERAGE(OFFSET($H$3,0,0,'Données projet'!$E$9+1,1))</f>
        <v>165.12229410621887</v>
      </c>
      <c r="T56" s="62">
        <f t="shared" si="34"/>
        <v>148.17171564653341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1.9895196601282805E-13</v>
      </c>
      <c r="AJ56" s="14">
        <f>AI56*VLOOKUP('Données projet'!$B$10,Paramètres!$A$1:$I$89,3,0)*VLOOKUP('Données projet'!$B$10,Paramètres!$A$1:$I$89,5,0)</f>
        <v>1.8001173884840681E-13</v>
      </c>
      <c r="AK56" s="14">
        <f t="shared" si="35"/>
        <v>2.5254331426407198E-12</v>
      </c>
      <c r="AL56" s="22">
        <f t="shared" si="4"/>
        <v>4.7119831685935622E-12</v>
      </c>
      <c r="AM56" s="62">
        <f t="shared" si="5"/>
        <v>293.33333333333803</v>
      </c>
      <c r="AN56" s="62">
        <f ca="1">AVERAGE(OFFSET($AM$3,0,0,'Données projet'!$E$10+1,1))-AVERAGE(OFFSET($H$3,0,0,'Données projet'!$E$10+1,1))</f>
        <v>249.03969036629979</v>
      </c>
      <c r="AO56" s="62">
        <f t="shared" si="36"/>
        <v>347.8713931923707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5.2868980069966343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5.2868980069966343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339.87500000000006</v>
      </c>
      <c r="BE56" s="14">
        <f>BD56*VLOOKUP('Données projet'!$B$11,Paramètres!$A$1:$I$89,3,0)*VLOOKUP('Données projet'!$B$11,Paramètres!$A$1:$I$89,5,0)</f>
        <v>203.24525000000006</v>
      </c>
      <c r="BF56" s="14">
        <f t="shared" si="37"/>
        <v>50.45670595349123</v>
      </c>
      <c r="BG56" s="22">
        <f t="shared" si="7"/>
        <v>441.86423995233059</v>
      </c>
      <c r="BH56" s="62">
        <f t="shared" si="8"/>
        <v>735.19757328566391</v>
      </c>
      <c r="BI56" s="62">
        <f ca="1">AVERAGE(OFFSET($BH$3,0,0,'Données projet'!$E$11+1,1))-AVERAGE(OFFSET($H$3,0,0,'Données projet'!$E$11+1,1))</f>
        <v>280.57175994295949</v>
      </c>
      <c r="BJ56" s="62">
        <f t="shared" si="38"/>
        <v>216.69635818716841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1.2778798224824142</v>
      </c>
      <c r="BR56" s="23">
        <f>EXP(-LN(2)/2)*BR55+(1-EXP(-LN(2)/2))/(LN(2)/2)*BL56*BO56*VLOOKUP('Données projet'!$B$11,Paramètres!$A$1:$I$89,3,0)*0.475*44/12</f>
        <v>7.2948908246165695E-3</v>
      </c>
      <c r="BS56" s="24">
        <f t="shared" si="9"/>
        <v>1.2851747133070308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>
        <f>VLOOKUP(A56,'Données projet'!$A$113:$I$133,2,0)</f>
        <v>384</v>
      </c>
      <c r="BW56" s="13">
        <f>VLOOKUP(A56,'Données projet'!$A$113:$I$133,9,0)</f>
        <v>26.142857142857142</v>
      </c>
      <c r="BX56" s="13">
        <f t="array" ref="BX56">INDEX(BW:BW,MIN(IF(ISNUMBER(BW56:BW252),ROW(BW56:BW252),"")))</f>
        <v>26.142857142857142</v>
      </c>
      <c r="BY56" s="13">
        <f>IF('Données projet'!$A$114&gt;35,BY55+BX56-CG55,IF(A56&lt;'Données projet'!$A$114,$BV$205^A56,IF(A56='Données projet'!$A$114,'Données projet'!$B$114,BY55+BX56-CG55)))</f>
        <v>384.00000000000006</v>
      </c>
      <c r="BZ56" s="14">
        <f>BY56*VLOOKUP('Données projet'!$B$12,Paramètres!$A$1:$I$89,3,0)*VLOOKUP('Données projet'!$B$12,Paramètres!$A$1:$I$89,5,0)</f>
        <v>189.69600000000003</v>
      </c>
      <c r="CA56" s="14">
        <f t="shared" si="39"/>
        <v>47.472736505152469</v>
      </c>
      <c r="CB56" s="22">
        <f t="shared" si="10"/>
        <v>413.06888274647389</v>
      </c>
      <c r="CC56" s="62">
        <f t="shared" si="11"/>
        <v>706.4022160798072</v>
      </c>
      <c r="CD56" s="62">
        <f ca="1">AVERAGE(OFFSET($CC$3,0,0,'Données projet'!$E$12+1,1))-AVERAGE(OFFSET($H$3,0,0,'Données projet'!$E$12+1,1))</f>
        <v>426.64691649521097</v>
      </c>
      <c r="CE56" s="62">
        <f t="shared" si="40"/>
        <v>71.485487617222645</v>
      </c>
      <c r="CF56" s="16">
        <f>IF(ISNA(VLOOKUP(A56,'Données projet'!$A$113:$I$133,3,0)),0,VLOOKUP(A56,'Données projet'!$A$113:$I$133,3,0))</f>
        <v>3</v>
      </c>
      <c r="CG56" s="16">
        <f>IF(ISNA(VLOOKUP(A56,'Données projet'!$A$113:$I$133,4,0)),0,VLOOKUP(A56,'Données projet'!$A$113:$I$133,4,0))</f>
        <v>75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30.186000000000018</v>
      </c>
      <c r="D57" s="12">
        <f t="shared" si="32"/>
        <v>9.3563888882898691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305.23949317276401</v>
      </c>
      <c r="H57" s="70">
        <f t="shared" si="1"/>
        <v>362.20299398043818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289</v>
      </c>
      <c r="O57" s="14">
        <f>N57*VLOOKUP('Données projet'!$B$9,Paramètres!$A$1:$I$89,3,0)*VLOOKUP('Données projet'!$B$9,Paramètres!$A$1:$I$89,5,0)</f>
        <v>135.25199999999998</v>
      </c>
      <c r="P57" s="14">
        <f t="shared" si="33"/>
        <v>35.207130861518152</v>
      </c>
      <c r="Q57" s="22">
        <f t="shared" si="53"/>
        <v>296.88298625047742</v>
      </c>
      <c r="R57" s="62">
        <f t="shared" si="0"/>
        <v>590.21631958381067</v>
      </c>
      <c r="S57" s="62">
        <f ca="1">AVERAGE(OFFSET($R$3,0,0,'Données projet'!$E$9+1,1))-AVERAGE(OFFSET($H$3,0,0,'Données projet'!$E$9+1,1))</f>
        <v>165.12229410621887</v>
      </c>
      <c r="T57" s="62">
        <f t="shared" si="34"/>
        <v>148.17171564653341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1.9895196601282805E-13</v>
      </c>
      <c r="AJ57" s="14">
        <f>AI57*VLOOKUP('Données projet'!$B$10,Paramètres!$A$1:$I$89,3,0)*VLOOKUP('Données projet'!$B$10,Paramètres!$A$1:$I$89,5,0)</f>
        <v>1.8001173884840681E-13</v>
      </c>
      <c r="AK57" s="14">
        <f t="shared" si="35"/>
        <v>2.5254331426407198E-12</v>
      </c>
      <c r="AL57" s="22">
        <f t="shared" si="4"/>
        <v>4.7119831685935622E-12</v>
      </c>
      <c r="AM57" s="62">
        <f t="shared" si="5"/>
        <v>293.33333333333803</v>
      </c>
      <c r="AN57" s="62">
        <f ca="1">AVERAGE(OFFSET($AM$3,0,0,'Données projet'!$E$10+1,1))-AVERAGE(OFFSET($H$3,0,0,'Données projet'!$E$10+1,1))</f>
        <v>249.03969036629979</v>
      </c>
      <c r="AO57" s="62">
        <f t="shared" si="36"/>
        <v>347.8713931923707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5.183225161768803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5.183225161768803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357.50000000000006</v>
      </c>
      <c r="BE57" s="14">
        <f>BD57*VLOOKUP('Données projet'!$B$11,Paramètres!$A$1:$I$89,3,0)*VLOOKUP('Données projet'!$B$11,Paramètres!$A$1:$I$89,5,0)</f>
        <v>213.78500000000005</v>
      </c>
      <c r="BF57" s="14">
        <f t="shared" si="37"/>
        <v>52.761841557402377</v>
      </c>
      <c r="BG57" s="22">
        <f t="shared" si="7"/>
        <v>464.2357490458092</v>
      </c>
      <c r="BH57" s="62">
        <f t="shared" si="8"/>
        <v>757.56908237914251</v>
      </c>
      <c r="BI57" s="62">
        <f ca="1">AVERAGE(OFFSET($BH$3,0,0,'Données projet'!$E$11+1,1))-AVERAGE(OFFSET($H$3,0,0,'Données projet'!$E$11+1,1))</f>
        <v>280.57175994295949</v>
      </c>
      <c r="BJ57" s="62">
        <f t="shared" si="38"/>
        <v>216.69635818716841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1.2429361315358534</v>
      </c>
      <c r="BR57" s="23">
        <f>EXP(-LN(2)/2)*BR56+(1-EXP(-LN(2)/2))/(LN(2)/2)*BL57*BO57*VLOOKUP('Données projet'!$B$11,Paramètres!$A$1:$I$89,3,0)*0.475*44/12</f>
        <v>5.1582667701019023E-3</v>
      </c>
      <c r="BS57" s="24">
        <f t="shared" si="9"/>
        <v>1.2480943983059554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26.857142857142858</v>
      </c>
      <c r="BY57" s="13">
        <f>IF('Données projet'!$A$114&gt;35,BY56+BX57-CG56,IF(A57&lt;'Données projet'!$A$114,$BV$205^A57,IF(A57='Données projet'!$A$114,'Données projet'!$B$114,BY56+BX57-CG56)))</f>
        <v>335.85714285714289</v>
      </c>
      <c r="BZ57" s="14">
        <f>BY57*VLOOKUP('Données projet'!$B$12,Paramètres!$A$1:$I$89,3,0)*VLOOKUP('Données projet'!$B$12,Paramètres!$A$1:$I$89,5,0)</f>
        <v>165.9134285714286</v>
      </c>
      <c r="CA57" s="14">
        <f t="shared" si="39"/>
        <v>42.173475436367383</v>
      </c>
      <c r="CB57" s="22">
        <f t="shared" si="10"/>
        <v>362.41802448024464</v>
      </c>
      <c r="CC57" s="62">
        <f t="shared" si="11"/>
        <v>655.7513578135779</v>
      </c>
      <c r="CD57" s="62">
        <f ca="1">AVERAGE(OFFSET($CC$3,0,0,'Données projet'!$E$12+1,1))-AVERAGE(OFFSET($H$3,0,0,'Données projet'!$E$12+1,1))</f>
        <v>426.64691649521097</v>
      </c>
      <c r="CE57" s="62">
        <f t="shared" si="40"/>
        <v>71.485487617222645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30.745000000000019</v>
      </c>
      <c r="D58" s="12">
        <f t="shared" si="32"/>
        <v>9.5093232533499261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310.73512686796454</v>
      </c>
      <c r="H58" s="70">
        <f t="shared" si="1"/>
        <v>363.44294633291781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297</v>
      </c>
      <c r="O58" s="14">
        <f>N58*VLOOKUP('Données projet'!$B$9,Paramètres!$A$1:$I$89,3,0)*VLOOKUP('Données projet'!$B$9,Paramètres!$A$1:$I$89,5,0)</f>
        <v>138.99600000000001</v>
      </c>
      <c r="P58" s="14">
        <f t="shared" si="33"/>
        <v>36.066906938767758</v>
      </c>
      <c r="Q58" s="22">
        <f t="shared" si="53"/>
        <v>304.90122958502047</v>
      </c>
      <c r="R58" s="62">
        <f t="shared" si="0"/>
        <v>598.23456291835373</v>
      </c>
      <c r="S58" s="62">
        <f ca="1">AVERAGE(OFFSET($R$3,0,0,'Données projet'!$E$9+1,1))-AVERAGE(OFFSET($H$3,0,0,'Données projet'!$E$9+1,1))</f>
        <v>165.12229410621887</v>
      </c>
      <c r="T58" s="62">
        <f t="shared" si="34"/>
        <v>148.17171564653341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1.9895196601282805E-13</v>
      </c>
      <c r="AJ58" s="14">
        <f>AI58*VLOOKUP('Données projet'!$B$10,Paramètres!$A$1:$I$89,3,0)*VLOOKUP('Données projet'!$B$10,Paramètres!$A$1:$I$89,5,0)</f>
        <v>1.8001173884840681E-13</v>
      </c>
      <c r="AK58" s="14">
        <f t="shared" si="35"/>
        <v>2.5254331426407198E-12</v>
      </c>
      <c r="AL58" s="22">
        <f t="shared" si="4"/>
        <v>4.7119831685935622E-12</v>
      </c>
      <c r="AM58" s="62">
        <f t="shared" si="5"/>
        <v>293.33333333333803</v>
      </c>
      <c r="AN58" s="62">
        <f ca="1">AVERAGE(OFFSET($AM$3,0,0,'Données projet'!$E$10+1,1))-AVERAGE(OFFSET($H$3,0,0,'Données projet'!$E$10+1,1))</f>
        <v>249.03969036629979</v>
      </c>
      <c r="AO58" s="62">
        <f t="shared" si="36"/>
        <v>347.8713931923707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5.0815852778016977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5.0815852778016977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375.12500000000006</v>
      </c>
      <c r="BE58" s="14">
        <f>BD58*VLOOKUP('Données projet'!$B$11,Paramètres!$A$1:$I$89,3,0)*VLOOKUP('Données projet'!$B$11,Paramètres!$A$1:$I$89,5,0)</f>
        <v>224.32475000000005</v>
      </c>
      <c r="BF58" s="14">
        <f t="shared" si="37"/>
        <v>55.053781146410472</v>
      </c>
      <c r="BG58" s="22">
        <f t="shared" si="7"/>
        <v>486.58427507999835</v>
      </c>
      <c r="BH58" s="62">
        <f t="shared" si="8"/>
        <v>779.91760841333166</v>
      </c>
      <c r="BI58" s="62">
        <f ca="1">AVERAGE(OFFSET($BH$3,0,0,'Données projet'!$E$11+1,1))-AVERAGE(OFFSET($H$3,0,0,'Données projet'!$E$11+1,1))</f>
        <v>280.57175994295949</v>
      </c>
      <c r="BJ58" s="62">
        <f t="shared" si="38"/>
        <v>216.69635818716841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1.2089479776558352</v>
      </c>
      <c r="BR58" s="23">
        <f>EXP(-LN(2)/2)*BR57+(1-EXP(-LN(2)/2))/(LN(2)/2)*BL58*BO58*VLOOKUP('Données projet'!$B$11,Paramètres!$A$1:$I$89,3,0)*0.475*44/12</f>
        <v>3.6474454123082852E-3</v>
      </c>
      <c r="BS58" s="24">
        <f t="shared" si="9"/>
        <v>1.2125954230681435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26.857142857142858</v>
      </c>
      <c r="BY58" s="13">
        <f>IF('Données projet'!$A$114&gt;35,BY57+BX58-CG57,IF(A58&lt;'Données projet'!$A$114,$BV$205^A58,IF(A58='Données projet'!$A$114,'Données projet'!$B$114,BY57+BX58-CG57)))</f>
        <v>362.71428571428572</v>
      </c>
      <c r="BZ58" s="14">
        <f>BY58*VLOOKUP('Données projet'!$B$12,Paramètres!$A$1:$I$89,3,0)*VLOOKUP('Données projet'!$B$12,Paramètres!$A$1:$I$89,5,0)</f>
        <v>179.18085714285715</v>
      </c>
      <c r="CA58" s="14">
        <f t="shared" si="39"/>
        <v>45.139893622218267</v>
      </c>
      <c r="CB58" s="22">
        <f t="shared" si="10"/>
        <v>390.69197424917303</v>
      </c>
      <c r="CC58" s="62">
        <f t="shared" si="11"/>
        <v>684.02530758250634</v>
      </c>
      <c r="CD58" s="62">
        <f ca="1">AVERAGE(OFFSET($CC$3,0,0,'Données projet'!$E$12+1,1))-AVERAGE(OFFSET($H$3,0,0,'Données projet'!$E$12+1,1))</f>
        <v>426.64691649521097</v>
      </c>
      <c r="CE58" s="62">
        <f t="shared" si="40"/>
        <v>71.485487617222645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31.30400000000002</v>
      </c>
      <c r="D59" s="12">
        <f t="shared" si="32"/>
        <v>9.6619342771023238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316.22826459517597</v>
      </c>
      <c r="H59" s="70">
        <f t="shared" si="1"/>
        <v>364.6823355326199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305</v>
      </c>
      <c r="O59" s="14">
        <f>N59*VLOOKUP('Données projet'!$B$9,Paramètres!$A$1:$I$89,3,0)*VLOOKUP('Données projet'!$B$9,Paramètres!$A$1:$I$89,5,0)</f>
        <v>142.74</v>
      </c>
      <c r="P59" s="14">
        <f t="shared" si="33"/>
        <v>36.923991191656064</v>
      </c>
      <c r="Q59" s="22">
        <f t="shared" si="53"/>
        <v>312.91478465880101</v>
      </c>
      <c r="R59" s="62">
        <f t="shared" si="0"/>
        <v>606.24811799213433</v>
      </c>
      <c r="S59" s="62">
        <f ca="1">AVERAGE(OFFSET($R$3,0,0,'Données projet'!$E$9+1,1))-AVERAGE(OFFSET($H$3,0,0,'Données projet'!$E$9+1,1))</f>
        <v>165.12229410621887</v>
      </c>
      <c r="T59" s="62">
        <f t="shared" si="34"/>
        <v>148.17171564653341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1.9895196601282805E-13</v>
      </c>
      <c r="AJ59" s="14">
        <f>AI59*VLOOKUP('Données projet'!$B$10,Paramètres!$A$1:$I$89,3,0)*VLOOKUP('Données projet'!$B$10,Paramètres!$A$1:$I$89,5,0)</f>
        <v>1.8001173884840681E-13</v>
      </c>
      <c r="AK59" s="14">
        <f t="shared" si="35"/>
        <v>2.5254331426407198E-12</v>
      </c>
      <c r="AL59" s="22">
        <f t="shared" si="4"/>
        <v>4.7119831685935622E-12</v>
      </c>
      <c r="AM59" s="62">
        <f t="shared" si="5"/>
        <v>293.33333333333803</v>
      </c>
      <c r="AN59" s="62">
        <f ca="1">AVERAGE(OFFSET($AM$3,0,0,'Données projet'!$E$10+1,1))-AVERAGE(OFFSET($H$3,0,0,'Données projet'!$E$10+1,1))</f>
        <v>249.03969036629979</v>
      </c>
      <c r="AO59" s="62">
        <f t="shared" si="36"/>
        <v>347.8713931923707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4.9819384899649792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4.9819384899649792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392.75000000000006</v>
      </c>
      <c r="BE59" s="14">
        <f>BD59*VLOOKUP('Données projet'!$B$11,Paramètres!$A$1:$I$89,3,0)*VLOOKUP('Données projet'!$B$11,Paramètres!$A$1:$I$89,5,0)</f>
        <v>234.86450000000002</v>
      </c>
      <c r="BF59" s="14">
        <f t="shared" si="37"/>
        <v>57.33321552572081</v>
      </c>
      <c r="BG59" s="22">
        <f t="shared" si="7"/>
        <v>508.9110212072971</v>
      </c>
      <c r="BH59" s="62">
        <f t="shared" si="8"/>
        <v>802.24435454063041</v>
      </c>
      <c r="BI59" s="62">
        <f ca="1">AVERAGE(OFFSET($BH$3,0,0,'Données projet'!$E$11+1,1))-AVERAGE(OFFSET($H$3,0,0,'Données projet'!$E$11+1,1))</f>
        <v>280.57175994295949</v>
      </c>
      <c r="BJ59" s="62">
        <f t="shared" si="38"/>
        <v>216.69635818716841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1.1758892316310252</v>
      </c>
      <c r="BR59" s="23">
        <f>EXP(-LN(2)/2)*BR58+(1-EXP(-LN(2)/2))/(LN(2)/2)*BL59*BO59*VLOOKUP('Données projet'!$B$11,Paramètres!$A$1:$I$89,3,0)*0.475*44/12</f>
        <v>2.5791333850509516E-3</v>
      </c>
      <c r="BS59" s="24">
        <f t="shared" si="9"/>
        <v>1.1784683650160761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26.857142857142858</v>
      </c>
      <c r="BY59" s="13">
        <f>IF('Données projet'!$A$114&gt;35,BY58+BX59-CG58,IF(A59&lt;'Données projet'!$A$114,$BV$205^A59,IF(A59='Données projet'!$A$114,'Données projet'!$B$114,BY58+BX59-CG58)))</f>
        <v>389.57142857142856</v>
      </c>
      <c r="BZ59" s="14">
        <f>BY59*VLOOKUP('Données projet'!$B$12,Paramètres!$A$1:$I$89,3,0)*VLOOKUP('Données projet'!$B$12,Paramètres!$A$1:$I$89,5,0)</f>
        <v>192.4482857142857</v>
      </c>
      <c r="CA59" s="14">
        <f t="shared" si="39"/>
        <v>48.080830061668216</v>
      </c>
      <c r="CB59" s="22">
        <f t="shared" si="10"/>
        <v>418.92154330978639</v>
      </c>
      <c r="CC59" s="62">
        <f t="shared" si="11"/>
        <v>712.2548766431197</v>
      </c>
      <c r="CD59" s="62">
        <f ca="1">AVERAGE(OFFSET($CC$3,0,0,'Données projet'!$E$12+1,1))-AVERAGE(OFFSET($H$3,0,0,'Données projet'!$E$12+1,1))</f>
        <v>426.64691649521097</v>
      </c>
      <c r="CE59" s="62">
        <f t="shared" si="40"/>
        <v>71.485487617222645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31.863000000000021</v>
      </c>
      <c r="D60" s="12">
        <f t="shared" si="32"/>
        <v>9.814228399582424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321.71895606695222</v>
      </c>
      <c r="H60" s="70">
        <f t="shared" si="1"/>
        <v>365.92117279593941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313</v>
      </c>
      <c r="O60" s="14">
        <f>N60*VLOOKUP('Données projet'!$B$9,Paramètres!$A$1:$I$89,3,0)*VLOOKUP('Données projet'!$B$9,Paramètres!$A$1:$I$89,5,0)</f>
        <v>146.48400000000001</v>
      </c>
      <c r="P60" s="14">
        <f t="shared" si="33"/>
        <v>37.778462341926023</v>
      </c>
      <c r="Q60" s="22">
        <f t="shared" si="53"/>
        <v>320.9237885788545</v>
      </c>
      <c r="R60" s="62">
        <f t="shared" si="0"/>
        <v>614.25712191218781</v>
      </c>
      <c r="S60" s="62">
        <f ca="1">AVERAGE(OFFSET($R$3,0,0,'Données projet'!$E$9+1,1))-AVERAGE(OFFSET($H$3,0,0,'Données projet'!$E$9+1,1))</f>
        <v>165.12229410621887</v>
      </c>
      <c r="T60" s="62">
        <f t="shared" si="34"/>
        <v>148.17171564653341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1.9895196601282805E-13</v>
      </c>
      <c r="AJ60" s="14">
        <f>AI60*VLOOKUP('Données projet'!$B$10,Paramètres!$A$1:$I$89,3,0)*VLOOKUP('Données projet'!$B$10,Paramètres!$A$1:$I$89,5,0)</f>
        <v>1.8001173884840681E-13</v>
      </c>
      <c r="AK60" s="14">
        <f t="shared" si="35"/>
        <v>2.5254331426407198E-12</v>
      </c>
      <c r="AL60" s="22">
        <f t="shared" si="4"/>
        <v>4.7119831685935622E-12</v>
      </c>
      <c r="AM60" s="62">
        <f t="shared" si="5"/>
        <v>293.33333333333803</v>
      </c>
      <c r="AN60" s="62">
        <f ca="1">AVERAGE(OFFSET($AM$3,0,0,'Données projet'!$E$10+1,1))-AVERAGE(OFFSET($H$3,0,0,'Données projet'!$E$10+1,1))</f>
        <v>249.03969036629979</v>
      </c>
      <c r="AO60" s="62">
        <f t="shared" si="36"/>
        <v>347.8713931923707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4.8842457148592002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4.8842457148592002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410.37500000000006</v>
      </c>
      <c r="BE60" s="14">
        <f>BD60*VLOOKUP('Données projet'!$B$11,Paramètres!$A$1:$I$89,3,0)*VLOOKUP('Données projet'!$B$11,Paramètres!$A$1:$I$89,5,0)</f>
        <v>245.40425000000005</v>
      </c>
      <c r="BF60" s="14">
        <f t="shared" si="37"/>
        <v>59.60076999447687</v>
      </c>
      <c r="BG60" s="22">
        <f t="shared" si="7"/>
        <v>531.21707649038069</v>
      </c>
      <c r="BH60" s="62">
        <f t="shared" si="8"/>
        <v>824.55040982371406</v>
      </c>
      <c r="BI60" s="62">
        <f ca="1">AVERAGE(OFFSET($BH$3,0,0,'Données projet'!$E$11+1,1))-AVERAGE(OFFSET($H$3,0,0,'Données projet'!$E$11+1,1))</f>
        <v>280.57175994295949</v>
      </c>
      <c r="BJ60" s="62">
        <f t="shared" si="38"/>
        <v>216.69635818716841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1.1437344787547477</v>
      </c>
      <c r="BR60" s="23">
        <f>EXP(-LN(2)/2)*BR59+(1-EXP(-LN(2)/2))/(LN(2)/2)*BL60*BO60*VLOOKUP('Données projet'!$B$11,Paramètres!$A$1:$I$89,3,0)*0.475*44/12</f>
        <v>1.823722706154143E-3</v>
      </c>
      <c r="BS60" s="24">
        <f t="shared" si="9"/>
        <v>1.1455582014609018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26.857142857142858</v>
      </c>
      <c r="BY60" s="13">
        <f>IF('Données projet'!$A$114&gt;35,BY59+BX60-CG59,IF(A60&lt;'Données projet'!$A$114,$BV$205^A60,IF(A60='Données projet'!$A$114,'Données projet'!$B$114,BY59+BX60-CG59)))</f>
        <v>416.42857142857139</v>
      </c>
      <c r="BZ60" s="14">
        <f>BY60*VLOOKUP('Données projet'!$B$12,Paramètres!$A$1:$I$89,3,0)*VLOOKUP('Données projet'!$B$12,Paramètres!$A$1:$I$89,5,0)</f>
        <v>205.71571428571428</v>
      </c>
      <c r="CA60" s="14">
        <f t="shared" si="39"/>
        <v>50.998241312414052</v>
      </c>
      <c r="CB60" s="22">
        <f t="shared" si="10"/>
        <v>447.11013933340678</v>
      </c>
      <c r="CC60" s="62">
        <f t="shared" si="11"/>
        <v>740.44347266674004</v>
      </c>
      <c r="CD60" s="62">
        <f ca="1">AVERAGE(OFFSET($CC$3,0,0,'Données projet'!$E$12+1,1))-AVERAGE(OFFSET($H$3,0,0,'Données projet'!$E$12+1,1))</f>
        <v>426.64691649521097</v>
      </c>
      <c r="CE60" s="62">
        <f t="shared" si="40"/>
        <v>71.485487617222645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32.422000000000018</v>
      </c>
      <c r="D61" s="12">
        <f t="shared" si="32"/>
        <v>9.9662118219155289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327.20724915162879</v>
      </c>
      <c r="H61" s="70">
        <f t="shared" si="1"/>
        <v>367.15946892316958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321</v>
      </c>
      <c r="O61" s="14">
        <f>N61*VLOOKUP('Données projet'!$B$9,Paramètres!$A$1:$I$89,3,0)*VLOOKUP('Données projet'!$B$9,Paramètres!$A$1:$I$89,5,0)</f>
        <v>150.22800000000001</v>
      </c>
      <c r="P61" s="14">
        <f t="shared" si="33"/>
        <v>38.630394857933659</v>
      </c>
      <c r="Q61" s="22">
        <f t="shared" si="53"/>
        <v>328.92837104423444</v>
      </c>
      <c r="R61" s="62">
        <f t="shared" si="0"/>
        <v>622.26170437756775</v>
      </c>
      <c r="S61" s="62">
        <f ca="1">AVERAGE(OFFSET($R$3,0,0,'Données projet'!$E$9+1,1))-AVERAGE(OFFSET($H$3,0,0,'Données projet'!$E$9+1,1))</f>
        <v>165.12229410621887</v>
      </c>
      <c r="T61" s="62">
        <f t="shared" si="34"/>
        <v>148.17171564653341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1.9895196601282805E-13</v>
      </c>
      <c r="AJ61" s="14">
        <f>AI61*VLOOKUP('Données projet'!$B$10,Paramètres!$A$1:$I$89,3,0)*VLOOKUP('Données projet'!$B$10,Paramètres!$A$1:$I$89,5,0)</f>
        <v>1.8001173884840681E-13</v>
      </c>
      <c r="AK61" s="14">
        <f t="shared" si="35"/>
        <v>2.5254331426407198E-12</v>
      </c>
      <c r="AL61" s="22">
        <f t="shared" si="4"/>
        <v>4.7119831685935622E-12</v>
      </c>
      <c r="AM61" s="62">
        <f t="shared" si="5"/>
        <v>293.33333333333803</v>
      </c>
      <c r="AN61" s="62">
        <f ca="1">AVERAGE(OFFSET($AM$3,0,0,'Données projet'!$E$10+1,1))-AVERAGE(OFFSET($H$3,0,0,'Données projet'!$E$10+1,1))</f>
        <v>249.03969036629979</v>
      </c>
      <c r="AO61" s="62">
        <f t="shared" si="36"/>
        <v>347.8713931923707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4.7884686354865362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4.7884686354865362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428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428.00000000000006</v>
      </c>
      <c r="BE61" s="14">
        <f>BD61*VLOOKUP('Données projet'!$B$11,Paramètres!$A$1:$I$89,3,0)*VLOOKUP('Données projet'!$B$11,Paramètres!$A$1:$I$89,5,0)</f>
        <v>255.94400000000005</v>
      </c>
      <c r="BF61" s="14">
        <f t="shared" si="37"/>
        <v>61.857013102708898</v>
      </c>
      <c r="BG61" s="22">
        <f t="shared" si="7"/>
        <v>553.50343115388478</v>
      </c>
      <c r="BH61" s="62">
        <f t="shared" si="8"/>
        <v>846.83676448721803</v>
      </c>
      <c r="BI61" s="62">
        <f ca="1">AVERAGE(OFFSET($BH$3,0,0,'Données projet'!$E$11+1,1))-AVERAGE(OFFSET($H$3,0,0,'Données projet'!$E$11+1,1))</f>
        <v>280.57175994295949</v>
      </c>
      <c r="BJ61" s="62">
        <f t="shared" si="38"/>
        <v>216.69635818716841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1.1124589992868168</v>
      </c>
      <c r="BR61" s="23">
        <f>EXP(-LN(2)/2)*BR60+(1-EXP(-LN(2)/2))/(LN(2)/2)*BL61*BO61*VLOOKUP('Données projet'!$B$11,Paramètres!$A$1:$I$89,3,0)*0.475*44/12</f>
        <v>1.289566692525476E-3</v>
      </c>
      <c r="BS61" s="24">
        <f t="shared" si="9"/>
        <v>1.1137485659793422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26.857142857142858</v>
      </c>
      <c r="BY61" s="13">
        <f>IF('Données projet'!$A$114&gt;35,BY60+BX61-CG60,IF(A61&lt;'Données projet'!$A$114,$BV$205^A61,IF(A61='Données projet'!$A$114,'Données projet'!$B$114,BY60+BX61-CG60)))</f>
        <v>443.28571428571422</v>
      </c>
      <c r="BZ61" s="14">
        <f>BY61*VLOOKUP('Données projet'!$B$12,Paramètres!$A$1:$I$89,3,0)*VLOOKUP('Données projet'!$B$12,Paramètres!$A$1:$I$89,5,0)</f>
        <v>218.98314285714284</v>
      </c>
      <c r="CA61" s="14">
        <f t="shared" si="39"/>
        <v>53.893817289700543</v>
      </c>
      <c r="CB61" s="22">
        <f t="shared" si="10"/>
        <v>475.26070558908555</v>
      </c>
      <c r="CC61" s="62">
        <f t="shared" si="11"/>
        <v>768.5940389224188</v>
      </c>
      <c r="CD61" s="62">
        <f ca="1">AVERAGE(OFFSET($CC$3,0,0,'Données projet'!$E$12+1,1))-AVERAGE(OFFSET($H$3,0,0,'Données projet'!$E$12+1,1))</f>
        <v>426.64691649521097</v>
      </c>
      <c r="CE61" s="62">
        <f t="shared" si="40"/>
        <v>71.485487617222645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32.981000000000016</v>
      </c>
      <c r="D62" s="12">
        <f t="shared" si="32"/>
        <v>10.117890519143426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332.69318997233535</v>
      </c>
      <c r="H62" s="70">
        <f t="shared" si="1"/>
        <v>368.39723432084145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329</v>
      </c>
      <c r="O62" s="14">
        <f>N62*VLOOKUP('Données projet'!$B$9,Paramètres!$A$1:$I$89,3,0)*VLOOKUP('Données projet'!$B$9,Paramètres!$A$1:$I$89,5,0)</f>
        <v>153.97200000000001</v>
      </c>
      <c r="P62" s="14">
        <f t="shared" si="33"/>
        <v>39.479859284656378</v>
      </c>
      <c r="Q62" s="22">
        <f t="shared" si="53"/>
        <v>336.92865492077652</v>
      </c>
      <c r="R62" s="62">
        <f t="shared" si="0"/>
        <v>630.26198825410984</v>
      </c>
      <c r="S62" s="62">
        <f ca="1">AVERAGE(OFFSET($R$3,0,0,'Données projet'!$E$9+1,1))-AVERAGE(OFFSET($H$3,0,0,'Données projet'!$E$9+1,1))</f>
        <v>165.12229410621887</v>
      </c>
      <c r="T62" s="62">
        <f t="shared" si="34"/>
        <v>148.17171564653341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1.9895196601282805E-13</v>
      </c>
      <c r="AJ62" s="14">
        <f>AI62*VLOOKUP('Données projet'!$B$10,Paramètres!$A$1:$I$89,3,0)*VLOOKUP('Données projet'!$B$10,Paramètres!$A$1:$I$89,5,0)</f>
        <v>1.8001173884840681E-13</v>
      </c>
      <c r="AK62" s="14">
        <f t="shared" si="35"/>
        <v>2.5254331426407198E-12</v>
      </c>
      <c r="AL62" s="22">
        <f t="shared" si="4"/>
        <v>4.7119831685935622E-12</v>
      </c>
      <c r="AM62" s="62">
        <f t="shared" si="5"/>
        <v>293.33333333333803</v>
      </c>
      <c r="AN62" s="62">
        <f ca="1">AVERAGE(OFFSET($AM$3,0,0,'Données projet'!$E$10+1,1))-AVERAGE(OFFSET($H$3,0,0,'Données projet'!$E$10+1,1))</f>
        <v>249.03969036629979</v>
      </c>
      <c r="AO62" s="62">
        <f t="shared" si="36"/>
        <v>347.8713931923707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4.6945696862221196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4.6945696862221196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366.62500000000006</v>
      </c>
      <c r="BE62" s="14">
        <f>BD62*VLOOKUP('Données projet'!$B$11,Paramètres!$A$1:$I$89,3,0)*VLOOKUP('Données projet'!$B$11,Paramètres!$A$1:$I$89,5,0)</f>
        <v>219.24175000000005</v>
      </c>
      <c r="BF62" s="14">
        <f t="shared" si="37"/>
        <v>53.950050729111297</v>
      </c>
      <c r="BG62" s="22">
        <f t="shared" si="7"/>
        <v>475.80905293653558</v>
      </c>
      <c r="BH62" s="62">
        <f t="shared" si="8"/>
        <v>769.14238626986889</v>
      </c>
      <c r="BI62" s="62">
        <f ca="1">AVERAGE(OFFSET($BH$3,0,0,'Données projet'!$E$11+1,1))-AVERAGE(OFFSET($H$3,0,0,'Données projet'!$E$11+1,1))</f>
        <v>280.57175994295949</v>
      </c>
      <c r="BJ62" s="62">
        <f t="shared" si="38"/>
        <v>216.69635818716841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1.0820387494496426</v>
      </c>
      <c r="BR62" s="23">
        <f>EXP(-LN(2)/2)*BR61+(1-EXP(-LN(2)/2))/(LN(2)/2)*BL62*BO62*VLOOKUP('Données projet'!$B$11,Paramètres!$A$1:$I$89,3,0)*0.475*44/12</f>
        <v>9.1186135307707162E-4</v>
      </c>
      <c r="BS62" s="24">
        <f t="shared" si="9"/>
        <v>1.0829506108027196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26.857142857142858</v>
      </c>
      <c r="BY62" s="13">
        <f>IF('Données projet'!$A$114&gt;35,BY61+BX62-CG61,IF(A62&lt;'Données projet'!$A$114,$BV$205^A62,IF(A62='Données projet'!$A$114,'Données projet'!$B$114,BY61+BX62-CG61)))</f>
        <v>470.14285714285705</v>
      </c>
      <c r="BZ62" s="14">
        <f>BY62*VLOOKUP('Données projet'!$B$12,Paramètres!$A$1:$I$89,3,0)*VLOOKUP('Données projet'!$B$12,Paramètres!$A$1:$I$89,5,0)</f>
        <v>232.25057142857142</v>
      </c>
      <c r="CA62" s="14">
        <f t="shared" si="39"/>
        <v>56.769031566392442</v>
      </c>
      <c r="CB62" s="22">
        <f t="shared" si="10"/>
        <v>503.37580854956201</v>
      </c>
      <c r="CC62" s="62">
        <f t="shared" si="11"/>
        <v>796.70914188289532</v>
      </c>
      <c r="CD62" s="62">
        <f ca="1">AVERAGE(OFFSET($CC$3,0,0,'Données projet'!$E$12+1,1))-AVERAGE(OFFSET($H$3,0,0,'Données projet'!$E$12+1,1))</f>
        <v>426.64691649521097</v>
      </c>
      <c r="CE62" s="62">
        <f t="shared" si="40"/>
        <v>71.485487617222645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33.540000000000013</v>
      </c>
      <c r="D63" s="12">
        <f t="shared" si="32"/>
        <v>10.269270252156671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338.17682299910427</v>
      </c>
      <c r="H63" s="70">
        <f t="shared" si="1"/>
        <v>369.63447902250618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337</v>
      </c>
      <c r="O63" s="14">
        <f>N63*VLOOKUP('Données projet'!$B$9,Paramètres!$A$1:$I$89,3,0)*VLOOKUP('Données projet'!$B$9,Paramètres!$A$1:$I$89,5,0)</f>
        <v>157.71600000000001</v>
      </c>
      <c r="P63" s="14">
        <f t="shared" si="33"/>
        <v>40.326922540698838</v>
      </c>
      <c r="Q63" s="22">
        <f t="shared" si="53"/>
        <v>344.92475675838381</v>
      </c>
      <c r="R63" s="62">
        <f t="shared" si="0"/>
        <v>638.25809009171712</v>
      </c>
      <c r="S63" s="62">
        <f ca="1">AVERAGE(OFFSET($R$3,0,0,'Données projet'!$E$9+1,1))-AVERAGE(OFFSET($H$3,0,0,'Données projet'!$E$9+1,1))</f>
        <v>165.12229410621887</v>
      </c>
      <c r="T63" s="62">
        <f t="shared" si="34"/>
        <v>148.17171564653341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1.9895196601282805E-13</v>
      </c>
      <c r="AJ63" s="14">
        <f>AI63*VLOOKUP('Données projet'!$B$10,Paramètres!$A$1:$I$89,3,0)*VLOOKUP('Données projet'!$B$10,Paramètres!$A$1:$I$89,5,0)</f>
        <v>1.8001173884840681E-13</v>
      </c>
      <c r="AK63" s="14">
        <f t="shared" si="35"/>
        <v>2.5254331426407198E-12</v>
      </c>
      <c r="AL63" s="22">
        <f t="shared" si="4"/>
        <v>4.7119831685935622E-12</v>
      </c>
      <c r="AM63" s="62">
        <f t="shared" si="5"/>
        <v>293.33333333333803</v>
      </c>
      <c r="AN63" s="62">
        <f ca="1">AVERAGE(OFFSET($AM$3,0,0,'Données projet'!$E$10+1,1))-AVERAGE(OFFSET($H$3,0,0,'Données projet'!$E$10+1,1))</f>
        <v>249.03969036629979</v>
      </c>
      <c r="AO63" s="62">
        <f t="shared" si="36"/>
        <v>347.8713931923707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4.602512038080075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4.602512038080075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383.25000000000006</v>
      </c>
      <c r="BE63" s="14">
        <f>BD63*VLOOKUP('Données projet'!$B$11,Paramètres!$A$1:$I$89,3,0)*VLOOKUP('Données projet'!$B$11,Paramètres!$A$1:$I$89,5,0)</f>
        <v>229.18350000000007</v>
      </c>
      <c r="BF63" s="14">
        <f t="shared" si="37"/>
        <v>56.106098616839645</v>
      </c>
      <c r="BG63" s="22">
        <f t="shared" si="7"/>
        <v>496.87938425766248</v>
      </c>
      <c r="BH63" s="62">
        <f t="shared" si="8"/>
        <v>790.21271759099579</v>
      </c>
      <c r="BI63" s="62">
        <f ca="1">AVERAGE(OFFSET($BH$3,0,0,'Données projet'!$E$11+1,1))-AVERAGE(OFFSET($H$3,0,0,'Données projet'!$E$11+1,1))</f>
        <v>280.57175994295949</v>
      </c>
      <c r="BJ63" s="62">
        <f t="shared" si="38"/>
        <v>216.69635818716841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1.0524503429439973</v>
      </c>
      <c r="BR63" s="23">
        <f>EXP(-LN(2)/2)*BR62+(1-EXP(-LN(2)/2))/(LN(2)/2)*BL63*BO63*VLOOKUP('Données projet'!$B$11,Paramètres!$A$1:$I$89,3,0)*0.475*44/12</f>
        <v>6.4478334626273811E-4</v>
      </c>
      <c r="BS63" s="24">
        <f t="shared" si="9"/>
        <v>1.0530951262902601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497</v>
      </c>
      <c r="BW63" s="13">
        <f>VLOOKUP(A63,'Données projet'!$A$113:$I$133,9,0)</f>
        <v>26.857142857142858</v>
      </c>
      <c r="BX63" s="13">
        <f t="array" ref="BX63">INDEX(BW:BW,MIN(IF(ISNUMBER(BW63:BW259),ROW(BW63:BW259),"")))</f>
        <v>26.857142857142858</v>
      </c>
      <c r="BY63" s="13">
        <f>IF('Données projet'!$A$114&gt;35,BY62+BX63-CG62,IF(A63&lt;'Données projet'!$A$114,$BV$205^A63,IF(A63='Données projet'!$A$114,'Données projet'!$B$114,BY62+BX63-CG62)))</f>
        <v>496.99999999999989</v>
      </c>
      <c r="BZ63" s="14">
        <f>BY63*VLOOKUP('Données projet'!$B$12,Paramètres!$A$1:$I$89,3,0)*VLOOKUP('Données projet'!$B$12,Paramètres!$A$1:$I$89,5,0)</f>
        <v>245.51799999999994</v>
      </c>
      <c r="CA63" s="14">
        <f t="shared" si="39"/>
        <v>59.625179848894327</v>
      </c>
      <c r="CB63" s="22">
        <f t="shared" si="10"/>
        <v>531.45770490349082</v>
      </c>
      <c r="CC63" s="62">
        <f t="shared" si="11"/>
        <v>824.79103823682408</v>
      </c>
      <c r="CD63" s="62">
        <f ca="1">AVERAGE(OFFSET($CC$3,0,0,'Données projet'!$E$12+1,1))-AVERAGE(OFFSET($H$3,0,0,'Données projet'!$E$12+1,1))</f>
        <v>426.64691649521097</v>
      </c>
      <c r="CE63" s="62">
        <f t="shared" si="40"/>
        <v>71.485487617222645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100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34.099000000000011</v>
      </c>
      <c r="D64" s="12">
        <f t="shared" si="32"/>
        <v>10.420356578808908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343.65819113466529</v>
      </c>
      <c r="H64" s="70">
        <f t="shared" si="1"/>
        <v>370.87121270809217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277.5</v>
      </c>
      <c r="O64" s="14">
        <f>N64*VLOOKUP('Données projet'!$B$9,Paramètres!$A$1:$I$89,3,0)*VLOOKUP('Données projet'!$B$9,Paramètres!$A$1:$I$89,5,0)</f>
        <v>129.87</v>
      </c>
      <c r="P64" s="14">
        <f t="shared" si="33"/>
        <v>33.966318400312318</v>
      </c>
      <c r="Q64" s="22">
        <f t="shared" si="53"/>
        <v>285.34825454721067</v>
      </c>
      <c r="R64" s="62">
        <f t="shared" si="0"/>
        <v>578.68158788054393</v>
      </c>
      <c r="S64" s="62">
        <f ca="1">AVERAGE(OFFSET($R$3,0,0,'Données projet'!$E$9+1,1))-AVERAGE(OFFSET($H$3,0,0,'Données projet'!$E$9+1,1))</f>
        <v>165.12229410621887</v>
      </c>
      <c r="T64" s="62">
        <f t="shared" si="34"/>
        <v>148.17171564653341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1.9895196601282805E-13</v>
      </c>
      <c r="AJ64" s="14">
        <f>AI64*VLOOKUP('Données projet'!$B$10,Paramètres!$A$1:$I$89,3,0)*VLOOKUP('Données projet'!$B$10,Paramètres!$A$1:$I$89,5,0)</f>
        <v>1.8001173884840681E-13</v>
      </c>
      <c r="AK64" s="14">
        <f t="shared" si="35"/>
        <v>2.5254331426407198E-12</v>
      </c>
      <c r="AL64" s="22">
        <f t="shared" si="4"/>
        <v>4.7119831685935622E-12</v>
      </c>
      <c r="AM64" s="62">
        <f t="shared" si="5"/>
        <v>293.33333333333803</v>
      </c>
      <c r="AN64" s="62">
        <f ca="1">AVERAGE(OFFSET($AM$3,0,0,'Données projet'!$E$10+1,1))-AVERAGE(OFFSET($H$3,0,0,'Données projet'!$E$10+1,1))</f>
        <v>249.03969036629979</v>
      </c>
      <c r="AO64" s="62">
        <f t="shared" si="36"/>
        <v>347.8713931923707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4.5122595842684747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4.5122595842684747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399.87500000000006</v>
      </c>
      <c r="BE64" s="14">
        <f>BD64*VLOOKUP('Données projet'!$B$11,Paramètres!$A$1:$I$89,3,0)*VLOOKUP('Données projet'!$B$11,Paramètres!$A$1:$I$89,5,0)</f>
        <v>239.12525000000005</v>
      </c>
      <c r="BF64" s="14">
        <f t="shared" si="37"/>
        <v>58.251283780505084</v>
      </c>
      <c r="BG64" s="22">
        <f t="shared" si="7"/>
        <v>517.93079633437981</v>
      </c>
      <c r="BH64" s="62">
        <f t="shared" si="8"/>
        <v>811.26412966771318</v>
      </c>
      <c r="BI64" s="62">
        <f ca="1">AVERAGE(OFFSET($BH$3,0,0,'Données projet'!$E$11+1,1))-AVERAGE(OFFSET($H$3,0,0,'Données projet'!$E$11+1,1))</f>
        <v>280.57175994295949</v>
      </c>
      <c r="BJ64" s="62">
        <f t="shared" si="38"/>
        <v>216.69635818716841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1.0236710329702357</v>
      </c>
      <c r="BR64" s="23">
        <f>EXP(-LN(2)/2)*BR63+(1-EXP(-LN(2)/2))/(LN(2)/2)*BL64*BO64*VLOOKUP('Données projet'!$B$11,Paramètres!$A$1:$I$89,3,0)*0.475*44/12</f>
        <v>4.5593067653853587E-4</v>
      </c>
      <c r="BS64" s="24">
        <f t="shared" si="9"/>
        <v>1.0241269636467742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24.5</v>
      </c>
      <c r="BY64" s="13">
        <f>IF('Données projet'!$A$114&gt;35,BY63+BX64-CG63,IF(A64&lt;'Données projet'!$A$114,$BV$205^A64,IF(A64='Données projet'!$A$114,'Données projet'!$B$114,BY63+BX64-CG63)))</f>
        <v>421.49999999999989</v>
      </c>
      <c r="BZ64" s="14">
        <f>BY64*VLOOKUP('Données projet'!$B$12,Paramètres!$A$1:$I$89,3,0)*VLOOKUP('Données projet'!$B$12,Paramètres!$A$1:$I$89,5,0)</f>
        <v>208.22099999999995</v>
      </c>
      <c r="CA64" s="14">
        <f t="shared" si="39"/>
        <v>51.546637161071253</v>
      </c>
      <c r="CB64" s="22">
        <f t="shared" si="10"/>
        <v>452.42863472219898</v>
      </c>
      <c r="CC64" s="62">
        <f t="shared" si="11"/>
        <v>745.76196805553229</v>
      </c>
      <c r="CD64" s="62">
        <f ca="1">AVERAGE(OFFSET($CC$3,0,0,'Données projet'!$E$12+1,1))-AVERAGE(OFFSET($H$3,0,0,'Données projet'!$E$12+1,1))</f>
        <v>426.64691649521097</v>
      </c>
      <c r="CE64" s="62">
        <f t="shared" si="40"/>
        <v>71.485487617222645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34.658000000000008</v>
      </c>
      <c r="D65" s="12">
        <f t="shared" si="32"/>
        <v>10.571154864281649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349.13733579445488</v>
      </c>
      <c r="H65" s="70">
        <f t="shared" si="1"/>
        <v>372.10744472195717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285</v>
      </c>
      <c r="O65" s="14">
        <f>N65*VLOOKUP('Données projet'!$B$9,Paramètres!$A$1:$I$89,3,0)*VLOOKUP('Données projet'!$B$9,Paramètres!$A$1:$I$89,5,0)</f>
        <v>133.38</v>
      </c>
      <c r="P65" s="14">
        <f t="shared" si="33"/>
        <v>34.776207535548991</v>
      </c>
      <c r="Q65" s="22">
        <f t="shared" si="53"/>
        <v>292.8720614577478</v>
      </c>
      <c r="R65" s="62">
        <f t="shared" si="0"/>
        <v>586.20539479108106</v>
      </c>
      <c r="S65" s="62">
        <f ca="1">AVERAGE(OFFSET($R$3,0,0,'Données projet'!$E$9+1,1))-AVERAGE(OFFSET($H$3,0,0,'Données projet'!$E$9+1,1))</f>
        <v>165.12229410621887</v>
      </c>
      <c r="T65" s="62">
        <f t="shared" si="34"/>
        <v>148.17171564653341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1.9895196601282805E-13</v>
      </c>
      <c r="AJ65" s="14">
        <f>AI65*VLOOKUP('Données projet'!$B$10,Paramètres!$A$1:$I$89,3,0)*VLOOKUP('Données projet'!$B$10,Paramètres!$A$1:$I$89,5,0)</f>
        <v>1.8001173884840681E-13</v>
      </c>
      <c r="AK65" s="14">
        <f t="shared" si="35"/>
        <v>2.5254331426407198E-12</v>
      </c>
      <c r="AL65" s="22">
        <f t="shared" si="4"/>
        <v>4.7119831685935622E-12</v>
      </c>
      <c r="AM65" s="62">
        <f t="shared" si="5"/>
        <v>293.33333333333803</v>
      </c>
      <c r="AN65" s="62">
        <f ca="1">AVERAGE(OFFSET($AM$3,0,0,'Données projet'!$E$10+1,1))-AVERAGE(OFFSET($H$3,0,0,'Données projet'!$E$10+1,1))</f>
        <v>249.03969036629979</v>
      </c>
      <c r="AO65" s="62">
        <f t="shared" si="36"/>
        <v>347.8713931923707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4.4237769260275588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4.4237769260275588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416.50000000000006</v>
      </c>
      <c r="BE65" s="14">
        <f>BD65*VLOOKUP('Données projet'!$B$11,Paramètres!$A$1:$I$89,3,0)*VLOOKUP('Données projet'!$B$11,Paramètres!$A$1:$I$89,5,0)</f>
        <v>249.06700000000004</v>
      </c>
      <c r="BF65" s="14">
        <f t="shared" si="37"/>
        <v>60.386109489804014</v>
      </c>
      <c r="BG65" s="22">
        <f t="shared" si="7"/>
        <v>538.96416569474195</v>
      </c>
      <c r="BH65" s="62">
        <f t="shared" si="8"/>
        <v>832.29749902807521</v>
      </c>
      <c r="BI65" s="62">
        <f ca="1">AVERAGE(OFFSET($BH$3,0,0,'Données projet'!$E$11+1,1))-AVERAGE(OFFSET($H$3,0,0,'Données projet'!$E$11+1,1))</f>
        <v>280.57175994295949</v>
      </c>
      <c r="BJ65" s="62">
        <f t="shared" si="38"/>
        <v>216.69635818716841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0.99567869474114457</v>
      </c>
      <c r="BR65" s="23">
        <f>EXP(-LN(2)/2)*BR64+(1-EXP(-LN(2)/2))/(LN(2)/2)*BL65*BO65*VLOOKUP('Données projet'!$B$11,Paramètres!$A$1:$I$89,3,0)*0.475*44/12</f>
        <v>3.2239167313136906E-4</v>
      </c>
      <c r="BS65" s="24">
        <f t="shared" si="9"/>
        <v>0.99600108641427598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24.5</v>
      </c>
      <c r="BY65" s="13">
        <f>IF('Données projet'!$A$114&gt;35,BY64+BX65-CG64,IF(A65&lt;'Données projet'!$A$114,$BV$205^A65,IF(A65='Données projet'!$A$114,'Données projet'!$B$114,BY64+BX65-CG64)))</f>
        <v>445.99999999999989</v>
      </c>
      <c r="BZ65" s="14">
        <f>BY65*VLOOKUP('Données projet'!$B$12,Paramètres!$A$1:$I$89,3,0)*VLOOKUP('Données projet'!$B$12,Paramètres!$A$1:$I$89,5,0)</f>
        <v>220.32399999999996</v>
      </c>
      <c r="CA65" s="14">
        <f t="shared" si="39"/>
        <v>54.185299487207274</v>
      </c>
      <c r="CB65" s="22">
        <f t="shared" si="10"/>
        <v>478.10369660688593</v>
      </c>
      <c r="CC65" s="62">
        <f t="shared" si="11"/>
        <v>771.43702994021919</v>
      </c>
      <c r="CD65" s="62">
        <f ca="1">AVERAGE(OFFSET($CC$3,0,0,'Données projet'!$E$12+1,1))-AVERAGE(OFFSET($H$3,0,0,'Données projet'!$E$12+1,1))</f>
        <v>426.64691649521097</v>
      </c>
      <c r="CE65" s="62">
        <f t="shared" si="40"/>
        <v>71.485487617222645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66" s="12">
        <f t="shared" si="32"/>
        <v>10.721670290761447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354.6142969813165</v>
      </c>
      <c r="H66" s="70">
        <f t="shared" si="1"/>
        <v>373.34318408974286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292.5</v>
      </c>
      <c r="O66" s="14">
        <f>N66*VLOOKUP('Données projet'!$B$9,Paramètres!$A$1:$I$89,3,0)*VLOOKUP('Données projet'!$B$9,Paramètres!$A$1:$I$89,5,0)</f>
        <v>136.89000000000001</v>
      </c>
      <c r="P66" s="14">
        <f t="shared" si="33"/>
        <v>35.583619346017713</v>
      </c>
      <c r="Q66" s="22">
        <f t="shared" si="53"/>
        <v>300.39155369431421</v>
      </c>
      <c r="R66" s="62">
        <f t="shared" si="0"/>
        <v>593.72488702764758</v>
      </c>
      <c r="S66" s="62">
        <f ca="1">AVERAGE(OFFSET($R$3,0,0,'Données projet'!$E$9+1,1))-AVERAGE(OFFSET($H$3,0,0,'Données projet'!$E$9+1,1))</f>
        <v>165.12229410621887</v>
      </c>
      <c r="T66" s="62">
        <f t="shared" si="34"/>
        <v>148.17171564653341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1.9895196601282805E-13</v>
      </c>
      <c r="AJ66" s="14">
        <f>AI66*VLOOKUP('Données projet'!$B$10,Paramètres!$A$1:$I$89,3,0)*VLOOKUP('Données projet'!$B$10,Paramètres!$A$1:$I$89,5,0)</f>
        <v>1.8001173884840681E-13</v>
      </c>
      <c r="AK66" s="14">
        <f t="shared" si="35"/>
        <v>2.5254331426407198E-12</v>
      </c>
      <c r="AL66" s="22">
        <f t="shared" si="4"/>
        <v>4.7119831685935622E-12</v>
      </c>
      <c r="AM66" s="62">
        <f t="shared" si="5"/>
        <v>293.33333333333803</v>
      </c>
      <c r="AN66" s="62">
        <f ca="1">AVERAGE(OFFSET($AM$3,0,0,'Données projet'!$E$10+1,1))-AVERAGE(OFFSET($H$3,0,0,'Données projet'!$E$10+1,1))</f>
        <v>249.03969036629979</v>
      </c>
      <c r="AO66" s="62">
        <f t="shared" si="36"/>
        <v>347.8713931923707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4.3370293587456548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4.3370293587456548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433.12500000000006</v>
      </c>
      <c r="BE66" s="14">
        <f>BD66*VLOOKUP('Données projet'!$B$11,Paramètres!$A$1:$I$89,3,0)*VLOOKUP('Données projet'!$B$11,Paramètres!$A$1:$I$89,5,0)</f>
        <v>259.00875000000008</v>
      </c>
      <c r="BF66" s="14">
        <f t="shared" si="37"/>
        <v>62.511036563235727</v>
      </c>
      <c r="BG66" s="22">
        <f t="shared" si="7"/>
        <v>559.98029493096897</v>
      </c>
      <c r="BH66" s="62">
        <f t="shared" si="8"/>
        <v>853.31362826430222</v>
      </c>
      <c r="BI66" s="62">
        <f ca="1">AVERAGE(OFFSET($BH$3,0,0,'Données projet'!$E$11+1,1))-AVERAGE(OFFSET($H$3,0,0,'Données projet'!$E$11+1,1))</f>
        <v>280.57175994295949</v>
      </c>
      <c r="BJ66" s="62">
        <f t="shared" si="38"/>
        <v>216.69635818716841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0.96845180847298107</v>
      </c>
      <c r="BR66" s="23">
        <f>EXP(-LN(2)/2)*BR65+(1-EXP(-LN(2)/2))/(LN(2)/2)*BL66*BO66*VLOOKUP('Données projet'!$B$11,Paramètres!$A$1:$I$89,3,0)*0.475*44/12</f>
        <v>2.2796533826926793E-4</v>
      </c>
      <c r="BS66" s="24">
        <f t="shared" si="9"/>
        <v>0.96867977381125037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24.5</v>
      </c>
      <c r="BY66" s="13">
        <f>IF('Données projet'!$A$114&gt;35,BY65+BX66-CG65,IF(A66&lt;'Données projet'!$A$114,$BV$205^A66,IF(A66='Données projet'!$A$114,'Données projet'!$B$114,BY65+BX66-CG65)))</f>
        <v>470.49999999999989</v>
      </c>
      <c r="BZ66" s="14">
        <f>BY66*VLOOKUP('Données projet'!$B$12,Paramètres!$A$1:$I$89,3,0)*VLOOKUP('Données projet'!$B$12,Paramètres!$A$1:$I$89,5,0)</f>
        <v>232.42699999999996</v>
      </c>
      <c r="CA66" s="14">
        <f t="shared" si="39"/>
        <v>56.807134649969818</v>
      </c>
      <c r="CB66" s="22">
        <f t="shared" si="10"/>
        <v>503.74945118203073</v>
      </c>
      <c r="CC66" s="62">
        <f t="shared" si="11"/>
        <v>797.08278451536398</v>
      </c>
      <c r="CD66" s="62">
        <f ca="1">AVERAGE(OFFSET($CC$3,0,0,'Données projet'!$E$12+1,1))-AVERAGE(OFFSET($H$3,0,0,'Données projet'!$E$12+1,1))</f>
        <v>426.64691649521097</v>
      </c>
      <c r="CE66" s="62">
        <f t="shared" si="40"/>
        <v>71.485487617222645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35.776000000000003</v>
      </c>
      <c r="D67" s="12">
        <f t="shared" si="32"/>
        <v>10.871907866485202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360.0891133553244</v>
      </c>
      <c r="H67" s="70">
        <f t="shared" si="1"/>
        <v>374.57843953412839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300</v>
      </c>
      <c r="O67" s="14">
        <f>N67*VLOOKUP('Données projet'!$B$9,Paramètres!$A$1:$I$89,3,0)*VLOOKUP('Données projet'!$B$9,Paramètres!$A$1:$I$89,5,0)</f>
        <v>140.4</v>
      </c>
      <c r="P67" s="14">
        <f t="shared" si="33"/>
        <v>36.388624656711201</v>
      </c>
      <c r="Q67" s="22">
        <f t="shared" ref="Q67:Q98" si="54">(O67+P67)*0.475*44/12</f>
        <v>307.90685461043864</v>
      </c>
      <c r="R67" s="62">
        <f t="shared" ref="R67:R130" si="55">Q67+(I67+J67)*44/12</f>
        <v>601.24018794377196</v>
      </c>
      <c r="S67" s="62">
        <f ca="1">AVERAGE(OFFSET($R$3,0,0,'Données projet'!$E$9+1,1))-AVERAGE(OFFSET($H$3,0,0,'Données projet'!$E$9+1,1))</f>
        <v>165.12229410621887</v>
      </c>
      <c r="T67" s="62">
        <f t="shared" si="34"/>
        <v>148.17171564653341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1.9895196601282805E-13</v>
      </c>
      <c r="AJ67" s="14">
        <f>AI67*VLOOKUP('Données projet'!$B$10,Paramètres!$A$1:$I$89,3,0)*VLOOKUP('Données projet'!$B$10,Paramètres!$A$1:$I$89,5,0)</f>
        <v>1.8001173884840681E-13</v>
      </c>
      <c r="AK67" s="14">
        <f t="shared" si="35"/>
        <v>2.5254331426407198E-12</v>
      </c>
      <c r="AL67" s="22">
        <f t="shared" si="4"/>
        <v>4.7119831685935622E-12</v>
      </c>
      <c r="AM67" s="62">
        <f t="shared" si="5"/>
        <v>293.33333333333803</v>
      </c>
      <c r="AN67" s="62">
        <f ca="1">AVERAGE(OFFSET($AM$3,0,0,'Données projet'!$E$10+1,1))-AVERAGE(OFFSET($H$3,0,0,'Données projet'!$E$10+1,1))</f>
        <v>249.03969036629979</v>
      </c>
      <c r="AO67" s="62">
        <f t="shared" si="36"/>
        <v>347.8713931923707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4.2519828583473567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4.2519828583473567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449.75000000000006</v>
      </c>
      <c r="BE67" s="14">
        <f>BD67*VLOOKUP('Données projet'!$B$11,Paramètres!$A$1:$I$89,3,0)*VLOOKUP('Données projet'!$B$11,Paramètres!$A$1:$I$89,5,0)</f>
        <v>268.95050000000009</v>
      </c>
      <c r="BF67" s="14">
        <f t="shared" si="37"/>
        <v>64.626488439895155</v>
      </c>
      <c r="BG67" s="22">
        <f t="shared" si="7"/>
        <v>580.97992153281746</v>
      </c>
      <c r="BH67" s="62">
        <f t="shared" si="8"/>
        <v>874.31325486615083</v>
      </c>
      <c r="BI67" s="62">
        <f ca="1">AVERAGE(OFFSET($BH$3,0,0,'Données projet'!$E$11+1,1))-AVERAGE(OFFSET($H$3,0,0,'Données projet'!$E$11+1,1))</f>
        <v>280.57175994295949</v>
      </c>
      <c r="BJ67" s="62">
        <f t="shared" si="38"/>
        <v>216.69635818716841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0.94196944284162021</v>
      </c>
      <c r="BR67" s="23">
        <f>EXP(-LN(2)/2)*BR66+(1-EXP(-LN(2)/2))/(LN(2)/2)*BL67*BO67*VLOOKUP('Données projet'!$B$11,Paramètres!$A$1:$I$89,3,0)*0.475*44/12</f>
        <v>1.6119583656568453E-4</v>
      </c>
      <c r="BS67" s="24">
        <f t="shared" si="9"/>
        <v>0.94213063867818592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24.5</v>
      </c>
      <c r="BY67" s="13">
        <f>IF('Données projet'!$A$114&gt;35,BY66+BX67-CG66,IF(A67&lt;'Données projet'!$A$114,$BV$205^A67,IF(A67='Données projet'!$A$114,'Données projet'!$B$114,BY66+BX67-CG66)))</f>
        <v>494.99999999999989</v>
      </c>
      <c r="BZ67" s="14">
        <f>BY67*VLOOKUP('Données projet'!$B$12,Paramètres!$A$1:$I$89,3,0)*VLOOKUP('Données projet'!$B$12,Paramètres!$A$1:$I$89,5,0)</f>
        <v>244.52999999999997</v>
      </c>
      <c r="CA67" s="14">
        <f t="shared" si="39"/>
        <v>59.41311881674234</v>
      </c>
      <c r="CB67" s="22">
        <f t="shared" si="10"/>
        <v>529.36759860582617</v>
      </c>
      <c r="CC67" s="62">
        <f t="shared" si="11"/>
        <v>822.70093193915955</v>
      </c>
      <c r="CD67" s="62">
        <f ca="1">AVERAGE(OFFSET($CC$3,0,0,'Données projet'!$E$12+1,1))-AVERAGE(OFFSET($H$3,0,0,'Données projet'!$E$12+1,1))</f>
        <v>426.64691649521097</v>
      </c>
      <c r="CE67" s="62">
        <f t="shared" si="40"/>
        <v>71.485487617222645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36.335000000000001</v>
      </c>
      <c r="D68" s="12">
        <f t="shared" si="32"/>
        <v>11.02187243420407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365.56182229911923</v>
      </c>
      <c r="H68" s="70">
        <f t="shared" ref="H68:H131" si="56">(B68+E68+F68)*44/12+(C68+D68)*0.475*44/12</f>
        <v>375.81321948957208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307.5</v>
      </c>
      <c r="O68" s="14">
        <f>N68*VLOOKUP('Données projet'!$B$9,Paramètres!$A$1:$I$89,3,0)*VLOOKUP('Données projet'!$B$9,Paramètres!$A$1:$I$89,5,0)</f>
        <v>143.91</v>
      </c>
      <c r="P68" s="14">
        <f t="shared" si="33"/>
        <v>37.191290549543432</v>
      </c>
      <c r="Q68" s="22">
        <f t="shared" si="54"/>
        <v>315.41808104045475</v>
      </c>
      <c r="R68" s="62">
        <f t="shared" si="55"/>
        <v>608.75141437378807</v>
      </c>
      <c r="S68" s="62">
        <f ca="1">AVERAGE(OFFSET($R$3,0,0,'Données projet'!$E$9+1,1))-AVERAGE(OFFSET($H$3,0,0,'Données projet'!$E$9+1,1))</f>
        <v>165.12229410621887</v>
      </c>
      <c r="T68" s="62">
        <f t="shared" si="34"/>
        <v>148.17171564653341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1.9895196601282805E-13</v>
      </c>
      <c r="AJ68" s="14">
        <f>AI68*VLOOKUP('Données projet'!$B$10,Paramètres!$A$1:$I$89,3,0)*VLOOKUP('Données projet'!$B$10,Paramètres!$A$1:$I$89,5,0)</f>
        <v>1.8001173884840681E-13</v>
      </c>
      <c r="AK68" s="14">
        <f t="shared" si="35"/>
        <v>2.5254331426407198E-12</v>
      </c>
      <c r="AL68" s="22">
        <f t="shared" ref="AL68:AL131" si="58">(AJ68+AK68)*0.475*44/12</f>
        <v>4.7119831685935622E-12</v>
      </c>
      <c r="AM68" s="62">
        <f t="shared" ref="AM68:AM131" si="59">AL68+(AD68+AE68)*44/12</f>
        <v>293.33333333333803</v>
      </c>
      <c r="AN68" s="62">
        <f ca="1">AVERAGE(OFFSET($AM$3,0,0,'Données projet'!$E$10+1,1))-AVERAGE(OFFSET($H$3,0,0,'Données projet'!$E$10+1,1))</f>
        <v>249.03969036629979</v>
      </c>
      <c r="AO68" s="62">
        <f t="shared" si="36"/>
        <v>347.8713931923707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4.1686040679486265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4.1686040679486265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466.37500000000006</v>
      </c>
      <c r="BE68" s="14">
        <f>BD68*VLOOKUP('Données projet'!$B$11,Paramètres!$A$1:$I$89,3,0)*VLOOKUP('Données projet'!$B$11,Paramètres!$A$1:$I$89,5,0)</f>
        <v>278.89225000000005</v>
      </c>
      <c r="BF68" s="14">
        <f t="shared" si="37"/>
        <v>66.732855480271084</v>
      </c>
      <c r="BG68" s="22">
        <f t="shared" ref="BG68:BG131" si="61">(BE68+BF68)*0.475*44/12</f>
        <v>601.96372537813886</v>
      </c>
      <c r="BH68" s="62">
        <f t="shared" ref="BH68:BH131" si="62">BG68+(AY68+AZ68)*44/12</f>
        <v>895.29705871147212</v>
      </c>
      <c r="BI68" s="62">
        <f ca="1">AVERAGE(OFFSET($BH$3,0,0,'Données projet'!$E$11+1,1))-AVERAGE(OFFSET($H$3,0,0,'Données projet'!$E$11+1,1))</f>
        <v>280.57175994295949</v>
      </c>
      <c r="BJ68" s="62">
        <f t="shared" si="38"/>
        <v>216.69635818716841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0.91621123889109601</v>
      </c>
      <c r="BR68" s="23">
        <f>EXP(-LN(2)/2)*BR67+(1-EXP(-LN(2)/2))/(LN(2)/2)*BL68*BO68*VLOOKUP('Données projet'!$B$11,Paramètres!$A$1:$I$89,3,0)*0.475*44/12</f>
        <v>1.1398266913463397E-4</v>
      </c>
      <c r="BS68" s="24">
        <f t="shared" ref="BS68:BS131" si="63">SUM(BP68:BR68)</f>
        <v>0.91632522156023066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24.5</v>
      </c>
      <c r="BY68" s="13">
        <f>IF('Données projet'!$A$114&gt;35,BY67+BX68-CG67,IF(A68&lt;'Données projet'!$A$114,$BV$205^A68,IF(A68='Données projet'!$A$114,'Données projet'!$B$114,BY67+BX68-CG67)))</f>
        <v>519.49999999999989</v>
      </c>
      <c r="BZ68" s="14">
        <f>BY68*VLOOKUP('Données projet'!$B$12,Paramètres!$A$1:$I$89,3,0)*VLOOKUP('Données projet'!$B$12,Paramètres!$A$1:$I$89,5,0)</f>
        <v>256.63299999999998</v>
      </c>
      <c r="CA68" s="14">
        <f t="shared" si="39"/>
        <v>62.004126065302664</v>
      </c>
      <c r="CB68" s="22">
        <f t="shared" ref="CB68:CB131" si="64">(BZ68+CA68)*0.475*44/12</f>
        <v>554.95966123040205</v>
      </c>
      <c r="CC68" s="62">
        <f t="shared" ref="CC68:CC131" si="65">CB68+(BT68+BU68)*44/12</f>
        <v>848.29299456373542</v>
      </c>
      <c r="CD68" s="62">
        <f ca="1">AVERAGE(OFFSET($CC$3,0,0,'Données projet'!$E$12+1,1))-AVERAGE(OFFSET($H$3,0,0,'Données projet'!$E$12+1,1))</f>
        <v>426.64691649521097</v>
      </c>
      <c r="CE68" s="62">
        <f t="shared" si="40"/>
        <v>71.485487617222645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36.893999999999998</v>
      </c>
      <c r="D69" s="12">
        <f t="shared" ref="D69:D132" si="86">IFERROR(EXP(-1.0587+0.8836*LN(C69)+0.284),0)</f>
        <v>11.17156867911179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371.03245997910858</v>
      </c>
      <c r="H69" s="70">
        <f t="shared" si="56"/>
        <v>377.04753211611967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315</v>
      </c>
      <c r="O69" s="14">
        <f>N69*VLOOKUP('Données projet'!$B$9,Paramètres!$A$1:$I$89,3,0)*VLOOKUP('Données projet'!$B$9,Paramètres!$A$1:$I$89,5,0)</f>
        <v>147.41999999999999</v>
      </c>
      <c r="P69" s="14">
        <f t="shared" ref="P69:P132" si="87">EXP(-1.0587+0.8836*LN(O69)+0.284)</f>
        <v>37.991680647570291</v>
      </c>
      <c r="Q69" s="22">
        <f t="shared" si="54"/>
        <v>322.92534379451826</v>
      </c>
      <c r="R69" s="62">
        <f t="shared" si="55"/>
        <v>616.25867712785157</v>
      </c>
      <c r="S69" s="62">
        <f ca="1">AVERAGE(OFFSET($R$3,0,0,'Données projet'!$E$9+1,1))-AVERAGE(OFFSET($H$3,0,0,'Données projet'!$E$9+1,1))</f>
        <v>165.12229410621887</v>
      </c>
      <c r="T69" s="62">
        <f t="shared" ref="T69:T132" si="88">$T$3</f>
        <v>148.17171564653341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1.9895196601282805E-13</v>
      </c>
      <c r="AJ69" s="14">
        <f>AI69*VLOOKUP('Données projet'!$B$10,Paramètres!$A$1:$I$89,3,0)*VLOOKUP('Données projet'!$B$10,Paramètres!$A$1:$I$89,5,0)</f>
        <v>1.8001173884840681E-13</v>
      </c>
      <c r="AK69" s="14">
        <f t="shared" ref="AK69:AK132" si="89">EXP(-1.0587+0.8836*LN(AJ69)+0.284)</f>
        <v>2.5254331426407198E-12</v>
      </c>
      <c r="AL69" s="22">
        <f t="shared" si="58"/>
        <v>4.7119831685935622E-12</v>
      </c>
      <c r="AM69" s="62">
        <f t="shared" si="59"/>
        <v>293.33333333333803</v>
      </c>
      <c r="AN69" s="62">
        <f ca="1">AVERAGE(OFFSET($AM$3,0,0,'Données projet'!$E$10+1,1))-AVERAGE(OFFSET($H$3,0,0,'Données projet'!$E$10+1,1))</f>
        <v>249.03969036629979</v>
      </c>
      <c r="AO69" s="62">
        <f t="shared" ref="AO69:AO132" si="90">$AO$3</f>
        <v>347.8713931923707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4.0868602847735751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4.0868602847735751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483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483.00000000000006</v>
      </c>
      <c r="BE69" s="14">
        <f>BD69*VLOOKUP('Données projet'!$B$11,Paramètres!$A$1:$I$89,3,0)*VLOOKUP('Données projet'!$B$11,Paramètres!$A$1:$I$89,5,0)</f>
        <v>288.83400000000006</v>
      </c>
      <c r="BF69" s="14">
        <f t="shared" ref="BF69:BF132" si="91">EXP(-1.0587+0.8836*LN(BE69)+0.284)</f>
        <v>68.830498636563377</v>
      </c>
      <c r="BG69" s="22">
        <f t="shared" si="61"/>
        <v>622.932335125348</v>
      </c>
      <c r="BH69" s="62">
        <f t="shared" si="62"/>
        <v>916.26566845868138</v>
      </c>
      <c r="BI69" s="62">
        <f ca="1">AVERAGE(OFFSET($BH$3,0,0,'Données projet'!$E$11+1,1))-AVERAGE(OFFSET($H$3,0,0,'Données projet'!$E$11+1,1))</f>
        <v>280.57175994295949</v>
      </c>
      <c r="BJ69" s="62">
        <f t="shared" ref="BJ69:BJ132" si="92">$BJ$3</f>
        <v>216.69635818716841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0.89115739438216401</v>
      </c>
      <c r="BR69" s="23">
        <f>EXP(-LN(2)/2)*BR68+(1-EXP(-LN(2)/2))/(LN(2)/2)*BL69*BO69*VLOOKUP('Données projet'!$B$11,Paramètres!$A$1:$I$89,3,0)*0.475*44/12</f>
        <v>8.0597918282842264E-5</v>
      </c>
      <c r="BS69" s="24">
        <f t="shared" si="63"/>
        <v>0.89123799230044687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24.5</v>
      </c>
      <c r="BY69" s="13">
        <f>IF('Données projet'!$A$114&gt;35,BY68+BX69-CG68,IF(A69&lt;'Données projet'!$A$114,$BV$205^A69,IF(A69='Données projet'!$A$114,'Données projet'!$B$114,BY68+BX69-CG68)))</f>
        <v>543.99999999999989</v>
      </c>
      <c r="BZ69" s="14">
        <f>BY69*VLOOKUP('Données projet'!$B$12,Paramètres!$A$1:$I$89,3,0)*VLOOKUP('Données projet'!$B$12,Paramètres!$A$1:$I$89,5,0)</f>
        <v>268.73599999999999</v>
      </c>
      <c r="CA69" s="14">
        <f t="shared" ref="CA69:CA132" si="93">EXP(-1.0587+0.8836*LN(BZ69)+0.284)</f>
        <v>64.580943370245521</v>
      </c>
      <c r="CB69" s="22">
        <f t="shared" si="64"/>
        <v>580.52700970317755</v>
      </c>
      <c r="CC69" s="62">
        <f t="shared" si="65"/>
        <v>873.86034303651081</v>
      </c>
      <c r="CD69" s="62">
        <f ca="1">AVERAGE(OFFSET($CC$3,0,0,'Données projet'!$E$12+1,1))-AVERAGE(OFFSET($H$3,0,0,'Données projet'!$E$12+1,1))</f>
        <v>426.64691649521097</v>
      </c>
      <c r="CE69" s="62">
        <f t="shared" ref="CE69:CE132" si="94">$CE$3</f>
        <v>71.485487617222645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37.452999999999996</v>
      </c>
      <c r="D70" s="12">
        <f t="shared" si="86"/>
        <v>11.321001136278802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376.50106140285385</v>
      </c>
      <c r="H70" s="70">
        <f t="shared" si="56"/>
        <v>378.2813853123522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322.5</v>
      </c>
      <c r="O70" s="14">
        <f>N70*VLOOKUP('Données projet'!$B$9,Paramètres!$A$1:$I$89,3,0)*VLOOKUP('Données projet'!$B$9,Paramètres!$A$1:$I$89,5,0)</f>
        <v>150.93</v>
      </c>
      <c r="P70" s="14">
        <f t="shared" si="87"/>
        <v>38.789855371379076</v>
      </c>
      <c r="Q70" s="22">
        <f t="shared" si="54"/>
        <v>330.4287481051519</v>
      </c>
      <c r="R70" s="62">
        <f t="shared" si="55"/>
        <v>623.76208143848521</v>
      </c>
      <c r="S70" s="62">
        <f ca="1">AVERAGE(OFFSET($R$3,0,0,'Données projet'!$E$9+1,1))-AVERAGE(OFFSET($H$3,0,0,'Données projet'!$E$9+1,1))</f>
        <v>165.12229410621887</v>
      </c>
      <c r="T70" s="62">
        <f t="shared" si="88"/>
        <v>148.17171564653341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1.9895196601282805E-13</v>
      </c>
      <c r="AJ70" s="14">
        <f>AI70*VLOOKUP('Données projet'!$B$10,Paramètres!$A$1:$I$89,3,0)*VLOOKUP('Données projet'!$B$10,Paramètres!$A$1:$I$89,5,0)</f>
        <v>1.8001173884840681E-13</v>
      </c>
      <c r="AK70" s="14">
        <f t="shared" si="89"/>
        <v>2.5254331426407198E-12</v>
      </c>
      <c r="AL70" s="22">
        <f t="shared" si="58"/>
        <v>4.7119831685935622E-12</v>
      </c>
      <c r="AM70" s="62">
        <f t="shared" si="59"/>
        <v>293.33333333333803</v>
      </c>
      <c r="AN70" s="62">
        <f ca="1">AVERAGE(OFFSET($AM$3,0,0,'Données projet'!$E$10+1,1))-AVERAGE(OFFSET($H$3,0,0,'Données projet'!$E$10+1,1))</f>
        <v>249.03969036629979</v>
      </c>
      <c r="AO70" s="62">
        <f t="shared" si="90"/>
        <v>347.8713931923707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4.0067194473278018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4.0067194473278018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430.87500000000006</v>
      </c>
      <c r="BE70" s="14">
        <f>BD70*VLOOKUP('Données projet'!$B$11,Paramètres!$A$1:$I$89,3,0)*VLOOKUP('Données projet'!$B$11,Paramètres!$A$1:$I$89,5,0)</f>
        <v>257.66325000000006</v>
      </c>
      <c r="BF70" s="14">
        <f t="shared" si="91"/>
        <v>62.224015868041043</v>
      </c>
      <c r="BG70" s="22">
        <f t="shared" si="61"/>
        <v>557.13698805350487</v>
      </c>
      <c r="BH70" s="62">
        <f t="shared" si="62"/>
        <v>850.47032138683812</v>
      </c>
      <c r="BI70" s="62">
        <f ca="1">AVERAGE(OFFSET($BH$3,0,0,'Données projet'!$E$11+1,1))-AVERAGE(OFFSET($H$3,0,0,'Données projet'!$E$11+1,1))</f>
        <v>280.57175994295949</v>
      </c>
      <c r="BJ70" s="62">
        <f t="shared" si="92"/>
        <v>216.69635818716841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0.86678864856885318</v>
      </c>
      <c r="BR70" s="23">
        <f>EXP(-LN(2)/2)*BR69+(1-EXP(-LN(2)/2))/(LN(2)/2)*BL70*BO70*VLOOKUP('Données projet'!$B$11,Paramètres!$A$1:$I$89,3,0)*0.475*44/12</f>
        <v>5.6991334567316983E-5</v>
      </c>
      <c r="BS70" s="24">
        <f t="shared" si="63"/>
        <v>0.86684563990342045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24.5</v>
      </c>
      <c r="BY70" s="13">
        <f>IF('Données projet'!$A$114&gt;35,BY69+BX70-CG69,IF(A70&lt;'Données projet'!$A$114,$BV$205^A70,IF(A70='Données projet'!$A$114,'Données projet'!$B$114,BY69+BX70-CG69)))</f>
        <v>568.49999999999989</v>
      </c>
      <c r="BZ70" s="14">
        <f>BY70*VLOOKUP('Données projet'!$B$12,Paramètres!$A$1:$I$89,3,0)*VLOOKUP('Données projet'!$B$12,Paramètres!$A$1:$I$89,5,0)</f>
        <v>280.839</v>
      </c>
      <c r="CA70" s="14">
        <f t="shared" si="93"/>
        <v>67.144282813360306</v>
      </c>
      <c r="CB70" s="22">
        <f t="shared" si="64"/>
        <v>606.07088423326923</v>
      </c>
      <c r="CC70" s="62">
        <f t="shared" si="65"/>
        <v>899.40421756660248</v>
      </c>
      <c r="CD70" s="62">
        <f ca="1">AVERAGE(OFFSET($CC$3,0,0,'Données projet'!$E$12+1,1))-AVERAGE(OFFSET($H$3,0,0,'Données projet'!$E$12+1,1))</f>
        <v>426.64691649521097</v>
      </c>
      <c r="CE70" s="62">
        <f t="shared" si="94"/>
        <v>71.485487617222645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38.011999999999993</v>
      </c>
      <c r="D71" s="12">
        <f t="shared" si="86"/>
        <v>11.470174197629985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381.96766047293323</v>
      </c>
      <c r="H71" s="70">
        <f t="shared" si="56"/>
        <v>379.51478672753888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330</v>
      </c>
      <c r="O71" s="14">
        <f>N71*VLOOKUP('Données projet'!$B$9,Paramètres!$A$1:$I$89,3,0)*VLOOKUP('Données projet'!$B$9,Paramètres!$A$1:$I$89,5,0)</f>
        <v>154.44</v>
      </c>
      <c r="P71" s="14">
        <f t="shared" si="87"/>
        <v>39.58587217095549</v>
      </c>
      <c r="Q71" s="22">
        <f t="shared" si="54"/>
        <v>337.92839403108081</v>
      </c>
      <c r="R71" s="62">
        <f t="shared" si="55"/>
        <v>631.26172736441413</v>
      </c>
      <c r="S71" s="62">
        <f ca="1">AVERAGE(OFFSET($R$3,0,0,'Données projet'!$E$9+1,1))-AVERAGE(OFFSET($H$3,0,0,'Données projet'!$E$9+1,1))</f>
        <v>165.12229410621887</v>
      </c>
      <c r="T71" s="62">
        <f t="shared" si="88"/>
        <v>148.17171564653341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1.9895196601282805E-13</v>
      </c>
      <c r="AJ71" s="14">
        <f>AI71*VLOOKUP('Données projet'!$B$10,Paramètres!$A$1:$I$89,3,0)*VLOOKUP('Données projet'!$B$10,Paramètres!$A$1:$I$89,5,0)</f>
        <v>1.8001173884840681E-13</v>
      </c>
      <c r="AK71" s="14">
        <f t="shared" si="89"/>
        <v>2.5254331426407198E-12</v>
      </c>
      <c r="AL71" s="22">
        <f t="shared" si="58"/>
        <v>4.7119831685935622E-12</v>
      </c>
      <c r="AM71" s="62">
        <f t="shared" si="59"/>
        <v>293.33333333333803</v>
      </c>
      <c r="AN71" s="62">
        <f ca="1">AVERAGE(OFFSET($AM$3,0,0,'Données projet'!$E$10+1,1))-AVERAGE(OFFSET($H$3,0,0,'Données projet'!$E$10+1,1))</f>
        <v>249.03969036629979</v>
      </c>
      <c r="AO71" s="62">
        <f t="shared" si="90"/>
        <v>347.8713931923707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3.9281501228232556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3.9281501228232556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443.75000000000006</v>
      </c>
      <c r="BE71" s="14">
        <f>BD71*VLOOKUP('Données projet'!$B$11,Paramètres!$A$1:$I$89,3,0)*VLOOKUP('Données projet'!$B$11,Paramètres!$A$1:$I$89,5,0)</f>
        <v>265.36250000000007</v>
      </c>
      <c r="BF71" s="14">
        <f t="shared" si="91"/>
        <v>63.864084559847946</v>
      </c>
      <c r="BG71" s="22">
        <f t="shared" si="61"/>
        <v>573.40296810840198</v>
      </c>
      <c r="BH71" s="62">
        <f t="shared" si="62"/>
        <v>866.73630144173535</v>
      </c>
      <c r="BI71" s="62">
        <f ca="1">AVERAGE(OFFSET($BH$3,0,0,'Données projet'!$E$11+1,1))-AVERAGE(OFFSET($H$3,0,0,'Données projet'!$E$11+1,1))</f>
        <v>280.57175994295949</v>
      </c>
      <c r="BJ71" s="62">
        <f t="shared" si="92"/>
        <v>216.69635818716841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0.84308626739130399</v>
      </c>
      <c r="BR71" s="23">
        <f>EXP(-LN(2)/2)*BR70+(1-EXP(-LN(2)/2))/(LN(2)/2)*BL71*BO71*VLOOKUP('Données projet'!$B$11,Paramètres!$A$1:$I$89,3,0)*0.475*44/12</f>
        <v>4.0298959141421132E-5</v>
      </c>
      <c r="BS71" s="24">
        <f t="shared" si="63"/>
        <v>0.84312656635044536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24.5</v>
      </c>
      <c r="BY71" s="13">
        <f>IF('Données projet'!$A$114&gt;35,BY70+BX71-CG70,IF(A71&lt;'Données projet'!$A$114,$BV$205^A71,IF(A71='Données projet'!$A$114,'Données projet'!$B$114,BY70+BX71-CG70)))</f>
        <v>592.99999999999989</v>
      </c>
      <c r="BZ71" s="14">
        <f>BY71*VLOOKUP('Données projet'!$B$12,Paramètres!$A$1:$I$89,3,0)*VLOOKUP('Données projet'!$B$12,Paramètres!$A$1:$I$89,5,0)</f>
        <v>292.94199999999995</v>
      </c>
      <c r="CA71" s="14">
        <f t="shared" si="93"/>
        <v>69.694791629766996</v>
      </c>
      <c r="CB71" s="22">
        <f t="shared" si="64"/>
        <v>631.59241208851074</v>
      </c>
      <c r="CC71" s="62">
        <f t="shared" si="65"/>
        <v>924.92574542184411</v>
      </c>
      <c r="CD71" s="62">
        <f ca="1">AVERAGE(OFFSET($CC$3,0,0,'Données projet'!$E$12+1,1))-AVERAGE(OFFSET($H$3,0,0,'Données projet'!$E$12+1,1))</f>
        <v>426.64691649521097</v>
      </c>
      <c r="CE71" s="62">
        <f t="shared" si="94"/>
        <v>71.485487617222645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38.570999999999991</v>
      </c>
      <c r="D72" s="12">
        <f t="shared" si="86"/>
        <v>11.619092118500239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387.43229003754567</v>
      </c>
      <c r="H72" s="70">
        <f t="shared" si="56"/>
        <v>380.74774377305454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337.5</v>
      </c>
      <c r="O72" s="14">
        <f>N72*VLOOKUP('Données projet'!$B$9,Paramètres!$A$1:$I$89,3,0)*VLOOKUP('Données projet'!$B$9,Paramètres!$A$1:$I$89,5,0)</f>
        <v>157.95000000000002</v>
      </c>
      <c r="P72" s="14">
        <f t="shared" si="87"/>
        <v>40.379785735878301</v>
      </c>
      <c r="Q72" s="22">
        <f t="shared" si="54"/>
        <v>345.42437682332138</v>
      </c>
      <c r="R72" s="62">
        <f t="shared" si="55"/>
        <v>638.75771015665464</v>
      </c>
      <c r="S72" s="62">
        <f ca="1">AVERAGE(OFFSET($R$3,0,0,'Données projet'!$E$9+1,1))-AVERAGE(OFFSET($H$3,0,0,'Données projet'!$E$9+1,1))</f>
        <v>165.12229410621887</v>
      </c>
      <c r="T72" s="62">
        <f t="shared" si="88"/>
        <v>148.17171564653341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1.9895196601282805E-13</v>
      </c>
      <c r="AJ72" s="14">
        <f>AI72*VLOOKUP('Données projet'!$B$10,Paramètres!$A$1:$I$89,3,0)*VLOOKUP('Données projet'!$B$10,Paramètres!$A$1:$I$89,5,0)</f>
        <v>1.8001173884840681E-13</v>
      </c>
      <c r="AK72" s="14">
        <f t="shared" si="89"/>
        <v>2.5254331426407198E-12</v>
      </c>
      <c r="AL72" s="22">
        <f t="shared" si="58"/>
        <v>4.7119831685935622E-12</v>
      </c>
      <c r="AM72" s="62">
        <f t="shared" si="59"/>
        <v>293.33333333333803</v>
      </c>
      <c r="AN72" s="62">
        <f ca="1">AVERAGE(OFFSET($AM$3,0,0,'Données projet'!$E$10+1,1))-AVERAGE(OFFSET($H$3,0,0,'Données projet'!$E$10+1,1))</f>
        <v>249.03969036629979</v>
      </c>
      <c r="AO72" s="62">
        <f t="shared" si="90"/>
        <v>347.8713931923707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3.8511214948496875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3.8511214948496875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456.62500000000006</v>
      </c>
      <c r="BE72" s="14">
        <f>BD72*VLOOKUP('Données projet'!$B$11,Paramètres!$A$1:$I$89,3,0)*VLOOKUP('Données projet'!$B$11,Paramètres!$A$1:$I$89,5,0)</f>
        <v>273.06175000000007</v>
      </c>
      <c r="BF72" s="14">
        <f t="shared" si="91"/>
        <v>65.49862286970442</v>
      </c>
      <c r="BG72" s="22">
        <f t="shared" si="61"/>
        <v>589.65931608140193</v>
      </c>
      <c r="BH72" s="62">
        <f t="shared" si="62"/>
        <v>882.9926494147353</v>
      </c>
      <c r="BI72" s="62">
        <f ca="1">AVERAGE(OFFSET($BH$3,0,0,'Données projet'!$E$11+1,1))-AVERAGE(OFFSET($H$3,0,0,'Données projet'!$E$11+1,1))</f>
        <v>280.57175994295949</v>
      </c>
      <c r="BJ72" s="62">
        <f t="shared" si="92"/>
        <v>216.69635818716841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0.82003202907350892</v>
      </c>
      <c r="BR72" s="23">
        <f>EXP(-LN(2)/2)*BR71+(1-EXP(-LN(2)/2))/(LN(2)/2)*BL72*BO72*VLOOKUP('Données projet'!$B$11,Paramètres!$A$1:$I$89,3,0)*0.475*44/12</f>
        <v>2.8495667283658492E-5</v>
      </c>
      <c r="BS72" s="24">
        <f t="shared" si="63"/>
        <v>0.82006052474079261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24.5</v>
      </c>
      <c r="BY72" s="13">
        <f>IF('Données projet'!$A$114&gt;35,BY71+BX72-CG71,IF(A72&lt;'Données projet'!$A$114,$BV$205^A72,IF(A72='Données projet'!$A$114,'Données projet'!$B$114,BY71+BX72-CG71)))</f>
        <v>617.49999999999989</v>
      </c>
      <c r="BZ72" s="14">
        <f>BY72*VLOOKUP('Données projet'!$B$12,Paramètres!$A$1:$I$89,3,0)*VLOOKUP('Données projet'!$B$12,Paramètres!$A$1:$I$89,5,0)</f>
        <v>305.04499999999996</v>
      </c>
      <c r="CA72" s="14">
        <f t="shared" si="93"/>
        <v>72.233060547042427</v>
      </c>
      <c r="CB72" s="22">
        <f t="shared" si="64"/>
        <v>657.09262211943212</v>
      </c>
      <c r="CC72" s="62">
        <f t="shared" si="65"/>
        <v>950.42595545276549</v>
      </c>
      <c r="CD72" s="62">
        <f ca="1">AVERAGE(OFFSET($CC$3,0,0,'Données projet'!$E$12+1,1))-AVERAGE(OFFSET($H$3,0,0,'Données projet'!$E$12+1,1))</f>
        <v>426.64691649521097</v>
      </c>
      <c r="CE72" s="62">
        <f t="shared" si="94"/>
        <v>71.485487617222645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39.129999999999988</v>
      </c>
      <c r="D73" s="12">
        <f t="shared" si="86"/>
        <v>11.767759023799293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392.89498193809976</v>
      </c>
      <c r="H73" s="70">
        <f t="shared" si="56"/>
        <v>381.98026363311709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345</v>
      </c>
      <c r="O73" s="14">
        <f>N73*VLOOKUP('Données projet'!$B$9,Paramètres!$A$1:$I$89,3,0)*VLOOKUP('Données projet'!$B$9,Paramètres!$A$1:$I$89,5,0)</f>
        <v>161.45999999999998</v>
      </c>
      <c r="P73" s="14">
        <f t="shared" si="87"/>
        <v>41.171648186302534</v>
      </c>
      <c r="Q73" s="22">
        <f t="shared" si="54"/>
        <v>352.9167872578102</v>
      </c>
      <c r="R73" s="62">
        <f t="shared" si="55"/>
        <v>646.25012059114351</v>
      </c>
      <c r="S73" s="62">
        <f ca="1">AVERAGE(OFFSET($R$3,0,0,'Données projet'!$E$9+1,1))-AVERAGE(OFFSET($H$3,0,0,'Données projet'!$E$9+1,1))</f>
        <v>165.12229410621887</v>
      </c>
      <c r="T73" s="62">
        <f t="shared" si="88"/>
        <v>148.17171564653341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1.9895196601282805E-13</v>
      </c>
      <c r="AJ73" s="14">
        <f>AI73*VLOOKUP('Données projet'!$B$10,Paramètres!$A$1:$I$89,3,0)*VLOOKUP('Données projet'!$B$10,Paramètres!$A$1:$I$89,5,0)</f>
        <v>1.8001173884840681E-13</v>
      </c>
      <c r="AK73" s="14">
        <f t="shared" si="89"/>
        <v>2.5254331426407198E-12</v>
      </c>
      <c r="AL73" s="22">
        <f t="shared" si="58"/>
        <v>4.7119831685935622E-12</v>
      </c>
      <c r="AM73" s="62">
        <f t="shared" si="59"/>
        <v>293.33333333333803</v>
      </c>
      <c r="AN73" s="62">
        <f ca="1">AVERAGE(OFFSET($AM$3,0,0,'Données projet'!$E$10+1,1))-AVERAGE(OFFSET($H$3,0,0,'Données projet'!$E$10+1,1))</f>
        <v>249.03969036629979</v>
      </c>
      <c r="AO73" s="62">
        <f t="shared" si="90"/>
        <v>347.8713931923707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3.7756033512878573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3.7756033512878573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469.50000000000006</v>
      </c>
      <c r="BE73" s="14">
        <f>BD73*VLOOKUP('Données projet'!$B$11,Paramètres!$A$1:$I$89,3,0)*VLOOKUP('Données projet'!$B$11,Paramètres!$A$1:$I$89,5,0)</f>
        <v>280.76100000000002</v>
      </c>
      <c r="BF73" s="14">
        <f t="shared" si="91"/>
        <v>67.12780464438184</v>
      </c>
      <c r="BG73" s="22">
        <f t="shared" si="61"/>
        <v>605.90633475563175</v>
      </c>
      <c r="BH73" s="62">
        <f t="shared" si="62"/>
        <v>899.23966808896512</v>
      </c>
      <c r="BI73" s="62">
        <f ca="1">AVERAGE(OFFSET($BH$3,0,0,'Données projet'!$E$11+1,1))-AVERAGE(OFFSET($H$3,0,0,'Données projet'!$E$11+1,1))</f>
        <v>280.57175994295949</v>
      </c>
      <c r="BJ73" s="62">
        <f t="shared" si="92"/>
        <v>216.69635818716841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0.79760821011488359</v>
      </c>
      <c r="BR73" s="23">
        <f>EXP(-LN(2)/2)*BR72+(1-EXP(-LN(2)/2))/(LN(2)/2)*BL73*BO73*VLOOKUP('Données projet'!$B$11,Paramètres!$A$1:$I$89,3,0)*0.475*44/12</f>
        <v>2.0149479570710566E-5</v>
      </c>
      <c r="BS73" s="24">
        <f t="shared" si="63"/>
        <v>0.79762835959445433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642</v>
      </c>
      <c r="BW73" s="13">
        <f>VLOOKUP(A73,'Données projet'!$A$113:$I$133,9,0)</f>
        <v>24.5</v>
      </c>
      <c r="BX73" s="13">
        <f t="array" ref="BX73">INDEX(BW:BW,MIN(IF(ISNUMBER(BW73:BW269),ROW(BW73:BW269),"")))</f>
        <v>24.5</v>
      </c>
      <c r="BY73" s="13">
        <f>IF('Données projet'!$A$114&gt;35,BY72+BX73-CG72,IF(A73&lt;'Données projet'!$A$114,$BV$205^A73,IF(A73='Données projet'!$A$114,'Données projet'!$B$114,BY72+BX73-CG72)))</f>
        <v>641.99999999999989</v>
      </c>
      <c r="BZ73" s="14">
        <f>BY73*VLOOKUP('Données projet'!$B$12,Paramètres!$A$1:$I$89,3,0)*VLOOKUP('Données projet'!$B$12,Paramètres!$A$1:$I$89,5,0)</f>
        <v>317.14799999999997</v>
      </c>
      <c r="CA73" s="14">
        <f t="shared" si="93"/>
        <v>74.759630763643173</v>
      </c>
      <c r="CB73" s="22">
        <f t="shared" si="64"/>
        <v>682.57245691334526</v>
      </c>
      <c r="CC73" s="62">
        <f t="shared" si="65"/>
        <v>975.90579024667863</v>
      </c>
      <c r="CD73" s="62">
        <f ca="1">AVERAGE(OFFSET($CC$3,0,0,'Données projet'!$E$12+1,1))-AVERAGE(OFFSET($H$3,0,0,'Données projet'!$E$12+1,1))</f>
        <v>426.64691649521097</v>
      </c>
      <c r="CE73" s="62">
        <f t="shared" si="94"/>
        <v>71.485487617222645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100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39.688999999999986</v>
      </c>
      <c r="D74" s="12">
        <f t="shared" si="86"/>
        <v>11.916178913814131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398.35576705400371</v>
      </c>
      <c r="H74" s="70">
        <f t="shared" si="56"/>
        <v>383.21235327489291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283.7</v>
      </c>
      <c r="O74" s="14">
        <f>N74*VLOOKUP('Données projet'!$B$9,Paramètres!$A$1:$I$89,3,0)*VLOOKUP('Données projet'!$B$9,Paramètres!$A$1:$I$89,5,0)</f>
        <v>132.77160000000001</v>
      </c>
      <c r="P74" s="14">
        <f t="shared" si="87"/>
        <v>34.63600628318656</v>
      </c>
      <c r="Q74" s="22">
        <f t="shared" si="54"/>
        <v>291.56824760988326</v>
      </c>
      <c r="R74" s="62">
        <f t="shared" si="55"/>
        <v>584.90158094321657</v>
      </c>
      <c r="S74" s="62">
        <f ca="1">AVERAGE(OFFSET($R$3,0,0,'Données projet'!$E$9+1,1))-AVERAGE(OFFSET($H$3,0,0,'Données projet'!$E$9+1,1))</f>
        <v>165.12229410621887</v>
      </c>
      <c r="T74" s="62">
        <f t="shared" si="88"/>
        <v>148.17171564653341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1.9895196601282805E-13</v>
      </c>
      <c r="AJ74" s="14">
        <f>AI74*VLOOKUP('Données projet'!$B$10,Paramètres!$A$1:$I$89,3,0)*VLOOKUP('Données projet'!$B$10,Paramètres!$A$1:$I$89,5,0)</f>
        <v>1.8001173884840681E-13</v>
      </c>
      <c r="AK74" s="14">
        <f t="shared" si="89"/>
        <v>2.5254331426407198E-12</v>
      </c>
      <c r="AL74" s="22">
        <f t="shared" si="58"/>
        <v>4.7119831685935622E-12</v>
      </c>
      <c r="AM74" s="62">
        <f t="shared" si="59"/>
        <v>293.33333333333803</v>
      </c>
      <c r="AN74" s="62">
        <f ca="1">AVERAGE(OFFSET($AM$3,0,0,'Données projet'!$E$10+1,1))-AVERAGE(OFFSET($H$3,0,0,'Données projet'!$E$10+1,1))</f>
        <v>249.03969036629979</v>
      </c>
      <c r="AO74" s="62">
        <f t="shared" si="90"/>
        <v>347.8713931923707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3.7015660724597552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3.7015660724597552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482.37500000000006</v>
      </c>
      <c r="BE74" s="14">
        <f>BD74*VLOOKUP('Données projet'!$B$11,Paramètres!$A$1:$I$89,3,0)*VLOOKUP('Données projet'!$B$11,Paramètres!$A$1:$I$89,5,0)</f>
        <v>288.46025000000009</v>
      </c>
      <c r="BF74" s="14">
        <f t="shared" si="91"/>
        <v>68.75179365327233</v>
      </c>
      <c r="BG74" s="22">
        <f t="shared" si="61"/>
        <v>622.14430936278279</v>
      </c>
      <c r="BH74" s="62">
        <f t="shared" si="62"/>
        <v>915.47764269611616</v>
      </c>
      <c r="BI74" s="62">
        <f ca="1">AVERAGE(OFFSET($BH$3,0,0,'Données projet'!$E$11+1,1))-AVERAGE(OFFSET($H$3,0,0,'Données projet'!$E$11+1,1))</f>
        <v>280.57175994295949</v>
      </c>
      <c r="BJ74" s="62">
        <f t="shared" si="92"/>
        <v>216.69635818716841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0.77579757166489927</v>
      </c>
      <c r="BR74" s="23">
        <f>EXP(-LN(2)/2)*BR73+(1-EXP(-LN(2)/2))/(LN(2)/2)*BL74*BO74*VLOOKUP('Données projet'!$B$11,Paramètres!$A$1:$I$89,3,0)*0.475*44/12</f>
        <v>1.4247833641829246E-5</v>
      </c>
      <c r="BS74" s="24">
        <f t="shared" si="63"/>
        <v>0.77581181949854106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20.3</v>
      </c>
      <c r="BY74" s="13">
        <f>IF('Données projet'!$A$114&gt;35,BY73+BX74-CG73,IF(A74&lt;'Données projet'!$A$114,$BV$205^A74,IF(A74='Données projet'!$A$114,'Données projet'!$B$114,BY73+BX74-CG73)))</f>
        <v>562.29999999999984</v>
      </c>
      <c r="BZ74" s="14">
        <f>BY74*VLOOKUP('Données projet'!$B$12,Paramètres!$A$1:$I$89,3,0)*VLOOKUP('Données projet'!$B$12,Paramètres!$A$1:$I$89,5,0)</f>
        <v>277.77619999999996</v>
      </c>
      <c r="CA74" s="14">
        <f t="shared" si="93"/>
        <v>66.496838142099634</v>
      </c>
      <c r="CB74" s="22">
        <f t="shared" si="64"/>
        <v>599.60887476415689</v>
      </c>
      <c r="CC74" s="62">
        <f t="shared" si="65"/>
        <v>892.94220809749027</v>
      </c>
      <c r="CD74" s="62">
        <f ca="1">AVERAGE(OFFSET($CC$3,0,0,'Données projet'!$E$12+1,1))-AVERAGE(OFFSET($H$3,0,0,'Données projet'!$E$12+1,1))</f>
        <v>426.64691649521097</v>
      </c>
      <c r="CE74" s="62">
        <f t="shared" si="94"/>
        <v>71.485487617222645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40.247999999999983</v>
      </c>
      <c r="D75" s="12">
        <f t="shared" si="86"/>
        <v>12.064355669675358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403.81467534486228</v>
      </c>
      <c r="H75" s="70">
        <f t="shared" si="56"/>
        <v>384.44401945801786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291.39999999999998</v>
      </c>
      <c r="O75" s="14">
        <f>N75*VLOOKUP('Données projet'!$B$9,Paramètres!$A$1:$I$89,3,0)*VLOOKUP('Données projet'!$B$9,Paramètres!$A$1:$I$89,5,0)</f>
        <v>136.37519999999998</v>
      </c>
      <c r="P75" s="14">
        <f t="shared" si="87"/>
        <v>35.465351191683979</v>
      </c>
      <c r="Q75" s="22">
        <f t="shared" si="54"/>
        <v>299.28895999218292</v>
      </c>
      <c r="R75" s="62">
        <f t="shared" si="55"/>
        <v>592.62229332551624</v>
      </c>
      <c r="S75" s="62">
        <f ca="1">AVERAGE(OFFSET($R$3,0,0,'Données projet'!$E$9+1,1))-AVERAGE(OFFSET($H$3,0,0,'Données projet'!$E$9+1,1))</f>
        <v>165.12229410621887</v>
      </c>
      <c r="T75" s="62">
        <f t="shared" si="88"/>
        <v>148.17171564653341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1.9895196601282805E-13</v>
      </c>
      <c r="AJ75" s="14">
        <f>AI75*VLOOKUP('Données projet'!$B$10,Paramètres!$A$1:$I$89,3,0)*VLOOKUP('Données projet'!$B$10,Paramètres!$A$1:$I$89,5,0)</f>
        <v>1.8001173884840681E-13</v>
      </c>
      <c r="AK75" s="14">
        <f t="shared" si="89"/>
        <v>2.5254331426407198E-12</v>
      </c>
      <c r="AL75" s="22">
        <f t="shared" si="58"/>
        <v>4.7119831685935622E-12</v>
      </c>
      <c r="AM75" s="62">
        <f t="shared" si="59"/>
        <v>293.33333333333803</v>
      </c>
      <c r="AN75" s="62">
        <f ca="1">AVERAGE(OFFSET($AM$3,0,0,'Données projet'!$E$10+1,1))-AVERAGE(OFFSET($H$3,0,0,'Données projet'!$E$10+1,1))</f>
        <v>249.03969036629979</v>
      </c>
      <c r="AO75" s="62">
        <f t="shared" si="90"/>
        <v>347.8713931923707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3.6289806195111911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3.6289806195111911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495.25000000000006</v>
      </c>
      <c r="BE75" s="14">
        <f>BD75*VLOOKUP('Données projet'!$B$11,Paramètres!$A$1:$I$89,3,0)*VLOOKUP('Données projet'!$B$11,Paramètres!$A$1:$I$89,5,0)</f>
        <v>296.15950000000004</v>
      </c>
      <c r="BF75" s="14">
        <f t="shared" si="91"/>
        <v>70.370744425720076</v>
      </c>
      <c r="BG75" s="22">
        <f t="shared" si="61"/>
        <v>638.37350904146251</v>
      </c>
      <c r="BH75" s="62">
        <f t="shared" si="62"/>
        <v>931.70684237479577</v>
      </c>
      <c r="BI75" s="62">
        <f ca="1">AVERAGE(OFFSET($BH$3,0,0,'Données projet'!$E$11+1,1))-AVERAGE(OFFSET($H$3,0,0,'Données projet'!$E$11+1,1))</f>
        <v>280.57175994295949</v>
      </c>
      <c r="BJ75" s="62">
        <f t="shared" si="92"/>
        <v>216.69635818716841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0.75458334627030144</v>
      </c>
      <c r="BR75" s="23">
        <f>EXP(-LN(2)/2)*BR74+(1-EXP(-LN(2)/2))/(LN(2)/2)*BL75*BO75*VLOOKUP('Données projet'!$B$11,Paramètres!$A$1:$I$89,3,0)*0.475*44/12</f>
        <v>1.0074739785355283E-5</v>
      </c>
      <c r="BS75" s="24">
        <f t="shared" si="63"/>
        <v>0.75459342101008675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20.3</v>
      </c>
      <c r="BY75" s="13">
        <f>IF('Données projet'!$A$114&gt;35,BY74+BX75-CG74,IF(A75&lt;'Données projet'!$A$114,$BV$205^A75,IF(A75='Données projet'!$A$114,'Données projet'!$B$114,BY74+BX75-CG74)))</f>
        <v>582.5999999999998</v>
      </c>
      <c r="BZ75" s="14">
        <f>BY75*VLOOKUP('Données projet'!$B$12,Paramètres!$A$1:$I$89,3,0)*VLOOKUP('Données projet'!$B$12,Paramètres!$A$1:$I$89,5,0)</f>
        <v>287.80439999999993</v>
      </c>
      <c r="CA75" s="14">
        <f t="shared" si="93"/>
        <v>68.613654814712916</v>
      </c>
      <c r="CB75" s="22">
        <f t="shared" si="64"/>
        <v>620.76144546895819</v>
      </c>
      <c r="CC75" s="62">
        <f t="shared" si="65"/>
        <v>914.09477880229156</v>
      </c>
      <c r="CD75" s="62">
        <f ca="1">AVERAGE(OFFSET($CC$3,0,0,'Données projet'!$E$12+1,1))-AVERAGE(OFFSET($H$3,0,0,'Données projet'!$E$12+1,1))</f>
        <v>426.64691649521097</v>
      </c>
      <c r="CE75" s="62">
        <f t="shared" si="94"/>
        <v>71.485487617222645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40.806999999999981</v>
      </c>
      <c r="D76" s="12">
        <f t="shared" si="86"/>
        <v>12.212293058511113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409.27173589026114</v>
      </c>
      <c r="H76" s="70">
        <f t="shared" si="56"/>
        <v>385.67526874357344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299.09999999999997</v>
      </c>
      <c r="O76" s="14">
        <f>N76*VLOOKUP('Données projet'!$B$9,Paramètres!$A$1:$I$89,3,0)*VLOOKUP('Données projet'!$B$9,Paramètres!$A$1:$I$89,5,0)</f>
        <v>139.97879999999998</v>
      </c>
      <c r="P76" s="14">
        <f t="shared" si="87"/>
        <v>36.292148829903653</v>
      </c>
      <c r="Q76" s="22">
        <f t="shared" si="54"/>
        <v>307.00523587874881</v>
      </c>
      <c r="R76" s="62">
        <f t="shared" si="55"/>
        <v>600.33856921208212</v>
      </c>
      <c r="S76" s="62">
        <f ca="1">AVERAGE(OFFSET($R$3,0,0,'Données projet'!$E$9+1,1))-AVERAGE(OFFSET($H$3,0,0,'Données projet'!$E$9+1,1))</f>
        <v>165.12229410621887</v>
      </c>
      <c r="T76" s="62">
        <f t="shared" si="88"/>
        <v>148.17171564653341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1.9895196601282805E-13</v>
      </c>
      <c r="AJ76" s="14">
        <f>AI76*VLOOKUP('Données projet'!$B$10,Paramètres!$A$1:$I$89,3,0)*VLOOKUP('Données projet'!$B$10,Paramètres!$A$1:$I$89,5,0)</f>
        <v>1.8001173884840681E-13</v>
      </c>
      <c r="AK76" s="14">
        <f t="shared" si="89"/>
        <v>2.5254331426407198E-12</v>
      </c>
      <c r="AL76" s="22">
        <f t="shared" si="58"/>
        <v>4.7119831685935622E-12</v>
      </c>
      <c r="AM76" s="62">
        <f t="shared" si="59"/>
        <v>293.33333333333803</v>
      </c>
      <c r="AN76" s="62">
        <f ca="1">AVERAGE(OFFSET($AM$3,0,0,'Données projet'!$E$10+1,1))-AVERAGE(OFFSET($H$3,0,0,'Données projet'!$E$10+1,1))</f>
        <v>249.03969036629979</v>
      </c>
      <c r="AO76" s="62">
        <f t="shared" si="90"/>
        <v>347.8713931923707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3.5578185230221937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3.5578185230221937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508.12500000000006</v>
      </c>
      <c r="BE76" s="14">
        <f>BD76*VLOOKUP('Données projet'!$B$11,Paramètres!$A$1:$I$89,3,0)*VLOOKUP('Données projet'!$B$11,Paramètres!$A$1:$I$89,5,0)</f>
        <v>303.85875000000004</v>
      </c>
      <c r="BF76" s="14">
        <f t="shared" si="91"/>
        <v>71.984802998830631</v>
      </c>
      <c r="BG76" s="22">
        <f t="shared" si="61"/>
        <v>654.59418813963009</v>
      </c>
      <c r="BH76" s="62">
        <f t="shared" si="62"/>
        <v>947.92752147296346</v>
      </c>
      <c r="BI76" s="62">
        <f ca="1">AVERAGE(OFFSET($BH$3,0,0,'Données projet'!$E$11+1,1))-AVERAGE(OFFSET($H$3,0,0,'Données projet'!$E$11+1,1))</f>
        <v>280.57175994295949</v>
      </c>
      <c r="BJ76" s="62">
        <f t="shared" si="92"/>
        <v>216.69635818716841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0.73394922498472648</v>
      </c>
      <c r="BR76" s="23">
        <f>EXP(-LN(2)/2)*BR75+(1-EXP(-LN(2)/2))/(LN(2)/2)*BL76*BO76*VLOOKUP('Données projet'!$B$11,Paramètres!$A$1:$I$89,3,0)*0.475*44/12</f>
        <v>7.1239168209146229E-6</v>
      </c>
      <c r="BS76" s="24">
        <f t="shared" si="63"/>
        <v>0.73395634890154737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20.3</v>
      </c>
      <c r="BY76" s="13">
        <f>IF('Données projet'!$A$114&gt;35,BY75+BX76-CG75,IF(A76&lt;'Données projet'!$A$114,$BV$205^A76,IF(A76='Données projet'!$A$114,'Données projet'!$B$114,BY75+BX76-CG75)))</f>
        <v>602.89999999999975</v>
      </c>
      <c r="BZ76" s="14">
        <f>BY76*VLOOKUP('Données projet'!$B$12,Paramètres!$A$1:$I$89,3,0)*VLOOKUP('Données projet'!$B$12,Paramètres!$A$1:$I$89,5,0)</f>
        <v>297.8325999999999</v>
      </c>
      <c r="CA76" s="14">
        <f t="shared" si="93"/>
        <v>70.721901617693163</v>
      </c>
      <c r="CB76" s="22">
        <f t="shared" si="64"/>
        <v>641.89909031748209</v>
      </c>
      <c r="CC76" s="62">
        <f t="shared" si="65"/>
        <v>935.23242365081546</v>
      </c>
      <c r="CD76" s="62">
        <f ca="1">AVERAGE(OFFSET($CC$3,0,0,'Données projet'!$E$12+1,1))-AVERAGE(OFFSET($H$3,0,0,'Données projet'!$E$12+1,1))</f>
        <v>426.64691649521097</v>
      </c>
      <c r="CE76" s="62">
        <f t="shared" si="94"/>
        <v>71.485487617222645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41.365999999999978</v>
      </c>
      <c r="D77" s="12">
        <f t="shared" si="86"/>
        <v>12.359994738310659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414.72697692731026</v>
      </c>
      <c r="H77" s="70">
        <f t="shared" si="56"/>
        <v>386.90610750255769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306.79999999999995</v>
      </c>
      <c r="O77" s="14">
        <f>N77*VLOOKUP('Données projet'!$B$9,Paramètres!$A$1:$I$89,3,0)*VLOOKUP('Données projet'!$B$9,Paramètres!$A$1:$I$89,5,0)</f>
        <v>143.58239999999998</v>
      </c>
      <c r="P77" s="14">
        <f t="shared" si="87"/>
        <v>37.116472314400653</v>
      </c>
      <c r="Q77" s="22">
        <f t="shared" si="54"/>
        <v>314.71720261424775</v>
      </c>
      <c r="R77" s="62">
        <f t="shared" si="55"/>
        <v>608.05053594758101</v>
      </c>
      <c r="S77" s="62">
        <f ca="1">AVERAGE(OFFSET($R$3,0,0,'Données projet'!$E$9+1,1))-AVERAGE(OFFSET($H$3,0,0,'Données projet'!$E$9+1,1))</f>
        <v>165.12229410621887</v>
      </c>
      <c r="T77" s="62">
        <f t="shared" si="88"/>
        <v>148.17171564653341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1.9895196601282805E-13</v>
      </c>
      <c r="AJ77" s="14">
        <f>AI77*VLOOKUP('Données projet'!$B$10,Paramètres!$A$1:$I$89,3,0)*VLOOKUP('Données projet'!$B$10,Paramètres!$A$1:$I$89,5,0)</f>
        <v>1.8001173884840681E-13</v>
      </c>
      <c r="AK77" s="14">
        <f t="shared" si="89"/>
        <v>2.5254331426407198E-12</v>
      </c>
      <c r="AL77" s="22">
        <f t="shared" si="58"/>
        <v>4.7119831685935622E-12</v>
      </c>
      <c r="AM77" s="62">
        <f t="shared" si="59"/>
        <v>293.33333333333803</v>
      </c>
      <c r="AN77" s="62">
        <f ca="1">AVERAGE(OFFSET($AM$3,0,0,'Données projet'!$E$10+1,1))-AVERAGE(OFFSET($H$3,0,0,'Données projet'!$E$10+1,1))</f>
        <v>249.03969036629979</v>
      </c>
      <c r="AO77" s="62">
        <f t="shared" si="90"/>
        <v>347.8713931923707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3.4880518718407525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3.4880518718407525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521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521</v>
      </c>
      <c r="BE77" s="14">
        <f>BD77*VLOOKUP('Données projet'!$B$11,Paramètres!$A$1:$I$89,3,0)*VLOOKUP('Données projet'!$B$11,Paramètres!$A$1:$I$89,5,0)</f>
        <v>311.55799999999999</v>
      </c>
      <c r="BF77" s="14">
        <f t="shared" si="91"/>
        <v>73.594107587354372</v>
      </c>
      <c r="BG77" s="22">
        <f t="shared" si="61"/>
        <v>670.80658738130876</v>
      </c>
      <c r="BH77" s="62">
        <f t="shared" si="62"/>
        <v>964.13992071464213</v>
      </c>
      <c r="BI77" s="62">
        <f ca="1">AVERAGE(OFFSET($BH$3,0,0,'Données projet'!$E$11+1,1))-AVERAGE(OFFSET($H$3,0,0,'Données projet'!$E$11+1,1))</f>
        <v>280.57175994295949</v>
      </c>
      <c r="BJ77" s="62">
        <f t="shared" si="92"/>
        <v>216.69635818716841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0.71387934483080684</v>
      </c>
      <c r="BR77" s="23">
        <f>EXP(-LN(2)/2)*BR76+(1-EXP(-LN(2)/2))/(LN(2)/2)*BL77*BO77*VLOOKUP('Données projet'!$B$11,Paramètres!$A$1:$I$89,3,0)*0.475*44/12</f>
        <v>5.0373698926776415E-6</v>
      </c>
      <c r="BS77" s="24">
        <f t="shared" si="63"/>
        <v>0.7138843822006995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20.3</v>
      </c>
      <c r="BY77" s="13">
        <f>IF('Données projet'!$A$114&gt;35,BY76+BX77-CG76,IF(A77&lt;'Données projet'!$A$114,$BV$205^A77,IF(A77='Données projet'!$A$114,'Données projet'!$B$114,BY76+BX77-CG76)))</f>
        <v>623.1999999999997</v>
      </c>
      <c r="BZ77" s="14">
        <f>BY77*VLOOKUP('Données projet'!$B$12,Paramètres!$A$1:$I$89,3,0)*VLOOKUP('Données projet'!$B$12,Paramètres!$A$1:$I$89,5,0)</f>
        <v>307.86079999999987</v>
      </c>
      <c r="CA77" s="14">
        <f t="shared" si="93"/>
        <v>72.821900184155268</v>
      </c>
      <c r="CB77" s="22">
        <f t="shared" si="64"/>
        <v>663.02236948740347</v>
      </c>
      <c r="CC77" s="62">
        <f t="shared" si="65"/>
        <v>956.35570282073672</v>
      </c>
      <c r="CD77" s="62">
        <f ca="1">AVERAGE(OFFSET($CC$3,0,0,'Données projet'!$E$12+1,1))-AVERAGE(OFFSET($H$3,0,0,'Données projet'!$E$12+1,1))</f>
        <v>426.64691649521097</v>
      </c>
      <c r="CE77" s="62">
        <f t="shared" si="94"/>
        <v>71.485487617222645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41.924999999999976</v>
      </c>
      <c r="D78" s="12">
        <f t="shared" si="86"/>
        <v>12.507464262517514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420.18042588609995</v>
      </c>
      <c r="H78" s="70">
        <f t="shared" si="56"/>
        <v>388.13654192388464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314.49999999999994</v>
      </c>
      <c r="O78" s="14">
        <f>N78*VLOOKUP('Données projet'!$B$9,Paramètres!$A$1:$I$89,3,0)*VLOOKUP('Données projet'!$B$9,Paramètres!$A$1:$I$89,5,0)</f>
        <v>147.18599999999998</v>
      </c>
      <c r="P78" s="14">
        <f t="shared" si="87"/>
        <v>37.938390882441361</v>
      </c>
      <c r="Q78" s="22">
        <f t="shared" si="54"/>
        <v>322.42498078691864</v>
      </c>
      <c r="R78" s="62">
        <f t="shared" si="55"/>
        <v>615.75831412025195</v>
      </c>
      <c r="S78" s="62">
        <f ca="1">AVERAGE(OFFSET($R$3,0,0,'Données projet'!$E$9+1,1))-AVERAGE(OFFSET($H$3,0,0,'Données projet'!$E$9+1,1))</f>
        <v>165.12229410621887</v>
      </c>
      <c r="T78" s="62">
        <f t="shared" si="88"/>
        <v>148.17171564653341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1.9895196601282805E-13</v>
      </c>
      <c r="AJ78" s="14">
        <f>AI78*VLOOKUP('Données projet'!$B$10,Paramètres!$A$1:$I$89,3,0)*VLOOKUP('Données projet'!$B$10,Paramètres!$A$1:$I$89,5,0)</f>
        <v>1.8001173884840681E-13</v>
      </c>
      <c r="AK78" s="14">
        <f t="shared" si="89"/>
        <v>2.5254331426407198E-12</v>
      </c>
      <c r="AL78" s="22">
        <f t="shared" si="58"/>
        <v>4.7119831685935622E-12</v>
      </c>
      <c r="AM78" s="62">
        <f t="shared" si="59"/>
        <v>293.33333333333803</v>
      </c>
      <c r="AN78" s="62">
        <f ca="1">AVERAGE(OFFSET($AM$3,0,0,'Données projet'!$E$10+1,1))-AVERAGE(OFFSET($H$3,0,0,'Données projet'!$E$10+1,1))</f>
        <v>249.03969036629979</v>
      </c>
      <c r="AO78" s="62">
        <f t="shared" si="90"/>
        <v>347.8713931923707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3.419653302135524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3.419653302135524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492.875</v>
      </c>
      <c r="BE78" s="14">
        <f>BD78*VLOOKUP('Données projet'!$B$11,Paramètres!$A$1:$I$89,3,0)*VLOOKUP('Données projet'!$B$11,Paramètres!$A$1:$I$89,5,0)</f>
        <v>294.73925000000003</v>
      </c>
      <c r="BF78" s="14">
        <f t="shared" si="91"/>
        <v>70.072475236035828</v>
      </c>
      <c r="BG78" s="22">
        <f t="shared" si="61"/>
        <v>635.38042145276233</v>
      </c>
      <c r="BH78" s="62">
        <f t="shared" si="62"/>
        <v>928.71375478609571</v>
      </c>
      <c r="BI78" s="62">
        <f ca="1">AVERAGE(OFFSET($BH$3,0,0,'Données projet'!$E$11+1,1))-AVERAGE(OFFSET($H$3,0,0,'Données projet'!$E$11+1,1))</f>
        <v>280.57175994295949</v>
      </c>
      <c r="BJ78" s="62">
        <f t="shared" si="92"/>
        <v>216.69635818716841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0.69435827660512528</v>
      </c>
      <c r="BR78" s="23">
        <f>EXP(-LN(2)/2)*BR77+(1-EXP(-LN(2)/2))/(LN(2)/2)*BL78*BO78*VLOOKUP('Données projet'!$B$11,Paramètres!$A$1:$I$89,3,0)*0.475*44/12</f>
        <v>3.5619584104573115E-6</v>
      </c>
      <c r="BS78" s="24">
        <f t="shared" si="63"/>
        <v>0.69436183856353573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20.3</v>
      </c>
      <c r="BY78" s="13">
        <f>IF('Données projet'!$A$114&gt;35,BY77+BX78-CG77,IF(A78&lt;'Données projet'!$A$114,$BV$205^A78,IF(A78='Données projet'!$A$114,'Données projet'!$B$114,BY77+BX78-CG77)))</f>
        <v>643.49999999999966</v>
      </c>
      <c r="BZ78" s="14">
        <f>BY78*VLOOKUP('Données projet'!$B$12,Paramètres!$A$1:$I$89,3,0)*VLOOKUP('Données projet'!$B$12,Paramètres!$A$1:$I$89,5,0)</f>
        <v>317.88899999999984</v>
      </c>
      <c r="CA78" s="14">
        <f t="shared" si="93"/>
        <v>74.913950004164278</v>
      </c>
      <c r="CB78" s="22">
        <f t="shared" si="64"/>
        <v>684.13180459058583</v>
      </c>
      <c r="CC78" s="62">
        <f t="shared" si="65"/>
        <v>977.4651379239192</v>
      </c>
      <c r="CD78" s="62">
        <f ca="1">AVERAGE(OFFSET($CC$3,0,0,'Données projet'!$E$12+1,1))-AVERAGE(OFFSET($H$3,0,0,'Données projet'!$E$12+1,1))</f>
        <v>426.64691649521097</v>
      </c>
      <c r="CE78" s="62">
        <f t="shared" si="94"/>
        <v>71.485487617222645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42.483999999999973</v>
      </c>
      <c r="D79" s="12">
        <f t="shared" si="86"/>
        <v>12.654705084370672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425.63210942321194</v>
      </c>
      <c r="H79" s="70">
        <f t="shared" si="56"/>
        <v>389.36657802194554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322.19999999999993</v>
      </c>
      <c r="O79" s="14">
        <f>N79*VLOOKUP('Données projet'!$B$9,Paramètres!$A$1:$I$89,3,0)*VLOOKUP('Données projet'!$B$9,Paramètres!$A$1:$I$89,5,0)</f>
        <v>150.78959999999998</v>
      </c>
      <c r="P79" s="14">
        <f t="shared" si="87"/>
        <v>38.757970187689722</v>
      </c>
      <c r="Q79" s="22">
        <f t="shared" si="54"/>
        <v>330.12868474355952</v>
      </c>
      <c r="R79" s="62">
        <f t="shared" si="55"/>
        <v>623.46201807689283</v>
      </c>
      <c r="S79" s="62">
        <f ca="1">AVERAGE(OFFSET($R$3,0,0,'Données projet'!$E$9+1,1))-AVERAGE(OFFSET($H$3,0,0,'Données projet'!$E$9+1,1))</f>
        <v>165.12229410621887</v>
      </c>
      <c r="T79" s="62">
        <f t="shared" si="88"/>
        <v>148.17171564653341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1.9895196601282805E-13</v>
      </c>
      <c r="AJ79" s="14">
        <f>AI79*VLOOKUP('Données projet'!$B$10,Paramètres!$A$1:$I$89,3,0)*VLOOKUP('Données projet'!$B$10,Paramètres!$A$1:$I$89,5,0)</f>
        <v>1.8001173884840681E-13</v>
      </c>
      <c r="AK79" s="14">
        <f t="shared" si="89"/>
        <v>2.5254331426407198E-12</v>
      </c>
      <c r="AL79" s="22">
        <f t="shared" si="58"/>
        <v>4.7119831685935622E-12</v>
      </c>
      <c r="AM79" s="62">
        <f t="shared" si="59"/>
        <v>293.33333333333803</v>
      </c>
      <c r="AN79" s="62">
        <f ca="1">AVERAGE(OFFSET($AM$3,0,0,'Données projet'!$E$10+1,1))-AVERAGE(OFFSET($H$3,0,0,'Données projet'!$E$10+1,1))</f>
        <v>249.03969036629979</v>
      </c>
      <c r="AO79" s="62">
        <f t="shared" si="90"/>
        <v>347.8713931923707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3.3525959866632067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3.3525959866632067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501.75</v>
      </c>
      <c r="BE79" s="14">
        <f>BD79*VLOOKUP('Données projet'!$B$11,Paramètres!$A$1:$I$89,3,0)*VLOOKUP('Données projet'!$B$11,Paramètres!$A$1:$I$89,5,0)</f>
        <v>300.04650000000004</v>
      </c>
      <c r="BF79" s="14">
        <f t="shared" si="91"/>
        <v>71.186211573839699</v>
      </c>
      <c r="BG79" s="22">
        <f t="shared" si="61"/>
        <v>646.56363932443753</v>
      </c>
      <c r="BH79" s="62">
        <f t="shared" si="62"/>
        <v>939.8969726577709</v>
      </c>
      <c r="BI79" s="62">
        <f ca="1">AVERAGE(OFFSET($BH$3,0,0,'Données projet'!$E$11+1,1))-AVERAGE(OFFSET($H$3,0,0,'Données projet'!$E$11+1,1))</f>
        <v>280.57175994295949</v>
      </c>
      <c r="BJ79" s="62">
        <f t="shared" si="92"/>
        <v>216.69635818716841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0.67537101301664337</v>
      </c>
      <c r="BR79" s="23">
        <f>EXP(-LN(2)/2)*BR78+(1-EXP(-LN(2)/2))/(LN(2)/2)*BL79*BO79*VLOOKUP('Données projet'!$B$11,Paramètres!$A$1:$I$89,3,0)*0.475*44/12</f>
        <v>2.5186849463388207E-6</v>
      </c>
      <c r="BS79" s="24">
        <f t="shared" si="63"/>
        <v>0.67537353170158976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20.3</v>
      </c>
      <c r="BY79" s="13">
        <f>IF('Données projet'!$A$114&gt;35,BY78+BX79-CG78,IF(A79&lt;'Données projet'!$A$114,$BV$205^A79,IF(A79='Données projet'!$A$114,'Données projet'!$B$114,BY78+BX79-CG78)))</f>
        <v>663.79999999999961</v>
      </c>
      <c r="BZ79" s="14">
        <f>BY79*VLOOKUP('Données projet'!$B$12,Paramètres!$A$1:$I$89,3,0)*VLOOKUP('Données projet'!$B$12,Paramètres!$A$1:$I$89,5,0)</f>
        <v>327.91719999999981</v>
      </c>
      <c r="CA79" s="14">
        <f t="shared" si="93"/>
        <v>76.998330599110901</v>
      </c>
      <c r="CB79" s="22">
        <f t="shared" si="64"/>
        <v>705.22788246011771</v>
      </c>
      <c r="CC79" s="62">
        <f t="shared" si="65"/>
        <v>998.56121579345108</v>
      </c>
      <c r="CD79" s="62">
        <f ca="1">AVERAGE(OFFSET($CC$3,0,0,'Données projet'!$E$12+1,1))-AVERAGE(OFFSET($H$3,0,0,'Données projet'!$E$12+1,1))</f>
        <v>426.64691649521097</v>
      </c>
      <c r="CE79" s="62">
        <f t="shared" si="94"/>
        <v>71.485487617222645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43.042999999999971</v>
      </c>
      <c r="D80" s="12">
        <f t="shared" si="86"/>
        <v>12.80172056101086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431.08205345341702</v>
      </c>
      <c r="H80" s="70">
        <f t="shared" si="56"/>
        <v>390.59622164376049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329.89999999999992</v>
      </c>
      <c r="O80" s="14">
        <f>N80*VLOOKUP('Données projet'!$B$9,Paramètres!$A$1:$I$89,3,0)*VLOOKUP('Données projet'!$B$9,Paramètres!$A$1:$I$89,5,0)</f>
        <v>154.39319999999995</v>
      </c>
      <c r="P80" s="14">
        <f t="shared" si="87"/>
        <v>39.575272566832489</v>
      </c>
      <c r="Q80" s="22">
        <f t="shared" si="54"/>
        <v>337.82842305389983</v>
      </c>
      <c r="R80" s="62">
        <f t="shared" si="55"/>
        <v>631.16175638723314</v>
      </c>
      <c r="S80" s="62">
        <f ca="1">AVERAGE(OFFSET($R$3,0,0,'Données projet'!$E$9+1,1))-AVERAGE(OFFSET($H$3,0,0,'Données projet'!$E$9+1,1))</f>
        <v>165.12229410621887</v>
      </c>
      <c r="T80" s="62">
        <f t="shared" si="88"/>
        <v>148.17171564653341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1.9895196601282805E-13</v>
      </c>
      <c r="AJ80" s="14">
        <f>AI80*VLOOKUP('Données projet'!$B$10,Paramètres!$A$1:$I$89,3,0)*VLOOKUP('Données projet'!$B$10,Paramètres!$A$1:$I$89,5,0)</f>
        <v>1.8001173884840681E-13</v>
      </c>
      <c r="AK80" s="14">
        <f t="shared" si="89"/>
        <v>2.5254331426407198E-12</v>
      </c>
      <c r="AL80" s="22">
        <f t="shared" si="58"/>
        <v>4.7119831685935622E-12</v>
      </c>
      <c r="AM80" s="62">
        <f t="shared" si="59"/>
        <v>293.33333333333803</v>
      </c>
      <c r="AN80" s="62">
        <f ca="1">AVERAGE(OFFSET($AM$3,0,0,'Données projet'!$E$10+1,1))-AVERAGE(OFFSET($H$3,0,0,'Données projet'!$E$10+1,1))</f>
        <v>249.03969036629979</v>
      </c>
      <c r="AO80" s="62">
        <f t="shared" si="90"/>
        <v>347.8713931923707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3.2868536242463779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3.2868536242463779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510.625</v>
      </c>
      <c r="BE80" s="14">
        <f>BD80*VLOOKUP('Données projet'!$B$11,Paramètres!$A$1:$I$89,3,0)*VLOOKUP('Données projet'!$B$11,Paramètres!$A$1:$I$89,5,0)</f>
        <v>305.35375000000005</v>
      </c>
      <c r="BF80" s="14">
        <f t="shared" si="91"/>
        <v>72.297657079406008</v>
      </c>
      <c r="BG80" s="22">
        <f t="shared" si="61"/>
        <v>657.74286732996552</v>
      </c>
      <c r="BH80" s="62">
        <f t="shared" si="62"/>
        <v>951.07620066329878</v>
      </c>
      <c r="BI80" s="62">
        <f ca="1">AVERAGE(OFFSET($BH$3,0,0,'Données projet'!$E$11+1,1))-AVERAGE(OFFSET($H$3,0,0,'Données projet'!$E$11+1,1))</f>
        <v>280.57175994295949</v>
      </c>
      <c r="BJ80" s="62">
        <f t="shared" si="92"/>
        <v>216.69635818716841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0.65690295714948532</v>
      </c>
      <c r="BR80" s="23">
        <f>EXP(-LN(2)/2)*BR79+(1-EXP(-LN(2)/2))/(LN(2)/2)*BL80*BO80*VLOOKUP('Données projet'!$B$11,Paramètres!$A$1:$I$89,3,0)*0.475*44/12</f>
        <v>1.7809792052286557E-6</v>
      </c>
      <c r="BS80" s="24">
        <f t="shared" si="63"/>
        <v>0.65690473812869055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20.3</v>
      </c>
      <c r="BY80" s="13">
        <f>IF('Données projet'!$A$114&gt;35,BY79+BX80-CG79,IF(A80&lt;'Données projet'!$A$114,$BV$205^A80,IF(A80='Données projet'!$A$114,'Données projet'!$B$114,BY79+BX80-CG79)))</f>
        <v>684.09999999999957</v>
      </c>
      <c r="BZ80" s="14">
        <f>BY80*VLOOKUP('Données projet'!$B$12,Paramètres!$A$1:$I$89,3,0)*VLOOKUP('Données projet'!$B$12,Paramètres!$A$1:$I$89,5,0)</f>
        <v>337.94539999999984</v>
      </c>
      <c r="CA80" s="14">
        <f t="shared" si="93"/>
        <v>79.075303422633098</v>
      </c>
      <c r="CB80" s="22">
        <f t="shared" si="64"/>
        <v>726.31105846108574</v>
      </c>
      <c r="CC80" s="62">
        <f t="shared" si="65"/>
        <v>1019.6443917944191</v>
      </c>
      <c r="CD80" s="62">
        <f ca="1">AVERAGE(OFFSET($CC$3,0,0,'Données projet'!$E$12+1,1))-AVERAGE(OFFSET($H$3,0,0,'Données projet'!$E$12+1,1))</f>
        <v>426.64691649521097</v>
      </c>
      <c r="CE80" s="62">
        <f t="shared" si="94"/>
        <v>71.485487617222645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43.601999999999968</v>
      </c>
      <c r="D81" s="12">
        <f t="shared" si="86"/>
        <v>12.948513957367386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436.53028317967784</v>
      </c>
      <c r="H81" s="70">
        <f t="shared" si="56"/>
        <v>391.82547847574813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337.59999999999991</v>
      </c>
      <c r="O81" s="14">
        <f>N81*VLOOKUP('Données projet'!$B$9,Paramètres!$A$1:$I$89,3,0)*VLOOKUP('Données projet'!$B$9,Paramètres!$A$1:$I$89,5,0)</f>
        <v>157.99679999999995</v>
      </c>
      <c r="P81" s="14">
        <f t="shared" si="87"/>
        <v>40.390357280610026</v>
      </c>
      <c r="Q81" s="22">
        <f t="shared" si="54"/>
        <v>345.52429893039567</v>
      </c>
      <c r="R81" s="62">
        <f t="shared" si="55"/>
        <v>638.85763226372899</v>
      </c>
      <c r="S81" s="62">
        <f ca="1">AVERAGE(OFFSET($R$3,0,0,'Données projet'!$E$9+1,1))-AVERAGE(OFFSET($H$3,0,0,'Données projet'!$E$9+1,1))</f>
        <v>165.12229410621887</v>
      </c>
      <c r="T81" s="62">
        <f t="shared" si="88"/>
        <v>148.17171564653341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1.9895196601282805E-13</v>
      </c>
      <c r="AJ81" s="14">
        <f>AI81*VLOOKUP('Données projet'!$B$10,Paramètres!$A$1:$I$89,3,0)*VLOOKUP('Données projet'!$B$10,Paramètres!$A$1:$I$89,5,0)</f>
        <v>1.8001173884840681E-13</v>
      </c>
      <c r="AK81" s="14">
        <f t="shared" si="89"/>
        <v>2.5254331426407198E-12</v>
      </c>
      <c r="AL81" s="22">
        <f t="shared" si="58"/>
        <v>4.7119831685935622E-12</v>
      </c>
      <c r="AM81" s="62">
        <f t="shared" si="59"/>
        <v>293.33333333333803</v>
      </c>
      <c r="AN81" s="62">
        <f ca="1">AVERAGE(OFFSET($AM$3,0,0,'Données projet'!$E$10+1,1))-AVERAGE(OFFSET($H$3,0,0,'Données projet'!$E$10+1,1))</f>
        <v>249.03969036629979</v>
      </c>
      <c r="AO81" s="62">
        <f t="shared" si="90"/>
        <v>347.8713931923707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3.2224004294576614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3.2224004294576614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519.5</v>
      </c>
      <c r="BE81" s="14">
        <f>BD81*VLOOKUP('Données projet'!$B$11,Paramètres!$A$1:$I$89,3,0)*VLOOKUP('Données projet'!$B$11,Paramètres!$A$1:$I$89,5,0)</f>
        <v>310.661</v>
      </c>
      <c r="BF81" s="14">
        <f t="shared" si="91"/>
        <v>73.406856163089444</v>
      </c>
      <c r="BG81" s="22">
        <f t="shared" si="61"/>
        <v>668.91818281738085</v>
      </c>
      <c r="BH81" s="62">
        <f t="shared" si="62"/>
        <v>962.25151615071422</v>
      </c>
      <c r="BI81" s="62">
        <f ca="1">AVERAGE(OFFSET($BH$3,0,0,'Données projet'!$E$11+1,1))-AVERAGE(OFFSET($H$3,0,0,'Données projet'!$E$11+1,1))</f>
        <v>280.57175994295949</v>
      </c>
      <c r="BJ81" s="62">
        <f t="shared" si="92"/>
        <v>216.69635818716841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0.63893991124120753</v>
      </c>
      <c r="BR81" s="23">
        <f>EXP(-LN(2)/2)*BR80+(1-EXP(-LN(2)/2))/(LN(2)/2)*BL81*BO81*VLOOKUP('Données projet'!$B$11,Paramètres!$A$1:$I$89,3,0)*0.475*44/12</f>
        <v>1.2593424731694104E-6</v>
      </c>
      <c r="BS81" s="24">
        <f t="shared" si="63"/>
        <v>0.63894117058368072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20.3</v>
      </c>
      <c r="BY81" s="13">
        <f>IF('Données projet'!$A$114&gt;35,BY80+BX81-CG80,IF(A81&lt;'Données projet'!$A$114,$BV$205^A81,IF(A81='Données projet'!$A$114,'Données projet'!$B$114,BY80+BX81-CG80)))</f>
        <v>704.39999999999952</v>
      </c>
      <c r="BZ81" s="14">
        <f>BY81*VLOOKUP('Données projet'!$B$12,Paramètres!$A$1:$I$89,3,0)*VLOOKUP('Données projet'!$B$12,Paramètres!$A$1:$I$89,5,0)</f>
        <v>347.97359999999975</v>
      </c>
      <c r="CA81" s="14">
        <f t="shared" si="93"/>
        <v>81.145113529564512</v>
      </c>
      <c r="CB81" s="22">
        <f t="shared" si="64"/>
        <v>747.38175939732446</v>
      </c>
      <c r="CC81" s="62">
        <f t="shared" si="65"/>
        <v>1040.7150927306577</v>
      </c>
      <c r="CD81" s="62">
        <f ca="1">AVERAGE(OFFSET($CC$3,0,0,'Données projet'!$E$12+1,1))-AVERAGE(OFFSET($H$3,0,0,'Données projet'!$E$12+1,1))</f>
        <v>426.64691649521097</v>
      </c>
      <c r="CE81" s="62">
        <f t="shared" si="94"/>
        <v>71.485487617222645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44.160999999999966</v>
      </c>
      <c r="D82" s="12">
        <f t="shared" si="86"/>
        <v>13.095088449839977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441.9768231215715</v>
      </c>
      <c r="H82" s="70">
        <f t="shared" si="56"/>
        <v>393.05435405013787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345.2999999999999</v>
      </c>
      <c r="O82" s="14">
        <f>N82*VLOOKUP('Données projet'!$B$9,Paramètres!$A$1:$I$89,3,0)*VLOOKUP('Données projet'!$B$9,Paramètres!$A$1:$I$89,5,0)</f>
        <v>161.60039999999995</v>
      </c>
      <c r="P82" s="14">
        <f t="shared" si="87"/>
        <v>41.203280732237822</v>
      </c>
      <c r="Q82" s="22">
        <f t="shared" si="54"/>
        <v>353.21641060864749</v>
      </c>
      <c r="R82" s="62">
        <f t="shared" si="55"/>
        <v>646.54974394198075</v>
      </c>
      <c r="S82" s="62">
        <f ca="1">AVERAGE(OFFSET($R$3,0,0,'Données projet'!$E$9+1,1))-AVERAGE(OFFSET($H$3,0,0,'Données projet'!$E$9+1,1))</f>
        <v>165.12229410621887</v>
      </c>
      <c r="T82" s="62">
        <f t="shared" si="88"/>
        <v>148.17171564653341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1.9895196601282805E-13</v>
      </c>
      <c r="AJ82" s="14">
        <f>AI82*VLOOKUP('Données projet'!$B$10,Paramètres!$A$1:$I$89,3,0)*VLOOKUP('Données projet'!$B$10,Paramètres!$A$1:$I$89,5,0)</f>
        <v>1.8001173884840681E-13</v>
      </c>
      <c r="AK82" s="14">
        <f t="shared" si="89"/>
        <v>2.5254331426407198E-12</v>
      </c>
      <c r="AL82" s="22">
        <f t="shared" si="58"/>
        <v>4.7119831685935622E-12</v>
      </c>
      <c r="AM82" s="62">
        <f t="shared" si="59"/>
        <v>293.33333333333803</v>
      </c>
      <c r="AN82" s="62">
        <f ca="1">AVERAGE(OFFSET($AM$3,0,0,'Données projet'!$E$10+1,1))-AVERAGE(OFFSET($H$3,0,0,'Données projet'!$E$10+1,1))</f>
        <v>249.03969036629979</v>
      </c>
      <c r="AO82" s="62">
        <f t="shared" si="90"/>
        <v>347.8713931923707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3.1592111225061847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3.1592111225061847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528.375</v>
      </c>
      <c r="BE82" s="14">
        <f>BD82*VLOOKUP('Données projet'!$B$11,Paramètres!$A$1:$I$89,3,0)*VLOOKUP('Données projet'!$B$11,Paramètres!$A$1:$I$89,5,0)</f>
        <v>315.96825000000001</v>
      </c>
      <c r="BF82" s="14">
        <f t="shared" si="91"/>
        <v>74.513851630905478</v>
      </c>
      <c r="BG82" s="22">
        <f t="shared" si="61"/>
        <v>680.08966034049365</v>
      </c>
      <c r="BH82" s="62">
        <f t="shared" si="62"/>
        <v>973.42299367382702</v>
      </c>
      <c r="BI82" s="62">
        <f ca="1">AVERAGE(OFFSET($BH$3,0,0,'Données projet'!$E$11+1,1))-AVERAGE(OFFSET($H$3,0,0,'Données projet'!$E$11+1,1))</f>
        <v>280.57175994295949</v>
      </c>
      <c r="BJ82" s="62">
        <f t="shared" si="92"/>
        <v>216.69635818716841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0.62146806576792712</v>
      </c>
      <c r="BR82" s="23">
        <f>EXP(-LN(2)/2)*BR81+(1-EXP(-LN(2)/2))/(LN(2)/2)*BL82*BO82*VLOOKUP('Données projet'!$B$11,Paramètres!$A$1:$I$89,3,0)*0.475*44/12</f>
        <v>8.9048960261432786E-7</v>
      </c>
      <c r="BS82" s="24">
        <f t="shared" si="63"/>
        <v>0.62146895625752974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20.3</v>
      </c>
      <c r="BY82" s="13">
        <f>IF('Données projet'!$A$114&gt;35,BY81+BX82-CG81,IF(A82&lt;'Données projet'!$A$114,$BV$205^A82,IF(A82='Données projet'!$A$114,'Données projet'!$B$114,BY81+BX82-CG81)))</f>
        <v>724.69999999999948</v>
      </c>
      <c r="BZ82" s="14">
        <f>BY82*VLOOKUP('Données projet'!$B$12,Paramètres!$A$1:$I$89,3,0)*VLOOKUP('Données projet'!$B$12,Paramètres!$A$1:$I$89,5,0)</f>
        <v>358.00179999999978</v>
      </c>
      <c r="CA82" s="14">
        <f t="shared" si="93"/>
        <v>83.207991047087788</v>
      </c>
      <c r="CB82" s="22">
        <f t="shared" si="64"/>
        <v>768.44038607367747</v>
      </c>
      <c r="CC82" s="62">
        <f t="shared" si="65"/>
        <v>1061.7737194070107</v>
      </c>
      <c r="CD82" s="62">
        <f ca="1">AVERAGE(OFFSET($CC$3,0,0,'Données projet'!$E$12+1,1))-AVERAGE(OFFSET($H$3,0,0,'Données projet'!$E$12+1,1))</f>
        <v>426.64691649521097</v>
      </c>
      <c r="CE82" s="62">
        <f t="shared" si="94"/>
        <v>71.485487617222645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44.719999999999963</v>
      </c>
      <c r="D83" s="12">
        <f t="shared" si="86"/>
        <v>13.24144712978892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447.42169714222996</v>
      </c>
      <c r="H83" s="70">
        <f t="shared" si="56"/>
        <v>394.28285375104895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352.99999999999989</v>
      </c>
      <c r="O83" s="14">
        <f>N83*VLOOKUP('Données projet'!$B$9,Paramètres!$A$1:$I$89,3,0)*VLOOKUP('Données projet'!$B$9,Paramètres!$A$1:$I$89,5,0)</f>
        <v>165.20399999999995</v>
      </c>
      <c r="P83" s="14">
        <f t="shared" si="87"/>
        <v>42.014096665795854</v>
      </c>
      <c r="Q83" s="22">
        <f t="shared" si="54"/>
        <v>360.90485169292765</v>
      </c>
      <c r="R83" s="62">
        <f t="shared" si="55"/>
        <v>654.23818502626091</v>
      </c>
      <c r="S83" s="62">
        <f ca="1">AVERAGE(OFFSET($R$3,0,0,'Données projet'!$E$9+1,1))-AVERAGE(OFFSET($H$3,0,0,'Données projet'!$E$9+1,1))</f>
        <v>165.12229410621887</v>
      </c>
      <c r="T83" s="62">
        <f t="shared" si="88"/>
        <v>148.17171564653341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1.9895196601282805E-13</v>
      </c>
      <c r="AJ83" s="14">
        <f>AI83*VLOOKUP('Données projet'!$B$10,Paramètres!$A$1:$I$89,3,0)*VLOOKUP('Données projet'!$B$10,Paramètres!$A$1:$I$89,5,0)</f>
        <v>1.8001173884840681E-13</v>
      </c>
      <c r="AK83" s="14">
        <f t="shared" si="89"/>
        <v>2.5254331426407198E-12</v>
      </c>
      <c r="AL83" s="22">
        <f t="shared" si="58"/>
        <v>4.7119831685935622E-12</v>
      </c>
      <c r="AM83" s="62">
        <f t="shared" si="59"/>
        <v>293.33333333333803</v>
      </c>
      <c r="AN83" s="62">
        <f ca="1">AVERAGE(OFFSET($AM$3,0,0,'Données projet'!$E$10+1,1))-AVERAGE(OFFSET($H$3,0,0,'Données projet'!$E$10+1,1))</f>
        <v>249.03969036629979</v>
      </c>
      <c r="AO83" s="62">
        <f t="shared" si="90"/>
        <v>347.8713931923707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3.0972609193223546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3.0972609193223546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537.25</v>
      </c>
      <c r="BE83" s="14">
        <f>BD83*VLOOKUP('Données projet'!$B$11,Paramètres!$A$1:$I$89,3,0)*VLOOKUP('Données projet'!$B$11,Paramètres!$A$1:$I$89,5,0)</f>
        <v>321.27550000000002</v>
      </c>
      <c r="BF83" s="14">
        <f t="shared" si="91"/>
        <v>75.618684768443416</v>
      </c>
      <c r="BG83" s="22">
        <f t="shared" si="61"/>
        <v>691.25737180503893</v>
      </c>
      <c r="BH83" s="62">
        <f t="shared" si="62"/>
        <v>984.59070513837219</v>
      </c>
      <c r="BI83" s="62">
        <f ca="1">AVERAGE(OFFSET($BH$3,0,0,'Données projet'!$E$11+1,1))-AVERAGE(OFFSET($H$3,0,0,'Données projet'!$E$11+1,1))</f>
        <v>280.57175994295949</v>
      </c>
      <c r="BJ83" s="62">
        <f t="shared" si="92"/>
        <v>216.69635818716841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0.60447398882791792</v>
      </c>
      <c r="BR83" s="23">
        <f>EXP(-LN(2)/2)*BR82+(1-EXP(-LN(2)/2))/(LN(2)/2)*BL83*BO83*VLOOKUP('Données projet'!$B$11,Paramètres!$A$1:$I$89,3,0)*0.475*44/12</f>
        <v>6.2967123658470519E-7</v>
      </c>
      <c r="BS83" s="24">
        <f t="shared" si="63"/>
        <v>0.60447461849915451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745</v>
      </c>
      <c r="BW83" s="13">
        <f>VLOOKUP(A83,'Données projet'!$A$113:$I$133,9,0)</f>
        <v>20.3</v>
      </c>
      <c r="BX83" s="13">
        <f t="array" ref="BX83">INDEX(BW:BW,MIN(IF(ISNUMBER(BW83:BW279),ROW(BW83:BW279),"")))</f>
        <v>20.3</v>
      </c>
      <c r="BY83" s="13">
        <f>IF('Données projet'!$A$114&gt;35,BY82+BX83-CG82,IF(A83&lt;'Données projet'!$A$114,$BV$205^A83,IF(A83='Données projet'!$A$114,'Données projet'!$B$114,BY82+BX83-CG82)))</f>
        <v>744.99999999999943</v>
      </c>
      <c r="BZ83" s="14">
        <f>BY83*VLOOKUP('Données projet'!$B$12,Paramètres!$A$1:$I$89,3,0)*VLOOKUP('Données projet'!$B$12,Paramètres!$A$1:$I$89,5,0)</f>
        <v>368.02999999999975</v>
      </c>
      <c r="CA83" s="14">
        <f t="shared" si="93"/>
        <v>85.264152476416044</v>
      </c>
      <c r="CB83" s="22">
        <f t="shared" si="64"/>
        <v>789.48731556309076</v>
      </c>
      <c r="CC83" s="62">
        <f t="shared" si="65"/>
        <v>1082.820648896424</v>
      </c>
      <c r="CD83" s="62">
        <f ca="1">AVERAGE(OFFSET($CC$3,0,0,'Données projet'!$E$12+1,1))-AVERAGE(OFFSET($H$3,0,0,'Données projet'!$E$12+1,1))</f>
        <v>426.64691649521097</v>
      </c>
      <c r="CE83" s="62">
        <f t="shared" si="94"/>
        <v>71.485487617222645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100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45.278999999999961</v>
      </c>
      <c r="D84" s="12">
        <f t="shared" si="86"/>
        <v>13.387593006845686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452.86492847389621</v>
      </c>
      <c r="H84" s="70">
        <f t="shared" si="56"/>
        <v>395.51098282025612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290.2999999999999</v>
      </c>
      <c r="O84" s="14">
        <f>N84*VLOOKUP('Données projet'!$B$9,Paramètres!$A$1:$I$89,3,0)*VLOOKUP('Données projet'!$B$9,Paramètres!$A$1:$I$89,5,0)</f>
        <v>135.86039999999994</v>
      </c>
      <c r="P84" s="14">
        <f t="shared" si="87"/>
        <v>35.347031059244749</v>
      </c>
      <c r="Q84" s="22">
        <f t="shared" si="54"/>
        <v>298.18627576151783</v>
      </c>
      <c r="R84" s="62">
        <f t="shared" si="55"/>
        <v>591.51960909485115</v>
      </c>
      <c r="S84" s="62">
        <f ca="1">AVERAGE(OFFSET($R$3,0,0,'Données projet'!$E$9+1,1))-AVERAGE(OFFSET($H$3,0,0,'Données projet'!$E$9+1,1))</f>
        <v>165.12229410621887</v>
      </c>
      <c r="T84" s="62">
        <f t="shared" si="88"/>
        <v>148.17171564653341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1.9895196601282805E-13</v>
      </c>
      <c r="AJ84" s="14">
        <f>AI84*VLOOKUP('Données projet'!$B$10,Paramètres!$A$1:$I$89,3,0)*VLOOKUP('Données projet'!$B$10,Paramètres!$A$1:$I$89,5,0)</f>
        <v>1.8001173884840681E-13</v>
      </c>
      <c r="AK84" s="14">
        <f t="shared" si="89"/>
        <v>2.5254331426407198E-12</v>
      </c>
      <c r="AL84" s="22">
        <f t="shared" si="58"/>
        <v>4.7119831685935622E-12</v>
      </c>
      <c r="AM84" s="62">
        <f t="shared" si="59"/>
        <v>293.33333333333803</v>
      </c>
      <c r="AN84" s="62">
        <f ca="1">AVERAGE(OFFSET($AM$3,0,0,'Données projet'!$E$10+1,1))-AVERAGE(OFFSET($H$3,0,0,'Données projet'!$E$10+1,1))</f>
        <v>249.03969036629979</v>
      </c>
      <c r="AO84" s="62">
        <f t="shared" si="90"/>
        <v>347.8713931923707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3.0365255218370666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3.0365255218370666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546.125</v>
      </c>
      <c r="BE84" s="14">
        <f>BD84*VLOOKUP('Données projet'!$B$11,Paramètres!$A$1:$I$89,3,0)*VLOOKUP('Données projet'!$B$11,Paramètres!$A$1:$I$89,5,0)</f>
        <v>326.58275000000003</v>
      </c>
      <c r="BF84" s="14">
        <f t="shared" si="91"/>
        <v>76.72139541907876</v>
      </c>
      <c r="BG84" s="22">
        <f t="shared" si="61"/>
        <v>702.42138660489547</v>
      </c>
      <c r="BH84" s="62">
        <f t="shared" si="62"/>
        <v>995.75471993822885</v>
      </c>
      <c r="BI84" s="62">
        <f ca="1">AVERAGE(OFFSET($BH$3,0,0,'Données projet'!$E$11+1,1))-AVERAGE(OFFSET($H$3,0,0,'Données projet'!$E$11+1,1))</f>
        <v>280.57175994295949</v>
      </c>
      <c r="BJ84" s="62">
        <f t="shared" si="92"/>
        <v>216.69635818716841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0.58794461581551294</v>
      </c>
      <c r="BR84" s="23">
        <f>EXP(-LN(2)/2)*BR83+(1-EXP(-LN(2)/2))/(LN(2)/2)*BL84*BO84*VLOOKUP('Données projet'!$B$11,Paramètres!$A$1:$I$89,3,0)*0.475*44/12</f>
        <v>4.4524480130716393E-7</v>
      </c>
      <c r="BS84" s="24">
        <f t="shared" si="63"/>
        <v>0.5879450610603143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16.5</v>
      </c>
      <c r="BY84" s="13">
        <f>IF('Données projet'!$A$114&gt;35,BY83+BX84-CG83,IF(A84&lt;'Données projet'!$A$114,$BV$205^A84,IF(A84='Données projet'!$A$114,'Données projet'!$B$114,BY83+BX84-CG83)))</f>
        <v>661.49999999999943</v>
      </c>
      <c r="BZ84" s="14">
        <f>BY84*VLOOKUP('Données projet'!$B$12,Paramètres!$A$1:$I$89,3,0)*VLOOKUP('Données projet'!$B$12,Paramètres!$A$1:$I$89,5,0)</f>
        <v>326.78099999999972</v>
      </c>
      <c r="CA84" s="14">
        <f t="shared" si="93"/>
        <v>76.76254607995314</v>
      </c>
      <c r="CB84" s="22">
        <f t="shared" si="64"/>
        <v>702.83834275591789</v>
      </c>
      <c r="CC84" s="62">
        <f t="shared" si="65"/>
        <v>996.17167608925115</v>
      </c>
      <c r="CD84" s="62">
        <f ca="1">AVERAGE(OFFSET($CC$3,0,0,'Données projet'!$E$12+1,1))-AVERAGE(OFFSET($H$3,0,0,'Données projet'!$E$12+1,1))</f>
        <v>426.64691649521097</v>
      </c>
      <c r="CE84" s="62">
        <f t="shared" si="94"/>
        <v>71.485487617222645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45.837999999999958</v>
      </c>
      <c r="D85" s="12">
        <f t="shared" si="86"/>
        <v>13.533529012055453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458.30653974218217</v>
      </c>
      <c r="H85" s="70">
        <f t="shared" si="56"/>
        <v>396.73874636266316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298.59999999999991</v>
      </c>
      <c r="O85" s="14">
        <f>N85*VLOOKUP('Données projet'!$B$9,Paramètres!$A$1:$I$89,3,0)*VLOOKUP('Données projet'!$B$9,Paramètres!$A$1:$I$89,5,0)</f>
        <v>139.74479999999997</v>
      </c>
      <c r="P85" s="14">
        <f t="shared" si="87"/>
        <v>36.238536552104364</v>
      </c>
      <c r="Q85" s="22">
        <f t="shared" si="54"/>
        <v>306.50431116158171</v>
      </c>
      <c r="R85" s="62">
        <f t="shared" si="55"/>
        <v>599.83764449491503</v>
      </c>
      <c r="S85" s="62">
        <f ca="1">AVERAGE(OFFSET($R$3,0,0,'Données projet'!$E$9+1,1))-AVERAGE(OFFSET($H$3,0,0,'Données projet'!$E$9+1,1))</f>
        <v>165.12229410621887</v>
      </c>
      <c r="T85" s="62">
        <f t="shared" si="88"/>
        <v>148.17171564653341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1.9895196601282805E-13</v>
      </c>
      <c r="AJ85" s="14">
        <f>AI85*VLOOKUP('Données projet'!$B$10,Paramètres!$A$1:$I$89,3,0)*VLOOKUP('Données projet'!$B$10,Paramètres!$A$1:$I$89,5,0)</f>
        <v>1.8001173884840681E-13</v>
      </c>
      <c r="AK85" s="14">
        <f t="shared" si="89"/>
        <v>2.5254331426407198E-12</v>
      </c>
      <c r="AL85" s="22">
        <f t="shared" si="58"/>
        <v>4.7119831685935622E-12</v>
      </c>
      <c r="AM85" s="62">
        <f t="shared" si="59"/>
        <v>293.33333333333803</v>
      </c>
      <c r="AN85" s="62">
        <f ca="1">AVERAGE(OFFSET($AM$3,0,0,'Données projet'!$E$10+1,1))-AVERAGE(OFFSET($H$3,0,0,'Données projet'!$E$10+1,1))</f>
        <v>249.03969036629979</v>
      </c>
      <c r="AO85" s="62">
        <f t="shared" si="90"/>
        <v>347.8713931923707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2.9769811084515307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2.9769811084515307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555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555</v>
      </c>
      <c r="BE85" s="14">
        <f>BD85*VLOOKUP('Données projet'!$B$11,Paramètres!$A$1:$I$89,3,0)*VLOOKUP('Données projet'!$B$11,Paramètres!$A$1:$I$89,5,0)</f>
        <v>331.89000000000004</v>
      </c>
      <c r="BF85" s="14">
        <f t="shared" si="91"/>
        <v>77.822022056956186</v>
      </c>
      <c r="BG85" s="22">
        <f t="shared" si="61"/>
        <v>713.58177174919865</v>
      </c>
      <c r="BH85" s="62">
        <f t="shared" si="62"/>
        <v>1006.9151050825319</v>
      </c>
      <c r="BI85" s="62">
        <f ca="1">AVERAGE(OFFSET($BH$3,0,0,'Données projet'!$E$11+1,1))-AVERAGE(OFFSET($H$3,0,0,'Données projet'!$E$11+1,1))</f>
        <v>280.57175994295949</v>
      </c>
      <c r="BJ85" s="62">
        <f t="shared" si="92"/>
        <v>216.69635818716841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555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0.57186723937737416</v>
      </c>
      <c r="BR85" s="23">
        <f>EXP(-LN(2)/2)*BR84+(1-EXP(-LN(2)/2))/(LN(2)/2)*BL85*BO85*VLOOKUP('Données projet'!$B$11,Paramètres!$A$1:$I$89,3,0)*0.475*44/12</f>
        <v>3.1483561829235259E-7</v>
      </c>
      <c r="BS85" s="24">
        <f t="shared" si="63"/>
        <v>0.5718675542129924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16.5</v>
      </c>
      <c r="BY85" s="13">
        <f>IF('Données projet'!$A$114&gt;35,BY84+BX85-CG84,IF(A85&lt;'Données projet'!$A$114,$BV$205^A85,IF(A85='Données projet'!$A$114,'Données projet'!$B$114,BY84+BX85-CG84)))</f>
        <v>677.99999999999943</v>
      </c>
      <c r="BZ85" s="14">
        <f>BY85*VLOOKUP('Données projet'!$B$12,Paramètres!$A$1:$I$89,3,0)*VLOOKUP('Données projet'!$B$12,Paramètres!$A$1:$I$89,5,0)</f>
        <v>334.93199999999968</v>
      </c>
      <c r="CA85" s="14">
        <f t="shared" si="93"/>
        <v>78.451952089652863</v>
      </c>
      <c r="CB85" s="22">
        <f t="shared" si="64"/>
        <v>719.97704988947817</v>
      </c>
      <c r="CC85" s="62">
        <f t="shared" si="65"/>
        <v>1013.3103832228114</v>
      </c>
      <c r="CD85" s="62">
        <f ca="1">AVERAGE(OFFSET($CC$3,0,0,'Données projet'!$E$12+1,1))-AVERAGE(OFFSET($H$3,0,0,'Données projet'!$E$12+1,1))</f>
        <v>426.64691649521097</v>
      </c>
      <c r="CE85" s="62">
        <f t="shared" si="94"/>
        <v>71.485487617222645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46.396999999999956</v>
      </c>
      <c r="D86" s="12">
        <f t="shared" si="86"/>
        <v>13.679258000861923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463.7465529891092</v>
      </c>
      <c r="H86" s="70">
        <f t="shared" si="56"/>
        <v>397.96614935150109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306.89999999999992</v>
      </c>
      <c r="O86" s="14">
        <f>N86*VLOOKUP('Données projet'!$B$9,Paramètres!$A$1:$I$89,3,0)*VLOOKUP('Données projet'!$B$9,Paramètres!$A$1:$I$89,5,0)</f>
        <v>143.62919999999997</v>
      </c>
      <c r="P86" s="14">
        <f t="shared" si="87"/>
        <v>37.127161849234348</v>
      </c>
      <c r="Q86" s="22">
        <f t="shared" si="54"/>
        <v>314.81733022074974</v>
      </c>
      <c r="R86" s="62">
        <f t="shared" si="55"/>
        <v>608.15066355408305</v>
      </c>
      <c r="S86" s="62">
        <f ca="1">AVERAGE(OFFSET($R$3,0,0,'Données projet'!$E$9+1,1))-AVERAGE(OFFSET($H$3,0,0,'Données projet'!$E$9+1,1))</f>
        <v>165.12229410621887</v>
      </c>
      <c r="T86" s="62">
        <f t="shared" si="88"/>
        <v>148.17171564653341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1.9895196601282805E-13</v>
      </c>
      <c r="AJ86" s="14">
        <f>AI86*VLOOKUP('Données projet'!$B$10,Paramètres!$A$1:$I$89,3,0)*VLOOKUP('Données projet'!$B$10,Paramètres!$A$1:$I$89,5,0)</f>
        <v>1.8001173884840681E-13</v>
      </c>
      <c r="AK86" s="14">
        <f t="shared" si="89"/>
        <v>2.5254331426407198E-12</v>
      </c>
      <c r="AL86" s="22">
        <f t="shared" si="58"/>
        <v>4.7119831685935622E-12</v>
      </c>
      <c r="AM86" s="62">
        <f t="shared" si="59"/>
        <v>293.33333333333803</v>
      </c>
      <c r="AN86" s="62">
        <f ca="1">AVERAGE(OFFSET($AM$3,0,0,'Données projet'!$E$10+1,1))-AVERAGE(OFFSET($H$3,0,0,'Données projet'!$E$10+1,1))</f>
        <v>249.03969036629979</v>
      </c>
      <c r="AO86" s="62">
        <f t="shared" si="90"/>
        <v>347.8713931923707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2.918604324693979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2.918604324693979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280.57175994295949</v>
      </c>
      <c r="BJ86" s="62">
        <f t="shared" si="92"/>
        <v>216.69635818716841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0.55622949964340873</v>
      </c>
      <c r="BR86" s="23">
        <f>EXP(-LN(2)/2)*BR85+(1-EXP(-LN(2)/2))/(LN(2)/2)*BL86*BO86*VLOOKUP('Données projet'!$B$11,Paramètres!$A$1:$I$89,3,0)*0.475*44/12</f>
        <v>2.2262240065358197E-7</v>
      </c>
      <c r="BS86" s="24">
        <f t="shared" si="63"/>
        <v>0.55622972226580936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16.5</v>
      </c>
      <c r="BY86" s="13">
        <f>IF('Données projet'!$A$114&gt;35,BY85+BX86-CG85,IF(A86&lt;'Données projet'!$A$114,$BV$205^A86,IF(A86='Données projet'!$A$114,'Données projet'!$B$114,BY85+BX86-CG85)))</f>
        <v>694.49999999999943</v>
      </c>
      <c r="BZ86" s="14">
        <f>BY86*VLOOKUP('Données projet'!$B$12,Paramètres!$A$1:$I$89,3,0)*VLOOKUP('Données projet'!$B$12,Paramètres!$A$1:$I$89,5,0)</f>
        <v>343.08299999999974</v>
      </c>
      <c r="CA86" s="14">
        <f t="shared" si="93"/>
        <v>80.13657871896983</v>
      </c>
      <c r="CB86" s="22">
        <f t="shared" si="64"/>
        <v>737.10743293553867</v>
      </c>
      <c r="CC86" s="62">
        <f t="shared" si="65"/>
        <v>1030.440766268872</v>
      </c>
      <c r="CD86" s="62">
        <f ca="1">AVERAGE(OFFSET($CC$3,0,0,'Données projet'!$E$12+1,1))-AVERAGE(OFFSET($H$3,0,0,'Données projet'!$E$12+1,1))</f>
        <v>426.64691649521097</v>
      </c>
      <c r="CE86" s="62">
        <f t="shared" si="94"/>
        <v>71.485487617222645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46.955999999999953</v>
      </c>
      <c r="D87" s="12">
        <f t="shared" si="86"/>
        <v>13.824782755944199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469.18498969500752</v>
      </c>
      <c r="H87" s="70">
        <f t="shared" si="56"/>
        <v>399.19319663326939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315.19999999999993</v>
      </c>
      <c r="O87" s="14">
        <f>N87*VLOOKUP('Données projet'!$B$9,Paramètres!$A$1:$I$89,3,0)*VLOOKUP('Données projet'!$B$9,Paramètres!$A$1:$I$89,5,0)</f>
        <v>147.51359999999997</v>
      </c>
      <c r="P87" s="14">
        <f t="shared" si="87"/>
        <v>38.012993796041464</v>
      </c>
      <c r="Q87" s="22">
        <f t="shared" si="54"/>
        <v>323.12548419477213</v>
      </c>
      <c r="R87" s="62">
        <f t="shared" si="55"/>
        <v>616.45881752810544</v>
      </c>
      <c r="S87" s="62">
        <f ca="1">AVERAGE(OFFSET($R$3,0,0,'Données projet'!$E$9+1,1))-AVERAGE(OFFSET($H$3,0,0,'Données projet'!$E$9+1,1))</f>
        <v>165.12229410621887</v>
      </c>
      <c r="T87" s="62">
        <f t="shared" si="88"/>
        <v>148.17171564653341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1.9895196601282805E-13</v>
      </c>
      <c r="AJ87" s="14">
        <f>AI87*VLOOKUP('Données projet'!$B$10,Paramètres!$A$1:$I$89,3,0)*VLOOKUP('Données projet'!$B$10,Paramètres!$A$1:$I$89,5,0)</f>
        <v>1.8001173884840681E-13</v>
      </c>
      <c r="AK87" s="14">
        <f t="shared" si="89"/>
        <v>2.5254331426407198E-12</v>
      </c>
      <c r="AL87" s="22">
        <f t="shared" si="58"/>
        <v>4.7119831685935622E-12</v>
      </c>
      <c r="AM87" s="62">
        <f t="shared" si="59"/>
        <v>293.33333333333803</v>
      </c>
      <c r="AN87" s="62">
        <f ca="1">AVERAGE(OFFSET($AM$3,0,0,'Données projet'!$E$10+1,1))-AVERAGE(OFFSET($H$3,0,0,'Données projet'!$E$10+1,1))</f>
        <v>249.03969036629979</v>
      </c>
      <c r="AO87" s="62">
        <f t="shared" si="90"/>
        <v>347.8713931923707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2.8613722740595908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2.8613722740595908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280.57175994295949</v>
      </c>
      <c r="BJ87" s="62">
        <f t="shared" si="92"/>
        <v>216.69635818716841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0.54101937472482164</v>
      </c>
      <c r="BR87" s="23">
        <f>EXP(-LN(2)/2)*BR86+(1-EXP(-LN(2)/2))/(LN(2)/2)*BL87*BO87*VLOOKUP('Données projet'!$B$11,Paramètres!$A$1:$I$89,3,0)*0.475*44/12</f>
        <v>1.574178091461763E-7</v>
      </c>
      <c r="BS87" s="24">
        <f t="shared" si="63"/>
        <v>0.54101953214263077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16.5</v>
      </c>
      <c r="BY87" s="13">
        <f>IF('Données projet'!$A$114&gt;35,BY86+BX87-CG86,IF(A87&lt;'Données projet'!$A$114,$BV$205^A87,IF(A87='Données projet'!$A$114,'Données projet'!$B$114,BY86+BX87-CG86)))</f>
        <v>710.99999999999943</v>
      </c>
      <c r="BZ87" s="14">
        <f>BY87*VLOOKUP('Données projet'!$B$12,Paramètres!$A$1:$I$89,3,0)*VLOOKUP('Données projet'!$B$12,Paramètres!$A$1:$I$89,5,0)</f>
        <v>351.23399999999975</v>
      </c>
      <c r="CA87" s="14">
        <f t="shared" si="93"/>
        <v>81.816552582962672</v>
      </c>
      <c r="CB87" s="22">
        <f t="shared" si="64"/>
        <v>754.22971241532616</v>
      </c>
      <c r="CC87" s="62">
        <f t="shared" si="65"/>
        <v>1047.5630457486595</v>
      </c>
      <c r="CD87" s="62">
        <f ca="1">AVERAGE(OFFSET($CC$3,0,0,'Données projet'!$E$12+1,1))-AVERAGE(OFFSET($H$3,0,0,'Données projet'!$E$12+1,1))</f>
        <v>426.64691649521097</v>
      </c>
      <c r="CE87" s="62">
        <f t="shared" si="94"/>
        <v>71.485487617222645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47.514999999999951</v>
      </c>
      <c r="D88" s="12">
        <f t="shared" si="86"/>
        <v>13.970105989914776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474.62187079934182</v>
      </c>
      <c r="H88" s="70">
        <f t="shared" si="56"/>
        <v>400.41989293243478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323.49999999999994</v>
      </c>
      <c r="O88" s="14">
        <f>N88*VLOOKUP('Données projet'!$B$9,Paramètres!$A$1:$I$89,3,0)*VLOOKUP('Données projet'!$B$9,Paramètres!$A$1:$I$89,5,0)</f>
        <v>151.39799999999997</v>
      </c>
      <c r="P88" s="14">
        <f t="shared" si="87"/>
        <v>38.896114403754709</v>
      </c>
      <c r="Q88" s="22">
        <f t="shared" si="54"/>
        <v>331.42891591987274</v>
      </c>
      <c r="R88" s="62">
        <f t="shared" si="55"/>
        <v>624.76224925320605</v>
      </c>
      <c r="S88" s="62">
        <f ca="1">AVERAGE(OFFSET($R$3,0,0,'Données projet'!$E$9+1,1))-AVERAGE(OFFSET($H$3,0,0,'Données projet'!$E$9+1,1))</f>
        <v>165.12229410621887</v>
      </c>
      <c r="T88" s="62">
        <f t="shared" si="88"/>
        <v>148.17171564653341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1.9895196601282805E-13</v>
      </c>
      <c r="AJ88" s="14">
        <f>AI88*VLOOKUP('Données projet'!$B$10,Paramètres!$A$1:$I$89,3,0)*VLOOKUP('Données projet'!$B$10,Paramètres!$A$1:$I$89,5,0)</f>
        <v>1.8001173884840681E-13</v>
      </c>
      <c r="AK88" s="14">
        <f t="shared" si="89"/>
        <v>2.5254331426407198E-12</v>
      </c>
      <c r="AL88" s="22">
        <f t="shared" si="58"/>
        <v>4.7119831685935622E-12</v>
      </c>
      <c r="AM88" s="62">
        <f t="shared" si="59"/>
        <v>293.33333333333803</v>
      </c>
      <c r="AN88" s="62">
        <f ca="1">AVERAGE(OFFSET($AM$3,0,0,'Données projet'!$E$10+1,1))-AVERAGE(OFFSET($H$3,0,0,'Données projet'!$E$10+1,1))</f>
        <v>249.03969036629979</v>
      </c>
      <c r="AO88" s="62">
        <f t="shared" si="90"/>
        <v>347.8713931923707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2.8052625090300389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2.8052625090300389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280.57175994295949</v>
      </c>
      <c r="BJ88" s="62">
        <f t="shared" si="92"/>
        <v>216.69635818716841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0.52622517147199899</v>
      </c>
      <c r="BR88" s="23">
        <f>EXP(-LN(2)/2)*BR87+(1-EXP(-LN(2)/2))/(LN(2)/2)*BL88*BO88*VLOOKUP('Données projet'!$B$11,Paramètres!$A$1:$I$89,3,0)*0.475*44/12</f>
        <v>1.1131120032679098E-7</v>
      </c>
      <c r="BS88" s="24">
        <f t="shared" si="63"/>
        <v>0.52622528278319936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16.5</v>
      </c>
      <c r="BY88" s="13">
        <f>IF('Données projet'!$A$114&gt;35,BY87+BX88-CG87,IF(A88&lt;'Données projet'!$A$114,$BV$205^A88,IF(A88='Données projet'!$A$114,'Données projet'!$B$114,BY87+BX88-CG87)))</f>
        <v>727.49999999999943</v>
      </c>
      <c r="BZ88" s="14">
        <f>BY88*VLOOKUP('Données projet'!$B$12,Paramètres!$A$1:$I$89,3,0)*VLOOKUP('Données projet'!$B$12,Paramètres!$A$1:$I$89,5,0)</f>
        <v>359.38499999999971</v>
      </c>
      <c r="CA88" s="14">
        <f t="shared" si="93"/>
        <v>83.491994084734415</v>
      </c>
      <c r="CB88" s="22">
        <f t="shared" si="64"/>
        <v>771.34409803091182</v>
      </c>
      <c r="CC88" s="62">
        <f t="shared" si="65"/>
        <v>1064.6774313642452</v>
      </c>
      <c r="CD88" s="62">
        <f ca="1">AVERAGE(OFFSET($CC$3,0,0,'Données projet'!$E$12+1,1))-AVERAGE(OFFSET($H$3,0,0,'Données projet'!$E$12+1,1))</f>
        <v>426.64691649521097</v>
      </c>
      <c r="CE88" s="62">
        <f t="shared" si="94"/>
        <v>71.485487617222645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48.073999999999948</v>
      </c>
      <c r="D89" s="12">
        <f t="shared" si="86"/>
        <v>14.115230347886868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480.05721672052988</v>
      </c>
      <c r="H89" s="70">
        <f t="shared" si="56"/>
        <v>401.64624285590287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331.79999999999995</v>
      </c>
      <c r="O89" s="14">
        <f>N89*VLOOKUP('Données projet'!$B$9,Paramètres!$A$1:$I$89,3,0)*VLOOKUP('Données projet'!$B$9,Paramètres!$A$1:$I$89,5,0)</f>
        <v>155.28239999999997</v>
      </c>
      <c r="P89" s="14">
        <f t="shared" si="87"/>
        <v>39.776601235546408</v>
      </c>
      <c r="Q89" s="22">
        <f t="shared" si="54"/>
        <v>339.72776048524321</v>
      </c>
      <c r="R89" s="62">
        <f t="shared" si="55"/>
        <v>633.06109381857652</v>
      </c>
      <c r="S89" s="62">
        <f ca="1">AVERAGE(OFFSET($R$3,0,0,'Données projet'!$E$9+1,1))-AVERAGE(OFFSET($H$3,0,0,'Données projet'!$E$9+1,1))</f>
        <v>165.12229410621887</v>
      </c>
      <c r="T89" s="62">
        <f t="shared" si="88"/>
        <v>148.17171564653341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1.9895196601282805E-13</v>
      </c>
      <c r="AJ89" s="14">
        <f>AI89*VLOOKUP('Données projet'!$B$10,Paramètres!$A$1:$I$89,3,0)*VLOOKUP('Données projet'!$B$10,Paramètres!$A$1:$I$89,5,0)</f>
        <v>1.8001173884840681E-13</v>
      </c>
      <c r="AK89" s="14">
        <f t="shared" si="89"/>
        <v>2.5254331426407198E-12</v>
      </c>
      <c r="AL89" s="22">
        <f t="shared" si="58"/>
        <v>4.7119831685935622E-12</v>
      </c>
      <c r="AM89" s="62">
        <f t="shared" si="59"/>
        <v>293.33333333333803</v>
      </c>
      <c r="AN89" s="62">
        <f ca="1">AVERAGE(OFFSET($AM$3,0,0,'Données projet'!$E$10+1,1))-AVERAGE(OFFSET($H$3,0,0,'Données projet'!$E$10+1,1))</f>
        <v>249.03969036629979</v>
      </c>
      <c r="AO89" s="62">
        <f t="shared" si="90"/>
        <v>347.8713931923707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2.7502530222691393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2.7502530222691393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280.57175994295949</v>
      </c>
      <c r="BJ89" s="62">
        <f t="shared" si="92"/>
        <v>216.69635818716841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0.51183551648511816</v>
      </c>
      <c r="BR89" s="23">
        <f>EXP(-LN(2)/2)*BR88+(1-EXP(-LN(2)/2))/(LN(2)/2)*BL89*BO89*VLOOKUP('Données projet'!$B$11,Paramètres!$A$1:$I$89,3,0)*0.475*44/12</f>
        <v>7.8708904573088148E-8</v>
      </c>
      <c r="BS89" s="24">
        <f t="shared" si="63"/>
        <v>0.51183559519402277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16.5</v>
      </c>
      <c r="BY89" s="13">
        <f>IF('Données projet'!$A$114&gt;35,BY88+BX89-CG88,IF(A89&lt;'Données projet'!$A$114,$BV$205^A89,IF(A89='Données projet'!$A$114,'Données projet'!$B$114,BY88+BX89-CG88)))</f>
        <v>743.99999999999943</v>
      </c>
      <c r="BZ89" s="14">
        <f>BY89*VLOOKUP('Données projet'!$B$12,Paramètres!$A$1:$I$89,3,0)*VLOOKUP('Données projet'!$B$12,Paramètres!$A$1:$I$89,5,0)</f>
        <v>367.53599999999977</v>
      </c>
      <c r="CA89" s="14">
        <f t="shared" si="93"/>
        <v>85.163017854073573</v>
      </c>
      <c r="CB89" s="22">
        <f t="shared" si="64"/>
        <v>788.4507894291778</v>
      </c>
      <c r="CC89" s="62">
        <f t="shared" si="65"/>
        <v>1081.7841227625111</v>
      </c>
      <c r="CD89" s="62">
        <f ca="1">AVERAGE(OFFSET($CC$3,0,0,'Données projet'!$E$12+1,1))-AVERAGE(OFFSET($H$3,0,0,'Données projet'!$E$12+1,1))</f>
        <v>426.64691649521097</v>
      </c>
      <c r="CE89" s="62">
        <f t="shared" si="94"/>
        <v>71.485487617222645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48.632999999999946</v>
      </c>
      <c r="D90" s="12">
        <f t="shared" si="86"/>
        <v>14.260158409918965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485.49104737481269</v>
      </c>
      <c r="H90" s="70">
        <f t="shared" si="56"/>
        <v>402.87225089727542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340.09999999999997</v>
      </c>
      <c r="O90" s="14">
        <f>N90*VLOOKUP('Données projet'!$B$9,Paramètres!$A$1:$I$89,3,0)*VLOOKUP('Données projet'!$B$9,Paramètres!$A$1:$I$89,5,0)</f>
        <v>159.16679999999997</v>
      </c>
      <c r="P90" s="14">
        <f t="shared" si="87"/>
        <v>40.654527752930747</v>
      </c>
      <c r="Q90" s="22">
        <f t="shared" si="54"/>
        <v>348.02214583635424</v>
      </c>
      <c r="R90" s="62">
        <f t="shared" si="55"/>
        <v>641.35547916968756</v>
      </c>
      <c r="S90" s="62">
        <f ca="1">AVERAGE(OFFSET($R$3,0,0,'Données projet'!$E$9+1,1))-AVERAGE(OFFSET($H$3,0,0,'Données projet'!$E$9+1,1))</f>
        <v>165.12229410621887</v>
      </c>
      <c r="T90" s="62">
        <f t="shared" si="88"/>
        <v>148.17171564653341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1.9895196601282805E-13</v>
      </c>
      <c r="AJ90" s="14">
        <f>AI90*VLOOKUP('Données projet'!$B$10,Paramètres!$A$1:$I$89,3,0)*VLOOKUP('Données projet'!$B$10,Paramètres!$A$1:$I$89,5,0)</f>
        <v>1.8001173884840681E-13</v>
      </c>
      <c r="AK90" s="14">
        <f t="shared" si="89"/>
        <v>2.5254331426407198E-12</v>
      </c>
      <c r="AL90" s="22">
        <f t="shared" si="58"/>
        <v>4.7119831685935622E-12</v>
      </c>
      <c r="AM90" s="62">
        <f t="shared" si="59"/>
        <v>293.33333333333803</v>
      </c>
      <c r="AN90" s="62">
        <f ca="1">AVERAGE(OFFSET($AM$3,0,0,'Données projet'!$E$10+1,1))-AVERAGE(OFFSET($H$3,0,0,'Données projet'!$E$10+1,1))</f>
        <v>249.03969036629979</v>
      </c>
      <c r="AO90" s="62">
        <f t="shared" si="90"/>
        <v>347.8713931923707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2.6963222379911467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2.6963222379911467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280.57175994295949</v>
      </c>
      <c r="BJ90" s="62">
        <f t="shared" si="92"/>
        <v>216.69635818716841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0.49783934737057262</v>
      </c>
      <c r="BR90" s="23">
        <f>EXP(-LN(2)/2)*BR89+(1-EXP(-LN(2)/2))/(LN(2)/2)*BL90*BO90*VLOOKUP('Données projet'!$B$11,Paramètres!$A$1:$I$89,3,0)*0.475*44/12</f>
        <v>5.5655600163395492E-8</v>
      </c>
      <c r="BS90" s="24">
        <f t="shared" si="63"/>
        <v>0.4978394030261728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16.5</v>
      </c>
      <c r="BY90" s="13">
        <f>IF('Données projet'!$A$114&gt;35,BY89+BX90-CG89,IF(A90&lt;'Données projet'!$A$114,$BV$205^A90,IF(A90='Données projet'!$A$114,'Données projet'!$B$114,BY89+BX90-CG89)))</f>
        <v>760.49999999999943</v>
      </c>
      <c r="BZ90" s="14">
        <f>BY90*VLOOKUP('Données projet'!$B$12,Paramètres!$A$1:$I$89,3,0)*VLOOKUP('Données projet'!$B$12,Paramètres!$A$1:$I$89,5,0)</f>
        <v>375.68699999999973</v>
      </c>
      <c r="CA90" s="14">
        <f t="shared" si="93"/>
        <v>86.829733146085516</v>
      </c>
      <c r="CB90" s="22">
        <f t="shared" si="64"/>
        <v>805.54997689609843</v>
      </c>
      <c r="CC90" s="62">
        <f t="shared" si="65"/>
        <v>1098.8833102294318</v>
      </c>
      <c r="CD90" s="62">
        <f ca="1">AVERAGE(OFFSET($CC$3,0,0,'Données projet'!$E$12+1,1))-AVERAGE(OFFSET($H$3,0,0,'Données projet'!$E$12+1,1))</f>
        <v>426.64691649521097</v>
      </c>
      <c r="CE90" s="62">
        <f t="shared" si="94"/>
        <v>71.485487617222645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49.191999999999943</v>
      </c>
      <c r="D91" s="12">
        <f t="shared" si="86"/>
        <v>14.404892693343806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490.92338219423249</v>
      </c>
      <c r="H91" s="70">
        <f t="shared" si="56"/>
        <v>404.09792144090699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348.4</v>
      </c>
      <c r="O91" s="14">
        <f>N91*VLOOKUP('Données projet'!$B$9,Paramètres!$A$1:$I$89,3,0)*VLOOKUP('Données projet'!$B$9,Paramètres!$A$1:$I$89,5,0)</f>
        <v>163.05119999999999</v>
      </c>
      <c r="P91" s="14">
        <f t="shared" si="87"/>
        <v>41.529963627394977</v>
      </c>
      <c r="Q91" s="22">
        <f t="shared" si="54"/>
        <v>356.31219331771285</v>
      </c>
      <c r="R91" s="62">
        <f t="shared" si="55"/>
        <v>649.64552665104611</v>
      </c>
      <c r="S91" s="62">
        <f ca="1">AVERAGE(OFFSET($R$3,0,0,'Données projet'!$E$9+1,1))-AVERAGE(OFFSET($H$3,0,0,'Données projet'!$E$9+1,1))</f>
        <v>165.12229410621887</v>
      </c>
      <c r="T91" s="62">
        <f t="shared" si="88"/>
        <v>148.17171564653341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1.9895196601282805E-13</v>
      </c>
      <c r="AJ91" s="14">
        <f>AI91*VLOOKUP('Données projet'!$B$10,Paramètres!$A$1:$I$89,3,0)*VLOOKUP('Données projet'!$B$10,Paramètres!$A$1:$I$89,5,0)</f>
        <v>1.8001173884840681E-13</v>
      </c>
      <c r="AK91" s="14">
        <f t="shared" si="89"/>
        <v>2.5254331426407198E-12</v>
      </c>
      <c r="AL91" s="22">
        <f t="shared" si="58"/>
        <v>4.7119831685935622E-12</v>
      </c>
      <c r="AM91" s="62">
        <f t="shared" si="59"/>
        <v>293.33333333333803</v>
      </c>
      <c r="AN91" s="62">
        <f ca="1">AVERAGE(OFFSET($AM$3,0,0,'Données projet'!$E$10+1,1))-AVERAGE(OFFSET($H$3,0,0,'Données projet'!$E$10+1,1))</f>
        <v>249.03969036629979</v>
      </c>
      <c r="AO91" s="62">
        <f t="shared" si="90"/>
        <v>347.8713931923707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2.6434490034983154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2.6434490034983154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280.57175994295949</v>
      </c>
      <c r="BJ91" s="62">
        <f t="shared" si="92"/>
        <v>216.69635818716841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0.48422590423649087</v>
      </c>
      <c r="BR91" s="23">
        <f>EXP(-LN(2)/2)*BR90+(1-EXP(-LN(2)/2))/(LN(2)/2)*BL91*BO91*VLOOKUP('Données projet'!$B$11,Paramètres!$A$1:$I$89,3,0)*0.475*44/12</f>
        <v>3.9354452286544074E-8</v>
      </c>
      <c r="BS91" s="24">
        <f t="shared" si="63"/>
        <v>0.48422594359094318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16.5</v>
      </c>
      <c r="BY91" s="13">
        <f>IF('Données projet'!$A$114&gt;35,BY90+BX91-CG90,IF(A91&lt;'Données projet'!$A$114,$BV$205^A91,IF(A91='Données projet'!$A$114,'Données projet'!$B$114,BY90+BX91-CG90)))</f>
        <v>776.99999999999943</v>
      </c>
      <c r="BZ91" s="14">
        <f>BY91*VLOOKUP('Données projet'!$B$12,Paramètres!$A$1:$I$89,3,0)*VLOOKUP('Données projet'!$B$12,Paramètres!$A$1:$I$89,5,0)</f>
        <v>383.83799999999968</v>
      </c>
      <c r="CA91" s="14">
        <f t="shared" si="93"/>
        <v>88.492244204253467</v>
      </c>
      <c r="CB91" s="22">
        <f t="shared" si="64"/>
        <v>822.64184198907424</v>
      </c>
      <c r="CC91" s="62">
        <f t="shared" si="65"/>
        <v>1115.9751753224075</v>
      </c>
      <c r="CD91" s="62">
        <f ca="1">AVERAGE(OFFSET($CC$3,0,0,'Données projet'!$E$12+1,1))-AVERAGE(OFFSET($H$3,0,0,'Données projet'!$E$12+1,1))</f>
        <v>426.64691649521097</v>
      </c>
      <c r="CE91" s="62">
        <f t="shared" si="94"/>
        <v>71.485487617222645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49.750999999999941</v>
      </c>
      <c r="D92" s="12">
        <f t="shared" si="86"/>
        <v>14.549435654988406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496.35424014376969</v>
      </c>
      <c r="H92" s="70">
        <f t="shared" si="56"/>
        <v>405.32325876577136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356.7</v>
      </c>
      <c r="O92" s="14">
        <f>N92*VLOOKUP('Données projet'!$B$9,Paramètres!$A$1:$I$89,3,0)*VLOOKUP('Données projet'!$B$9,Paramètres!$A$1:$I$89,5,0)</f>
        <v>166.93559999999997</v>
      </c>
      <c r="P92" s="14">
        <f t="shared" si="87"/>
        <v>42.402975021498193</v>
      </c>
      <c r="Q92" s="22">
        <f t="shared" si="54"/>
        <v>364.59801816244266</v>
      </c>
      <c r="R92" s="62">
        <f t="shared" si="55"/>
        <v>657.93135149577597</v>
      </c>
      <c r="S92" s="62">
        <f ca="1">AVERAGE(OFFSET($R$3,0,0,'Données projet'!$E$9+1,1))-AVERAGE(OFFSET($H$3,0,0,'Données projet'!$E$9+1,1))</f>
        <v>165.12229410621887</v>
      </c>
      <c r="T92" s="62">
        <f t="shared" si="88"/>
        <v>148.17171564653341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1.9895196601282805E-13</v>
      </c>
      <c r="AJ92" s="14">
        <f>AI92*VLOOKUP('Données projet'!$B$10,Paramètres!$A$1:$I$89,3,0)*VLOOKUP('Données projet'!$B$10,Paramètres!$A$1:$I$89,5,0)</f>
        <v>1.8001173884840681E-13</v>
      </c>
      <c r="AK92" s="14">
        <f t="shared" si="89"/>
        <v>2.5254331426407198E-12</v>
      </c>
      <c r="AL92" s="22">
        <f t="shared" si="58"/>
        <v>4.7119831685935622E-12</v>
      </c>
      <c r="AM92" s="62">
        <f t="shared" si="59"/>
        <v>293.33333333333803</v>
      </c>
      <c r="AN92" s="62">
        <f ca="1">AVERAGE(OFFSET($AM$3,0,0,'Données projet'!$E$10+1,1))-AVERAGE(OFFSET($H$3,0,0,'Données projet'!$E$10+1,1))</f>
        <v>249.03969036629979</v>
      </c>
      <c r="AO92" s="62">
        <f t="shared" si="90"/>
        <v>347.8713931923707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2.5916125808843997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2.5916125808843997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280.57175994295949</v>
      </c>
      <c r="BJ92" s="62">
        <f t="shared" si="92"/>
        <v>216.69635818716841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0.47098472142081044</v>
      </c>
      <c r="BR92" s="23">
        <f>EXP(-LN(2)/2)*BR91+(1-EXP(-LN(2)/2))/(LN(2)/2)*BL92*BO92*VLOOKUP('Données projet'!$B$11,Paramètres!$A$1:$I$89,3,0)*0.475*44/12</f>
        <v>2.7827800081697746E-8</v>
      </c>
      <c r="BS92" s="24">
        <f t="shared" si="63"/>
        <v>0.4709847492486105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16.5</v>
      </c>
      <c r="BY92" s="13">
        <f>IF('Données projet'!$A$114&gt;35,BY91+BX92-CG91,IF(A92&lt;'Données projet'!$A$114,$BV$205^A92,IF(A92='Données projet'!$A$114,'Données projet'!$B$114,BY91+BX92-CG91)))</f>
        <v>793.49999999999943</v>
      </c>
      <c r="BZ92" s="14">
        <f>BY92*VLOOKUP('Données projet'!$B$12,Paramètres!$A$1:$I$89,3,0)*VLOOKUP('Données projet'!$B$12,Paramètres!$A$1:$I$89,5,0)</f>
        <v>391.98899999999975</v>
      </c>
      <c r="CA92" s="14">
        <f t="shared" si="93"/>
        <v>90.150650591789599</v>
      </c>
      <c r="CB92" s="22">
        <f t="shared" si="64"/>
        <v>839.72655811403308</v>
      </c>
      <c r="CC92" s="62">
        <f t="shared" si="65"/>
        <v>1133.0598914473665</v>
      </c>
      <c r="CD92" s="62">
        <f ca="1">AVERAGE(OFFSET($CC$3,0,0,'Données projet'!$E$12+1,1))-AVERAGE(OFFSET($H$3,0,0,'Données projet'!$E$12+1,1))</f>
        <v>426.64691649521097</v>
      </c>
      <c r="CE92" s="62">
        <f t="shared" si="94"/>
        <v>71.485487617222645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50.309999999999938</v>
      </c>
      <c r="D93" s="12">
        <f t="shared" si="86"/>
        <v>14.693789693291537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501.7836397376887</v>
      </c>
      <c r="H93" s="70">
        <f t="shared" si="56"/>
        <v>406.54826704914933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365</v>
      </c>
      <c r="O93" s="14">
        <f>N93*VLOOKUP('Données projet'!$B$9,Paramètres!$A$1:$I$89,3,0)*VLOOKUP('Données projet'!$B$9,Paramètres!$A$1:$I$89,5,0)</f>
        <v>170.82000000000002</v>
      </c>
      <c r="P93" s="14">
        <f t="shared" si="87"/>
        <v>43.273624843069463</v>
      </c>
      <c r="Q93" s="22">
        <f t="shared" si="54"/>
        <v>372.87972993501268</v>
      </c>
      <c r="R93" s="62">
        <f t="shared" si="55"/>
        <v>666.21306326834599</v>
      </c>
      <c r="S93" s="62">
        <f ca="1">AVERAGE(OFFSET($R$3,0,0,'Données projet'!$E$9+1,1))-AVERAGE(OFFSET($H$3,0,0,'Données projet'!$E$9+1,1))</f>
        <v>165.12229410621887</v>
      </c>
      <c r="T93" s="62">
        <f t="shared" si="88"/>
        <v>148.17171564653341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1.9895196601282805E-13</v>
      </c>
      <c r="AJ93" s="14">
        <f>AI93*VLOOKUP('Données projet'!$B$10,Paramètres!$A$1:$I$89,3,0)*VLOOKUP('Données projet'!$B$10,Paramètres!$A$1:$I$89,5,0)</f>
        <v>1.8001173884840681E-13</v>
      </c>
      <c r="AK93" s="14">
        <f t="shared" si="89"/>
        <v>2.5254331426407198E-12</v>
      </c>
      <c r="AL93" s="22">
        <f t="shared" si="58"/>
        <v>4.7119831685935622E-12</v>
      </c>
      <c r="AM93" s="62">
        <f t="shared" si="59"/>
        <v>293.33333333333803</v>
      </c>
      <c r="AN93" s="62">
        <f ca="1">AVERAGE(OFFSET($AM$3,0,0,'Données projet'!$E$10+1,1))-AVERAGE(OFFSET($H$3,0,0,'Données projet'!$E$10+1,1))</f>
        <v>249.03969036629979</v>
      </c>
      <c r="AO93" s="62">
        <f t="shared" si="90"/>
        <v>347.8713931923707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2.5407926389008471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2.5407926389008471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280.57175994295949</v>
      </c>
      <c r="BJ93" s="62">
        <f t="shared" si="92"/>
        <v>216.69635818716841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0.45810561944554834</v>
      </c>
      <c r="BR93" s="23">
        <f>EXP(-LN(2)/2)*BR92+(1-EXP(-LN(2)/2))/(LN(2)/2)*BL93*BO93*VLOOKUP('Données projet'!$B$11,Paramètres!$A$1:$I$89,3,0)*0.475*44/12</f>
        <v>1.9677226143272037E-8</v>
      </c>
      <c r="BS93" s="24">
        <f t="shared" si="63"/>
        <v>0.45810563912277447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810</v>
      </c>
      <c r="BW93" s="13">
        <f>VLOOKUP(A93,'Données projet'!$A$113:$I$133,9,0)</f>
        <v>16.5</v>
      </c>
      <c r="BX93" s="13">
        <f t="array" ref="BX93">INDEX(BW:BW,MIN(IF(ISNUMBER(BW93:BW289),ROW(BW93:BW289),"")))</f>
        <v>16.5</v>
      </c>
      <c r="BY93" s="13">
        <f>IF('Données projet'!$A$114&gt;35,BY92+BX93-CG92,IF(A93&lt;'Données projet'!$A$114,$BV$205^A93,IF(A93='Données projet'!$A$114,'Données projet'!$B$114,BY92+BX93-CG92)))</f>
        <v>809.99999999999943</v>
      </c>
      <c r="BZ93" s="14">
        <f>BY93*VLOOKUP('Données projet'!$B$12,Paramètres!$A$1:$I$89,3,0)*VLOOKUP('Données projet'!$B$12,Paramètres!$A$1:$I$89,5,0)</f>
        <v>400.13999999999976</v>
      </c>
      <c r="CA93" s="14">
        <f t="shared" si="93"/>
        <v>91.805047494648463</v>
      </c>
      <c r="CB93" s="22">
        <f t="shared" si="64"/>
        <v>856.80429105317899</v>
      </c>
      <c r="CC93" s="62">
        <f t="shared" si="65"/>
        <v>1150.1376243865122</v>
      </c>
      <c r="CD93" s="62">
        <f ca="1">AVERAGE(OFFSET($CC$3,0,0,'Données projet'!$E$12+1,1))-AVERAGE(OFFSET($H$3,0,0,'Données projet'!$E$12+1,1))</f>
        <v>426.64691649521097</v>
      </c>
      <c r="CE93" s="62">
        <f t="shared" si="94"/>
        <v>71.485487617222645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100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50.868999999999936</v>
      </c>
      <c r="D94" s="12">
        <f t="shared" si="86"/>
        <v>14.837957150324335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507.21159905513474</v>
      </c>
      <c r="H94" s="70">
        <f t="shared" si="56"/>
        <v>407.77295037014807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300.3</v>
      </c>
      <c r="O94" s="14">
        <f>N94*VLOOKUP('Données projet'!$B$9,Paramètres!$A$1:$I$89,3,0)*VLOOKUP('Données projet'!$B$9,Paramètres!$A$1:$I$89,5,0)</f>
        <v>140.54040000000001</v>
      </c>
      <c r="P94" s="14">
        <f t="shared" si="87"/>
        <v>36.420775774849901</v>
      </c>
      <c r="Q94" s="22">
        <f t="shared" si="54"/>
        <v>308.20738114119689</v>
      </c>
      <c r="R94" s="62">
        <f t="shared" si="55"/>
        <v>601.5407144745302</v>
      </c>
      <c r="S94" s="62">
        <f ca="1">AVERAGE(OFFSET($R$3,0,0,'Données projet'!$E$9+1,1))-AVERAGE(OFFSET($H$3,0,0,'Données projet'!$E$9+1,1))</f>
        <v>165.12229410621887</v>
      </c>
      <c r="T94" s="62">
        <f t="shared" si="88"/>
        <v>148.17171564653341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1.9895196601282805E-13</v>
      </c>
      <c r="AJ94" s="14">
        <f>AI94*VLOOKUP('Données projet'!$B$10,Paramètres!$A$1:$I$89,3,0)*VLOOKUP('Données projet'!$B$10,Paramètres!$A$1:$I$89,5,0)</f>
        <v>1.8001173884840681E-13</v>
      </c>
      <c r="AK94" s="14">
        <f t="shared" si="89"/>
        <v>2.5254331426407198E-12</v>
      </c>
      <c r="AL94" s="22">
        <f t="shared" si="58"/>
        <v>4.7119831685935622E-12</v>
      </c>
      <c r="AM94" s="62">
        <f t="shared" si="59"/>
        <v>293.33333333333803</v>
      </c>
      <c r="AN94" s="62">
        <f ca="1">AVERAGE(OFFSET($AM$3,0,0,'Données projet'!$E$10+1,1))-AVERAGE(OFFSET($H$3,0,0,'Données projet'!$E$10+1,1))</f>
        <v>249.03969036629979</v>
      </c>
      <c r="AO94" s="62">
        <f t="shared" si="90"/>
        <v>347.8713931923707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2.4909692449824878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2.4909692449824878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280.57175994295949</v>
      </c>
      <c r="BJ94" s="62">
        <f t="shared" si="92"/>
        <v>216.69635818716841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0.44557869719108228</v>
      </c>
      <c r="BR94" s="23">
        <f>EXP(-LN(2)/2)*BR93+(1-EXP(-LN(2)/2))/(LN(2)/2)*BL94*BO94*VLOOKUP('Données projet'!$B$11,Paramètres!$A$1:$I$89,3,0)*0.475*44/12</f>
        <v>1.3913900040848873E-8</v>
      </c>
      <c r="BS94" s="24">
        <f t="shared" si="63"/>
        <v>0.44557871110498232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13.5</v>
      </c>
      <c r="BY94" s="13">
        <f>IF('Données projet'!$A$114&gt;35,BY93+BX94-CG93,IF(A94&lt;'Données projet'!$A$114,$BV$205^A94,IF(A94='Données projet'!$A$114,'Données projet'!$B$114,BY93+BX94-CG93)))</f>
        <v>723.49999999999943</v>
      </c>
      <c r="BZ94" s="14">
        <f>BY94*VLOOKUP('Données projet'!$B$12,Paramètres!$A$1:$I$89,3,0)*VLOOKUP('Données projet'!$B$12,Paramètres!$A$1:$I$89,5,0)</f>
        <v>357.40899999999971</v>
      </c>
      <c r="CA94" s="14">
        <f t="shared" si="93"/>
        <v>83.086236383314144</v>
      </c>
      <c r="CB94" s="22">
        <f t="shared" si="64"/>
        <v>767.19587003427159</v>
      </c>
      <c r="CC94" s="62">
        <f t="shared" si="65"/>
        <v>1060.5292033676049</v>
      </c>
      <c r="CD94" s="62">
        <f ca="1">AVERAGE(OFFSET($CC$3,0,0,'Données projet'!$E$12+1,1))-AVERAGE(OFFSET($H$3,0,0,'Données projet'!$E$12+1,1))</f>
        <v>426.64691649521097</v>
      </c>
      <c r="CE94" s="62">
        <f t="shared" si="94"/>
        <v>71.485487617222645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51.427999999999933</v>
      </c>
      <c r="D95" s="12">
        <f t="shared" si="86"/>
        <v>14.981940313719656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512.63813575502843</v>
      </c>
      <c r="H95" s="70">
        <f t="shared" si="56"/>
        <v>408.9973127130616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308.60000000000002</v>
      </c>
      <c r="O95" s="14">
        <f>N95*VLOOKUP('Données projet'!$B$9,Paramètres!$A$1:$I$89,3,0)*VLOOKUP('Données projet'!$B$9,Paramètres!$A$1:$I$89,5,0)</f>
        <v>144.4248</v>
      </c>
      <c r="P95" s="14">
        <f t="shared" si="87"/>
        <v>37.308822031923654</v>
      </c>
      <c r="Q95" s="22">
        <f t="shared" si="54"/>
        <v>316.51939170560036</v>
      </c>
      <c r="R95" s="62">
        <f t="shared" si="55"/>
        <v>609.85272503893361</v>
      </c>
      <c r="S95" s="62">
        <f ca="1">AVERAGE(OFFSET($R$3,0,0,'Données projet'!$E$9+1,1))-AVERAGE(OFFSET($H$3,0,0,'Données projet'!$E$9+1,1))</f>
        <v>165.12229410621887</v>
      </c>
      <c r="T95" s="62">
        <f t="shared" si="88"/>
        <v>148.17171564653341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1.9895196601282805E-13</v>
      </c>
      <c r="AJ95" s="14">
        <f>AI95*VLOOKUP('Données projet'!$B$10,Paramètres!$A$1:$I$89,3,0)*VLOOKUP('Données projet'!$B$10,Paramètres!$A$1:$I$89,5,0)</f>
        <v>1.8001173884840681E-13</v>
      </c>
      <c r="AK95" s="14">
        <f t="shared" si="89"/>
        <v>2.5254331426407198E-12</v>
      </c>
      <c r="AL95" s="22">
        <f t="shared" si="58"/>
        <v>4.7119831685935622E-12</v>
      </c>
      <c r="AM95" s="62">
        <f t="shared" si="59"/>
        <v>293.33333333333803</v>
      </c>
      <c r="AN95" s="62">
        <f ca="1">AVERAGE(OFFSET($AM$3,0,0,'Données projet'!$E$10+1,1))-AVERAGE(OFFSET($H$3,0,0,'Données projet'!$E$10+1,1))</f>
        <v>249.03969036629979</v>
      </c>
      <c r="AO95" s="62">
        <f t="shared" si="90"/>
        <v>347.8713931923707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2.4421228574295983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2.4421228574295983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280.57175994295949</v>
      </c>
      <c r="BJ95" s="62">
        <f t="shared" si="92"/>
        <v>216.69635818716841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0.43339432428442681</v>
      </c>
      <c r="BR95" s="23">
        <f>EXP(-LN(2)/2)*BR94+(1-EXP(-LN(2)/2))/(LN(2)/2)*BL95*BO95*VLOOKUP('Données projet'!$B$11,Paramètres!$A$1:$I$89,3,0)*0.475*44/12</f>
        <v>9.8386130716360185E-9</v>
      </c>
      <c r="BS95" s="24">
        <f t="shared" si="63"/>
        <v>0.4333943341230399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13.5</v>
      </c>
      <c r="BY95" s="13">
        <f>IF('Données projet'!$A$114&gt;35,BY94+BX95-CG94,IF(A95&lt;'Données projet'!$A$114,$BV$205^A95,IF(A95='Données projet'!$A$114,'Données projet'!$B$114,BY94+BX95-CG94)))</f>
        <v>736.99999999999943</v>
      </c>
      <c r="BZ95" s="14">
        <f>BY95*VLOOKUP('Données projet'!$B$12,Paramètres!$A$1:$I$89,3,0)*VLOOKUP('Données projet'!$B$12,Paramètres!$A$1:$I$89,5,0)</f>
        <v>364.07799999999975</v>
      </c>
      <c r="CA95" s="14">
        <f t="shared" si="93"/>
        <v>84.454631091638305</v>
      </c>
      <c r="CB95" s="22">
        <f t="shared" si="64"/>
        <v>781.19433248460291</v>
      </c>
      <c r="CC95" s="62">
        <f t="shared" si="65"/>
        <v>1074.5276658179362</v>
      </c>
      <c r="CD95" s="62">
        <f ca="1">AVERAGE(OFFSET($CC$3,0,0,'Données projet'!$E$12+1,1))-AVERAGE(OFFSET($H$3,0,0,'Données projet'!$E$12+1,1))</f>
        <v>426.64691649521097</v>
      </c>
      <c r="CE95" s="62">
        <f t="shared" si="94"/>
        <v>71.485487617222645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51.986999999999931</v>
      </c>
      <c r="D96" s="12">
        <f t="shared" si="86"/>
        <v>15.125741418515025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518.06326709029088</v>
      </c>
      <c r="H96" s="70">
        <f t="shared" si="56"/>
        <v>410.22135797058019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316.90000000000003</v>
      </c>
      <c r="O96" s="14">
        <f>N96*VLOOKUP('Données projet'!$B$9,Paramètres!$A$1:$I$89,3,0)*VLOOKUP('Données projet'!$B$9,Paramètres!$A$1:$I$89,5,0)</f>
        <v>148.3092</v>
      </c>
      <c r="P96" s="14">
        <f t="shared" si="87"/>
        <v>38.194092116566551</v>
      </c>
      <c r="Q96" s="22">
        <f t="shared" si="54"/>
        <v>324.82656710302007</v>
      </c>
      <c r="R96" s="62">
        <f t="shared" si="55"/>
        <v>618.15990043635338</v>
      </c>
      <c r="S96" s="62">
        <f ca="1">AVERAGE(OFFSET($R$3,0,0,'Données projet'!$E$9+1,1))-AVERAGE(OFFSET($H$3,0,0,'Données projet'!$E$9+1,1))</f>
        <v>165.12229410621887</v>
      </c>
      <c r="T96" s="62">
        <f t="shared" si="88"/>
        <v>148.17171564653341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1.9895196601282805E-13</v>
      </c>
      <c r="AJ96" s="14">
        <f>AI96*VLOOKUP('Données projet'!$B$10,Paramètres!$A$1:$I$89,3,0)*VLOOKUP('Données projet'!$B$10,Paramètres!$A$1:$I$89,5,0)</f>
        <v>1.8001173884840681E-13</v>
      </c>
      <c r="AK96" s="14">
        <f t="shared" si="89"/>
        <v>2.5254331426407198E-12</v>
      </c>
      <c r="AL96" s="22">
        <f t="shared" si="58"/>
        <v>4.7119831685935622E-12</v>
      </c>
      <c r="AM96" s="62">
        <f t="shared" si="59"/>
        <v>293.33333333333803</v>
      </c>
      <c r="AN96" s="62">
        <f ca="1">AVERAGE(OFFSET($AM$3,0,0,'Données projet'!$E$10+1,1))-AVERAGE(OFFSET($H$3,0,0,'Données projet'!$E$10+1,1))</f>
        <v>249.03969036629979</v>
      </c>
      <c r="AO96" s="62">
        <f t="shared" si="90"/>
        <v>347.8713931923707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2.3942343177432663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2.3942343177432663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280.57175994295949</v>
      </c>
      <c r="BJ96" s="62">
        <f t="shared" si="92"/>
        <v>216.69635818716841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0.42154313369565216</v>
      </c>
      <c r="BR96" s="23">
        <f>EXP(-LN(2)/2)*BR95+(1-EXP(-LN(2)/2))/(LN(2)/2)*BL96*BO96*VLOOKUP('Données projet'!$B$11,Paramètres!$A$1:$I$89,3,0)*0.475*44/12</f>
        <v>6.9569500204244364E-9</v>
      </c>
      <c r="BS96" s="24">
        <f t="shared" si="63"/>
        <v>0.42154314065260218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13.5</v>
      </c>
      <c r="BY96" s="13">
        <f>IF('Données projet'!$A$114&gt;35,BY95+BX96-CG95,IF(A96&lt;'Données projet'!$A$114,$BV$205^A96,IF(A96='Données projet'!$A$114,'Données projet'!$B$114,BY95+BX96-CG95)))</f>
        <v>750.49999999999943</v>
      </c>
      <c r="BZ96" s="14">
        <f>BY96*VLOOKUP('Données projet'!$B$12,Paramètres!$A$1:$I$89,3,0)*VLOOKUP('Données projet'!$B$12,Paramètres!$A$1:$I$89,5,0)</f>
        <v>370.74699999999973</v>
      </c>
      <c r="CA96" s="14">
        <f t="shared" si="93"/>
        <v>85.820111102971111</v>
      </c>
      <c r="CB96" s="22">
        <f t="shared" si="64"/>
        <v>795.18771850434086</v>
      </c>
      <c r="CC96" s="62">
        <f t="shared" si="65"/>
        <v>1088.5210518376741</v>
      </c>
      <c r="CD96" s="62">
        <f ca="1">AVERAGE(OFFSET($CC$3,0,0,'Données projet'!$E$12+1,1))-AVERAGE(OFFSET($H$3,0,0,'Données projet'!$E$12+1,1))</f>
        <v>426.64691649521097</v>
      </c>
      <c r="CE96" s="62">
        <f t="shared" si="94"/>
        <v>71.485487617222645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52.545999999999928</v>
      </c>
      <c r="D97" s="12">
        <f t="shared" si="86"/>
        <v>15.269362648914145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523.487009921442</v>
      </c>
      <c r="H97" s="70">
        <f t="shared" si="56"/>
        <v>411.44508994685867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325.20000000000005</v>
      </c>
      <c r="O97" s="14">
        <f>N97*VLOOKUP('Données projet'!$B$9,Paramètres!$A$1:$I$89,3,0)*VLOOKUP('Données projet'!$B$9,Paramètres!$A$1:$I$89,5,0)</f>
        <v>152.19360000000003</v>
      </c>
      <c r="P97" s="14">
        <f t="shared" si="87"/>
        <v>39.076667098894909</v>
      </c>
      <c r="Q97" s="22">
        <f t="shared" si="54"/>
        <v>333.1290485305754</v>
      </c>
      <c r="R97" s="62">
        <f t="shared" si="55"/>
        <v>626.46238186390872</v>
      </c>
      <c r="S97" s="62">
        <f ca="1">AVERAGE(OFFSET($R$3,0,0,'Données projet'!$E$9+1,1))-AVERAGE(OFFSET($H$3,0,0,'Données projet'!$E$9+1,1))</f>
        <v>165.12229410621887</v>
      </c>
      <c r="T97" s="62">
        <f t="shared" si="88"/>
        <v>148.17171564653341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1.9895196601282805E-13</v>
      </c>
      <c r="AJ97" s="14">
        <f>AI97*VLOOKUP('Données projet'!$B$10,Paramètres!$A$1:$I$89,3,0)*VLOOKUP('Données projet'!$B$10,Paramètres!$A$1:$I$89,5,0)</f>
        <v>1.8001173884840681E-13</v>
      </c>
      <c r="AK97" s="14">
        <f t="shared" si="89"/>
        <v>2.5254331426407198E-12</v>
      </c>
      <c r="AL97" s="22">
        <f t="shared" si="58"/>
        <v>4.7119831685935622E-12</v>
      </c>
      <c r="AM97" s="62">
        <f t="shared" si="59"/>
        <v>293.33333333333803</v>
      </c>
      <c r="AN97" s="62">
        <f ca="1">AVERAGE(OFFSET($AM$3,0,0,'Données projet'!$E$10+1,1))-AVERAGE(OFFSET($H$3,0,0,'Données projet'!$E$10+1,1))</f>
        <v>249.03969036629979</v>
      </c>
      <c r="AO97" s="62">
        <f t="shared" si="90"/>
        <v>347.8713931923707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2.3472848431110584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2.3472848431110584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280.57175994295949</v>
      </c>
      <c r="BJ97" s="62">
        <f t="shared" si="92"/>
        <v>216.69635818716841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0.41001601453675462</v>
      </c>
      <c r="BR97" s="23">
        <f>EXP(-LN(2)/2)*BR96+(1-EXP(-LN(2)/2))/(LN(2)/2)*BL97*BO97*VLOOKUP('Données projet'!$B$11,Paramètres!$A$1:$I$89,3,0)*0.475*44/12</f>
        <v>4.9193065358180093E-9</v>
      </c>
      <c r="BS97" s="24">
        <f t="shared" si="63"/>
        <v>0.41001601945606114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13.5</v>
      </c>
      <c r="BY97" s="13">
        <f>IF('Données projet'!$A$114&gt;35,BY96+BX97-CG96,IF(A97&lt;'Données projet'!$A$114,$BV$205^A97,IF(A97='Données projet'!$A$114,'Données projet'!$B$114,BY96+BX97-CG96)))</f>
        <v>763.99999999999943</v>
      </c>
      <c r="BZ97" s="14">
        <f>BY97*VLOOKUP('Données projet'!$B$12,Paramètres!$A$1:$I$89,3,0)*VLOOKUP('Données projet'!$B$12,Paramètres!$A$1:$I$89,5,0)</f>
        <v>377.41599999999971</v>
      </c>
      <c r="CA97" s="14">
        <f t="shared" si="93"/>
        <v>87.182734894833743</v>
      </c>
      <c r="CB97" s="22">
        <f t="shared" si="64"/>
        <v>809.17612994183492</v>
      </c>
      <c r="CC97" s="62">
        <f t="shared" si="65"/>
        <v>1102.5094632751682</v>
      </c>
      <c r="CD97" s="62">
        <f ca="1">AVERAGE(OFFSET($CC$3,0,0,'Données projet'!$E$12+1,1))-AVERAGE(OFFSET($H$3,0,0,'Données projet'!$E$12+1,1))</f>
        <v>426.64691649521097</v>
      </c>
      <c r="CE97" s="62">
        <f t="shared" si="94"/>
        <v>71.485487617222645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53.104999999999926</v>
      </c>
      <c r="D98" s="12">
        <f t="shared" si="86"/>
        <v>15.412806139971298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528.9093807296025</v>
      </c>
      <c r="H98" s="70">
        <f t="shared" si="56"/>
        <v>412.66851236044988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333.50000000000006</v>
      </c>
      <c r="O98" s="14">
        <f>N98*VLOOKUP('Données projet'!$B$9,Paramètres!$A$1:$I$89,3,0)*VLOOKUP('Données projet'!$B$9,Paramètres!$A$1:$I$89,5,0)</f>
        <v>156.07800000000003</v>
      </c>
      <c r="P98" s="14">
        <f t="shared" si="87"/>
        <v>39.956623674978466</v>
      </c>
      <c r="Q98" s="22">
        <f t="shared" si="54"/>
        <v>341.42696956725422</v>
      </c>
      <c r="R98" s="62">
        <f t="shared" si="55"/>
        <v>634.76030290058748</v>
      </c>
      <c r="S98" s="62">
        <f ca="1">AVERAGE(OFFSET($R$3,0,0,'Données projet'!$E$9+1,1))-AVERAGE(OFFSET($H$3,0,0,'Données projet'!$E$9+1,1))</f>
        <v>165.12229410621887</v>
      </c>
      <c r="T98" s="62">
        <f t="shared" si="88"/>
        <v>148.17171564653341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1.9895196601282805E-13</v>
      </c>
      <c r="AJ98" s="14">
        <f>AI98*VLOOKUP('Données projet'!$B$10,Paramètres!$A$1:$I$89,3,0)*VLOOKUP('Données projet'!$B$10,Paramètres!$A$1:$I$89,5,0)</f>
        <v>1.8001173884840681E-13</v>
      </c>
      <c r="AK98" s="14">
        <f t="shared" si="89"/>
        <v>2.5254331426407198E-12</v>
      </c>
      <c r="AL98" s="22">
        <f t="shared" si="58"/>
        <v>4.7119831685935622E-12</v>
      </c>
      <c r="AM98" s="62">
        <f t="shared" si="59"/>
        <v>293.33333333333803</v>
      </c>
      <c r="AN98" s="62">
        <f ca="1">AVERAGE(OFFSET($AM$3,0,0,'Données projet'!$E$10+1,1))-AVERAGE(OFFSET($H$3,0,0,'Données projet'!$E$10+1,1))</f>
        <v>249.03969036629979</v>
      </c>
      <c r="AO98" s="62">
        <f t="shared" si="90"/>
        <v>347.8713931923707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2.3012560190400362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2.3012560190400362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280.57175994295949</v>
      </c>
      <c r="BJ98" s="62">
        <f t="shared" si="92"/>
        <v>216.69635818716841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0.39880410505744196</v>
      </c>
      <c r="BR98" s="23">
        <f>EXP(-LN(2)/2)*BR97+(1-EXP(-LN(2)/2))/(LN(2)/2)*BL98*BO98*VLOOKUP('Données projet'!$B$11,Paramètres!$A$1:$I$89,3,0)*0.475*44/12</f>
        <v>3.4784750102122182E-9</v>
      </c>
      <c r="BS98" s="24">
        <f t="shared" si="63"/>
        <v>0.39880410853591697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13.5</v>
      </c>
      <c r="BY98" s="13">
        <f>IF('Données projet'!$A$114&gt;35,BY97+BX98-CG97,IF(A98&lt;'Données projet'!$A$114,$BV$205^A98,IF(A98='Données projet'!$A$114,'Données projet'!$B$114,BY97+BX98-CG97)))</f>
        <v>777.49999999999943</v>
      </c>
      <c r="BZ98" s="14">
        <f>BY98*VLOOKUP('Données projet'!$B$12,Paramètres!$A$1:$I$89,3,0)*VLOOKUP('Données projet'!$B$12,Paramètres!$A$1:$I$89,5,0)</f>
        <v>384.0849999999997</v>
      </c>
      <c r="CA98" s="14">
        <f t="shared" si="93"/>
        <v>88.542558759763821</v>
      </c>
      <c r="CB98" s="22">
        <f t="shared" si="64"/>
        <v>823.15966483992145</v>
      </c>
      <c r="CC98" s="62">
        <f t="shared" si="65"/>
        <v>1116.4929981732548</v>
      </c>
      <c r="CD98" s="62">
        <f ca="1">AVERAGE(OFFSET($CC$3,0,0,'Données projet'!$E$12+1,1))-AVERAGE(OFFSET($H$3,0,0,'Données projet'!$E$12+1,1))</f>
        <v>426.64691649521097</v>
      </c>
      <c r="CE98" s="62">
        <f t="shared" si="94"/>
        <v>71.485487617222645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53.663999999999923</v>
      </c>
      <c r="D99" s="12">
        <f t="shared" si="86"/>
        <v>15.556073979202761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534.33039562893293</v>
      </c>
      <c r="H99" s="70">
        <f t="shared" si="56"/>
        <v>413.89162884711129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341.80000000000007</v>
      </c>
      <c r="O99" s="14">
        <f>N99*VLOOKUP('Données projet'!$B$9,Paramètres!$A$1:$I$89,3,0)*VLOOKUP('Données projet'!$B$9,Paramètres!$A$1:$I$89,5,0)</f>
        <v>159.96240000000003</v>
      </c>
      <c r="P99" s="14">
        <f t="shared" si="87"/>
        <v>40.834034505739851</v>
      </c>
      <c r="Q99" s="22">
        <f t="shared" ref="Q99:Q130" si="107">(O99+P99)*0.475*44/12</f>
        <v>349.7204567641636</v>
      </c>
      <c r="R99" s="62">
        <f t="shared" si="55"/>
        <v>643.05379009749686</v>
      </c>
      <c r="S99" s="62">
        <f ca="1">AVERAGE(OFFSET($R$3,0,0,'Données projet'!$E$9+1,1))-AVERAGE(OFFSET($H$3,0,0,'Données projet'!$E$9+1,1))</f>
        <v>165.12229410621887</v>
      </c>
      <c r="T99" s="62">
        <f t="shared" si="88"/>
        <v>148.17171564653341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1.9895196601282805E-13</v>
      </c>
      <c r="AJ99" s="14">
        <f>AI99*VLOOKUP('Données projet'!$B$10,Paramètres!$A$1:$I$89,3,0)*VLOOKUP('Données projet'!$B$10,Paramètres!$A$1:$I$89,5,0)</f>
        <v>1.8001173884840681E-13</v>
      </c>
      <c r="AK99" s="14">
        <f t="shared" si="89"/>
        <v>2.5254331426407198E-12</v>
      </c>
      <c r="AL99" s="22">
        <f t="shared" si="58"/>
        <v>4.7119831685935622E-12</v>
      </c>
      <c r="AM99" s="62">
        <f t="shared" si="59"/>
        <v>293.33333333333803</v>
      </c>
      <c r="AN99" s="62">
        <f ca="1">AVERAGE(OFFSET($AM$3,0,0,'Données projet'!$E$10+1,1))-AVERAGE(OFFSET($H$3,0,0,'Données projet'!$E$10+1,1))</f>
        <v>249.03969036629979</v>
      </c>
      <c r="AO99" s="62">
        <f t="shared" si="90"/>
        <v>347.8713931923707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2.256129792134236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2.256129792134236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280.57175994295949</v>
      </c>
      <c r="BJ99" s="62">
        <f t="shared" si="92"/>
        <v>216.69635818716841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0.3878987858324498</v>
      </c>
      <c r="BR99" s="23">
        <f>EXP(-LN(2)/2)*BR98+(1-EXP(-LN(2)/2))/(LN(2)/2)*BL99*BO99*VLOOKUP('Données projet'!$B$11,Paramètres!$A$1:$I$89,3,0)*0.475*44/12</f>
        <v>2.4596532679090046E-9</v>
      </c>
      <c r="BS99" s="24">
        <f t="shared" si="63"/>
        <v>0.38789878829210306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13.5</v>
      </c>
      <c r="BY99" s="13">
        <f>IF('Données projet'!$A$114&gt;35,BY98+BX99-CG98,IF(A99&lt;'Données projet'!$A$114,$BV$205^A99,IF(A99='Données projet'!$A$114,'Données projet'!$B$114,BY98+BX99-CG98)))</f>
        <v>790.99999999999943</v>
      </c>
      <c r="BZ99" s="14">
        <f>BY99*VLOOKUP('Données projet'!$B$12,Paramètres!$A$1:$I$89,3,0)*VLOOKUP('Données projet'!$B$12,Paramètres!$A$1:$I$89,5,0)</f>
        <v>390.75399999999979</v>
      </c>
      <c r="CA99" s="14">
        <f t="shared" si="93"/>
        <v>89.899636923451169</v>
      </c>
      <c r="CB99" s="22">
        <f t="shared" si="64"/>
        <v>837.13841764167694</v>
      </c>
      <c r="CC99" s="62">
        <f t="shared" si="65"/>
        <v>1130.4717509750103</v>
      </c>
      <c r="CD99" s="62">
        <f ca="1">AVERAGE(OFFSET($CC$3,0,0,'Données projet'!$E$12+1,1))-AVERAGE(OFFSET($H$3,0,0,'Données projet'!$E$12+1,1))</f>
        <v>426.64691649521097</v>
      </c>
      <c r="CE99" s="62">
        <f t="shared" si="94"/>
        <v>71.485487617222645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54.222999999999921</v>
      </c>
      <c r="D100" s="12">
        <f t="shared" si="86"/>
        <v>15.699168208129208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539.75007037854073</v>
      </c>
      <c r="H100" s="70">
        <f t="shared" si="56"/>
        <v>415.11444296249152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350.10000000000008</v>
      </c>
      <c r="O100" s="14">
        <f>N100*VLOOKUP('Données projet'!$B$9,Paramètres!$A$1:$I$89,3,0)*VLOOKUP('Données projet'!$B$9,Paramètres!$A$1:$I$89,5,0)</f>
        <v>163.84680000000003</v>
      </c>
      <c r="P100" s="14">
        <f t="shared" si="87"/>
        <v>41.708968522008732</v>
      </c>
      <c r="Q100" s="22">
        <f t="shared" si="107"/>
        <v>358.00963017583189</v>
      </c>
      <c r="R100" s="62">
        <f t="shared" si="55"/>
        <v>651.3429635091652</v>
      </c>
      <c r="S100" s="62">
        <f ca="1">AVERAGE(OFFSET($R$3,0,0,'Données projet'!$E$9+1,1))-AVERAGE(OFFSET($H$3,0,0,'Données projet'!$E$9+1,1))</f>
        <v>165.12229410621887</v>
      </c>
      <c r="T100" s="62">
        <f t="shared" si="88"/>
        <v>148.17171564653341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1.9895196601282805E-13</v>
      </c>
      <c r="AJ100" s="14">
        <f>AI100*VLOOKUP('Données projet'!$B$10,Paramètres!$A$1:$I$89,3,0)*VLOOKUP('Données projet'!$B$10,Paramètres!$A$1:$I$89,5,0)</f>
        <v>1.8001173884840681E-13</v>
      </c>
      <c r="AK100" s="14">
        <f t="shared" si="89"/>
        <v>2.5254331426407198E-12</v>
      </c>
      <c r="AL100" s="22">
        <f t="shared" si="58"/>
        <v>4.7119831685935622E-12</v>
      </c>
      <c r="AM100" s="62">
        <f t="shared" si="59"/>
        <v>293.33333333333803</v>
      </c>
      <c r="AN100" s="62">
        <f ca="1">AVERAGE(OFFSET($AM$3,0,0,'Données projet'!$E$10+1,1))-AVERAGE(OFFSET($H$3,0,0,'Données projet'!$E$10+1,1))</f>
        <v>249.03969036629979</v>
      </c>
      <c r="AO100" s="62">
        <f t="shared" si="90"/>
        <v>347.8713931923707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2.2118884630137781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2.2118884630137781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280.57175994295949</v>
      </c>
      <c r="BJ100" s="62">
        <f t="shared" si="92"/>
        <v>216.69635818716841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0.37729167313515088</v>
      </c>
      <c r="BR100" s="23">
        <f>EXP(-LN(2)/2)*BR99+(1-EXP(-LN(2)/2))/(LN(2)/2)*BL100*BO100*VLOOKUP('Données projet'!$B$11,Paramètres!$A$1:$I$89,3,0)*0.475*44/12</f>
        <v>1.7392375051061091E-9</v>
      </c>
      <c r="BS100" s="24">
        <f t="shared" si="63"/>
        <v>0.37729167487438842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13.5</v>
      </c>
      <c r="BY100" s="13">
        <f>IF('Données projet'!$A$114&gt;35,BY99+BX100-CG99,IF(A100&lt;'Données projet'!$A$114,$BV$205^A100,IF(A100='Données projet'!$A$114,'Données projet'!$B$114,BY99+BX100-CG99)))</f>
        <v>804.49999999999943</v>
      </c>
      <c r="BZ100" s="14">
        <f>BY100*VLOOKUP('Données projet'!$B$12,Paramètres!$A$1:$I$89,3,0)*VLOOKUP('Données projet'!$B$12,Paramètres!$A$1:$I$89,5,0)</f>
        <v>397.42299999999977</v>
      </c>
      <c r="CA100" s="14">
        <f t="shared" si="93"/>
        <v>91.254021654581038</v>
      </c>
      <c r="CB100" s="22">
        <f t="shared" si="64"/>
        <v>851.11247938172812</v>
      </c>
      <c r="CC100" s="62">
        <f t="shared" si="65"/>
        <v>1144.4458127150615</v>
      </c>
      <c r="CD100" s="62">
        <f ca="1">AVERAGE(OFFSET($CC$3,0,0,'Données projet'!$E$12+1,1))-AVERAGE(OFFSET($H$3,0,0,'Données projet'!$E$12+1,1))</f>
        <v>426.64691649521097</v>
      </c>
      <c r="CE100" s="62">
        <f t="shared" si="94"/>
        <v>71.485487617222645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54.781999999999918</v>
      </c>
      <c r="D101" s="12">
        <f t="shared" si="86"/>
        <v>15.842090823752644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545.1684203938795</v>
      </c>
      <c r="H101" s="70">
        <f t="shared" si="56"/>
        <v>416.33695818470238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358.40000000000009</v>
      </c>
      <c r="O101" s="14">
        <f>N101*VLOOKUP('Données projet'!$B$9,Paramètres!$A$1:$I$89,3,0)*VLOOKUP('Données projet'!$B$9,Paramètres!$A$1:$I$89,5,0)</f>
        <v>167.73120000000006</v>
      </c>
      <c r="P101" s="14">
        <f t="shared" si="87"/>
        <v>42.581491199832655</v>
      </c>
      <c r="Q101" s="22">
        <f t="shared" si="107"/>
        <v>366.29460383970871</v>
      </c>
      <c r="R101" s="62">
        <f t="shared" si="55"/>
        <v>659.62793717304203</v>
      </c>
      <c r="S101" s="62">
        <f ca="1">AVERAGE(OFFSET($R$3,0,0,'Données projet'!$E$9+1,1))-AVERAGE(OFFSET($H$3,0,0,'Données projet'!$E$9+1,1))</f>
        <v>165.12229410621887</v>
      </c>
      <c r="T101" s="62">
        <f t="shared" si="88"/>
        <v>148.17171564653341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1.9895196601282805E-13</v>
      </c>
      <c r="AJ101" s="14">
        <f>AI101*VLOOKUP('Données projet'!$B$10,Paramètres!$A$1:$I$89,3,0)*VLOOKUP('Données projet'!$B$10,Paramètres!$A$1:$I$89,5,0)</f>
        <v>1.8001173884840681E-13</v>
      </c>
      <c r="AK101" s="14">
        <f t="shared" si="89"/>
        <v>2.5254331426407198E-12</v>
      </c>
      <c r="AL101" s="22">
        <f t="shared" si="58"/>
        <v>4.7119831685935622E-12</v>
      </c>
      <c r="AM101" s="62">
        <f t="shared" si="59"/>
        <v>293.33333333333803</v>
      </c>
      <c r="AN101" s="62">
        <f ca="1">AVERAGE(OFFSET($AM$3,0,0,'Données projet'!$E$10+1,1))-AVERAGE(OFFSET($H$3,0,0,'Données projet'!$E$10+1,1))</f>
        <v>249.03969036629979</v>
      </c>
      <c r="AO101" s="62">
        <f t="shared" si="90"/>
        <v>347.8713931923707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2.168514679372826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2.168514679372826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280.57175994295949</v>
      </c>
      <c r="BJ101" s="62">
        <f t="shared" si="92"/>
        <v>216.69635818716841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0.36697461249236341</v>
      </c>
      <c r="BR101" s="23">
        <f>EXP(-LN(2)/2)*BR100+(1-EXP(-LN(2)/2))/(LN(2)/2)*BL101*BO101*VLOOKUP('Données projet'!$B$11,Paramètres!$A$1:$I$89,3,0)*0.475*44/12</f>
        <v>1.2298266339545023E-9</v>
      </c>
      <c r="BS101" s="24">
        <f t="shared" si="63"/>
        <v>0.36697461372219004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13.5</v>
      </c>
      <c r="BY101" s="13">
        <f>IF('Données projet'!$A$114&gt;35,BY100+BX101-CG100,IF(A101&lt;'Données projet'!$A$114,$BV$205^A101,IF(A101='Données projet'!$A$114,'Données projet'!$B$114,BY100+BX101-CG100)))</f>
        <v>817.99999999999943</v>
      </c>
      <c r="BZ101" s="14">
        <f>BY101*VLOOKUP('Données projet'!$B$12,Paramètres!$A$1:$I$89,3,0)*VLOOKUP('Données projet'!$B$12,Paramètres!$A$1:$I$89,5,0)</f>
        <v>404.09199999999976</v>
      </c>
      <c r="CA101" s="14">
        <f t="shared" si="93"/>
        <v>92.605763367095022</v>
      </c>
      <c r="CB101" s="22">
        <f t="shared" si="64"/>
        <v>865.08193786435675</v>
      </c>
      <c r="CC101" s="62">
        <f t="shared" si="65"/>
        <v>1158.4152711976901</v>
      </c>
      <c r="CD101" s="62">
        <f ca="1">AVERAGE(OFFSET($CC$3,0,0,'Données projet'!$E$12+1,1))-AVERAGE(OFFSET($H$3,0,0,'Données projet'!$E$12+1,1))</f>
        <v>426.64691649521097</v>
      </c>
      <c r="CE101" s="62">
        <f t="shared" si="94"/>
        <v>71.485487617222645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55.340999999999916</v>
      </c>
      <c r="D102" s="12">
        <f t="shared" si="86"/>
        <v>15.984843779971341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550.58546075767288</v>
      </c>
      <c r="H102" s="70">
        <f t="shared" si="56"/>
        <v>417.55917791678326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366.7000000000001</v>
      </c>
      <c r="O102" s="14">
        <f>N102*VLOOKUP('Données projet'!$B$9,Paramètres!$A$1:$I$89,3,0)*VLOOKUP('Données projet'!$B$9,Paramètres!$A$1:$I$89,5,0)</f>
        <v>171.61560000000006</v>
      </c>
      <c r="P102" s="14">
        <f t="shared" si="87"/>
        <v>43.45166480956653</v>
      </c>
      <c r="Q102" s="22">
        <f t="shared" si="107"/>
        <v>374.57548620999506</v>
      </c>
      <c r="R102" s="62">
        <f t="shared" si="55"/>
        <v>667.90881954332838</v>
      </c>
      <c r="S102" s="62">
        <f ca="1">AVERAGE(OFFSET($R$3,0,0,'Données projet'!$E$9+1,1))-AVERAGE(OFFSET($H$3,0,0,'Données projet'!$E$9+1,1))</f>
        <v>165.12229410621887</v>
      </c>
      <c r="T102" s="62">
        <f t="shared" si="88"/>
        <v>148.17171564653341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1.9895196601282805E-13</v>
      </c>
      <c r="AJ102" s="14">
        <f>AI102*VLOOKUP('Données projet'!$B$10,Paramètres!$A$1:$I$89,3,0)*VLOOKUP('Données projet'!$B$10,Paramètres!$A$1:$I$89,5,0)</f>
        <v>1.8001173884840681E-13</v>
      </c>
      <c r="AK102" s="14">
        <f t="shared" si="89"/>
        <v>2.5254331426407198E-12</v>
      </c>
      <c r="AL102" s="22">
        <f t="shared" si="58"/>
        <v>4.7119831685935622E-12</v>
      </c>
      <c r="AM102" s="62">
        <f t="shared" si="59"/>
        <v>293.33333333333803</v>
      </c>
      <c r="AN102" s="62">
        <f ca="1">AVERAGE(OFFSET($AM$3,0,0,'Données projet'!$E$10+1,1))-AVERAGE(OFFSET($H$3,0,0,'Données projet'!$E$10+1,1))</f>
        <v>249.03969036629979</v>
      </c>
      <c r="AO102" s="62">
        <f t="shared" si="90"/>
        <v>347.8713931923707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2.125991429173677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2.125991429173677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280.57175994295949</v>
      </c>
      <c r="BJ102" s="62">
        <f t="shared" si="92"/>
        <v>216.69635818716841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0.35693967241540359</v>
      </c>
      <c r="BR102" s="23">
        <f>EXP(-LN(2)/2)*BR101+(1-EXP(-LN(2)/2))/(LN(2)/2)*BL102*BO102*VLOOKUP('Données projet'!$B$11,Paramètres!$A$1:$I$89,3,0)*0.475*44/12</f>
        <v>8.6961875255305455E-10</v>
      </c>
      <c r="BS102" s="24">
        <f t="shared" si="63"/>
        <v>0.35693967328502235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13.5</v>
      </c>
      <c r="BY102" s="13">
        <f>IF('Données projet'!$A$114&gt;35,BY101+BX102-CG101,IF(A102&lt;'Données projet'!$A$114,$BV$205^A102,IF(A102='Données projet'!$A$114,'Données projet'!$B$114,BY101+BX102-CG101)))</f>
        <v>831.49999999999943</v>
      </c>
      <c r="BZ102" s="14">
        <f>BY102*VLOOKUP('Données projet'!$B$12,Paramètres!$A$1:$I$89,3,0)*VLOOKUP('Données projet'!$B$12,Paramètres!$A$1:$I$89,5,0)</f>
        <v>410.76099999999974</v>
      </c>
      <c r="CA102" s="14">
        <f t="shared" si="93"/>
        <v>93.954910715509598</v>
      </c>
      <c r="CB102" s="22">
        <f t="shared" si="64"/>
        <v>879.04687782951203</v>
      </c>
      <c r="CC102" s="62">
        <f t="shared" si="65"/>
        <v>1172.3802111628454</v>
      </c>
      <c r="CD102" s="62">
        <f ca="1">AVERAGE(OFFSET($CC$3,0,0,'Données projet'!$E$12+1,1))-AVERAGE(OFFSET($H$3,0,0,'Données projet'!$E$12+1,1))</f>
        <v>426.64691649521097</v>
      </c>
      <c r="CE102" s="62">
        <f t="shared" si="94"/>
        <v>71.485487617222645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55.899999999999913</v>
      </c>
      <c r="D103" s="12">
        <f t="shared" si="86"/>
        <v>16.127428988936046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556.00120623038276</v>
      </c>
      <c r="H103" s="70">
        <f t="shared" si="56"/>
        <v>418.78110548906341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375.00000000000011</v>
      </c>
      <c r="O103" s="14">
        <f>N103*VLOOKUP('Données projet'!$B$9,Paramètres!$A$1:$I$89,3,0)*VLOOKUP('Données projet'!$B$9,Paramètres!$A$1:$I$89,5,0)</f>
        <v>175.50000000000006</v>
      </c>
      <c r="P103" s="14">
        <f t="shared" si="87"/>
        <v>44.319548641773906</v>
      </c>
      <c r="Q103" s="22">
        <f t="shared" si="107"/>
        <v>382.85238055108965</v>
      </c>
      <c r="R103" s="62">
        <f t="shared" si="55"/>
        <v>676.18571388442297</v>
      </c>
      <c r="S103" s="62">
        <f ca="1">AVERAGE(OFFSET($R$3,0,0,'Données projet'!$E$9+1,1))-AVERAGE(OFFSET($H$3,0,0,'Données projet'!$E$9+1,1))</f>
        <v>165.12229410621887</v>
      </c>
      <c r="T103" s="62">
        <f t="shared" si="88"/>
        <v>148.17171564653341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1.9895196601282805E-13</v>
      </c>
      <c r="AJ103" s="14">
        <f>AI103*VLOOKUP('Données projet'!$B$10,Paramètres!$A$1:$I$89,3,0)*VLOOKUP('Données projet'!$B$10,Paramètres!$A$1:$I$89,5,0)</f>
        <v>1.8001173884840681E-13</v>
      </c>
      <c r="AK103" s="14">
        <f t="shared" si="89"/>
        <v>2.5254331426407198E-12</v>
      </c>
      <c r="AL103" s="22">
        <f t="shared" si="58"/>
        <v>4.7119831685935622E-12</v>
      </c>
      <c r="AM103" s="62">
        <f t="shared" si="59"/>
        <v>293.33333333333803</v>
      </c>
      <c r="AN103" s="62">
        <f ca="1">AVERAGE(OFFSET($AM$3,0,0,'Données projet'!$E$10+1,1))-AVERAGE(OFFSET($H$3,0,0,'Données projet'!$E$10+1,1))</f>
        <v>249.03969036629979</v>
      </c>
      <c r="AO103" s="62">
        <f t="shared" si="90"/>
        <v>347.8713931923707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2.0843020339743119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2.0843020339743119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280.57175994295949</v>
      </c>
      <c r="BJ103" s="62">
        <f t="shared" si="92"/>
        <v>216.69635818716841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0.34717913830256281</v>
      </c>
      <c r="BR103" s="23">
        <f>EXP(-LN(2)/2)*BR102+(1-EXP(-LN(2)/2))/(LN(2)/2)*BL103*BO103*VLOOKUP('Données projet'!$B$11,Paramètres!$A$1:$I$89,3,0)*0.475*44/12</f>
        <v>6.1491331697725116E-10</v>
      </c>
      <c r="BS103" s="24">
        <f t="shared" si="63"/>
        <v>0.34717913891747615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845</v>
      </c>
      <c r="BW103" s="13">
        <f>VLOOKUP(A103,'Données projet'!$A$113:$I$133,9,0)</f>
        <v>13.5</v>
      </c>
      <c r="BX103" s="13">
        <f t="array" ref="BX103">INDEX(BW:BW,MIN(IF(ISNUMBER(BW103:BW299),ROW(BW103:BW299),"")))</f>
        <v>13.5</v>
      </c>
      <c r="BY103" s="13">
        <f>IF('Données projet'!$A$114&gt;35,BY102+BX103-CG102,IF(A103&lt;'Données projet'!$A$114,$BV$205^A103,IF(A103='Données projet'!$A$114,'Données projet'!$B$114,BY102+BX103-CG102)))</f>
        <v>844.99999999999943</v>
      </c>
      <c r="BZ103" s="14">
        <f>BY103*VLOOKUP('Données projet'!$B$12,Paramètres!$A$1:$I$89,3,0)*VLOOKUP('Données projet'!$B$12,Paramètres!$A$1:$I$89,5,0)</f>
        <v>417.42999999999972</v>
      </c>
      <c r="CA103" s="14">
        <f t="shared" si="93"/>
        <v>95.30151068386985</v>
      </c>
      <c r="CB103" s="22">
        <f t="shared" si="64"/>
        <v>893.00738110773943</v>
      </c>
      <c r="CC103" s="62">
        <f t="shared" si="65"/>
        <v>1186.3407144410728</v>
      </c>
      <c r="CD103" s="62">
        <f ca="1">AVERAGE(OFFSET($CC$3,0,0,'Données projet'!$E$12+1,1))-AVERAGE(OFFSET($H$3,0,0,'Données projet'!$E$12+1,1))</f>
        <v>426.64691649521097</v>
      </c>
      <c r="CE103" s="62">
        <f t="shared" si="94"/>
        <v>71.485487617222645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100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56.458999999999911</v>
      </c>
      <c r="D104" s="12">
        <f t="shared" si="86"/>
        <v>16.269848322350242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561.41567126024688</v>
      </c>
      <c r="H104" s="70">
        <f t="shared" si="56"/>
        <v>420.00274416142651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293.33333333333491</v>
      </c>
      <c r="S104" s="62">
        <f ca="1">AVERAGE(OFFSET($R$3,0,0,'Données projet'!$E$9+1,1))-AVERAGE(OFFSET($H$3,0,0,'Données projet'!$E$9+1,1))</f>
        <v>165.12229410621887</v>
      </c>
      <c r="T104" s="62">
        <f t="shared" si="88"/>
        <v>148.17171564653341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1.9895196601282805E-13</v>
      </c>
      <c r="AJ104" s="14">
        <f>AI104*VLOOKUP('Données projet'!$B$10,Paramètres!$A$1:$I$89,3,0)*VLOOKUP('Données projet'!$B$10,Paramètres!$A$1:$I$89,5,0)</f>
        <v>1.8001173884840681E-13</v>
      </c>
      <c r="AK104" s="14">
        <f t="shared" si="89"/>
        <v>2.5254331426407198E-12</v>
      </c>
      <c r="AL104" s="22">
        <f t="shared" si="58"/>
        <v>4.7119831685935622E-12</v>
      </c>
      <c r="AM104" s="62">
        <f t="shared" si="59"/>
        <v>293.33333333333803</v>
      </c>
      <c r="AN104" s="62">
        <f ca="1">AVERAGE(OFFSET($AM$3,0,0,'Données projet'!$E$10+1,1))-AVERAGE(OFFSET($H$3,0,0,'Données projet'!$E$10+1,1))</f>
        <v>249.03969036629979</v>
      </c>
      <c r="AO104" s="62">
        <f t="shared" si="90"/>
        <v>347.8713931923707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2.0434301423867862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2.0434301423867862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280.57175994295949</v>
      </c>
      <c r="BJ104" s="62">
        <f t="shared" si="92"/>
        <v>216.69635818716841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0.33768550650832185</v>
      </c>
      <c r="BR104" s="23">
        <f>EXP(-LN(2)/2)*BR103+(1-EXP(-LN(2)/2))/(LN(2)/2)*BL104*BO104*VLOOKUP('Données projet'!$B$11,Paramètres!$A$1:$I$89,3,0)*0.475*44/12</f>
        <v>4.3480937627652728E-10</v>
      </c>
      <c r="BS104" s="24">
        <f t="shared" si="63"/>
        <v>0.33768550694313121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11.5</v>
      </c>
      <c r="BY104" s="13">
        <f>IF('Données projet'!$A$114&gt;35,BY103+BX104-CG103,IF(A104&lt;'Données projet'!$A$114,$BV$205^A104,IF(A104='Données projet'!$A$114,'Données projet'!$B$114,BY103+BX104-CG103)))</f>
        <v>756.49999999999943</v>
      </c>
      <c r="BZ104" s="14">
        <f>BY104*VLOOKUP('Données projet'!$B$12,Paramètres!$A$1:$I$89,3,0)*VLOOKUP('Données projet'!$B$12,Paramètres!$A$1:$I$89,5,0)</f>
        <v>373.71099999999973</v>
      </c>
      <c r="CA104" s="14">
        <f t="shared" si="93"/>
        <v>86.426070901537926</v>
      </c>
      <c r="CB104" s="22">
        <f t="shared" si="64"/>
        <v>801.40539848684466</v>
      </c>
      <c r="CC104" s="62">
        <f t="shared" si="65"/>
        <v>1094.7387318201779</v>
      </c>
      <c r="CD104" s="62">
        <f ca="1">AVERAGE(OFFSET($CC$3,0,0,'Données projet'!$E$12+1,1))-AVERAGE(OFFSET($H$3,0,0,'Données projet'!$E$12+1,1))</f>
        <v>426.64691649521097</v>
      </c>
      <c r="CE104" s="62">
        <f t="shared" si="94"/>
        <v>71.485487617222645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57.017999999999908</v>
      </c>
      <c r="D105" s="12">
        <f t="shared" si="86"/>
        <v>16.412103612717605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566.82886999290713</v>
      </c>
      <c r="H105" s="70">
        <f t="shared" si="56"/>
        <v>421.22409712548301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293.33333333333491</v>
      </c>
      <c r="S105" s="62">
        <f ca="1">AVERAGE(OFFSET($R$3,0,0,'Données projet'!$E$9+1,1))-AVERAGE(OFFSET($H$3,0,0,'Données projet'!$E$9+1,1))</f>
        <v>165.12229410621887</v>
      </c>
      <c r="T105" s="62">
        <f t="shared" si="88"/>
        <v>148.17171564653341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1.9895196601282805E-13</v>
      </c>
      <c r="AJ105" s="14">
        <f>AI105*VLOOKUP('Données projet'!$B$10,Paramètres!$A$1:$I$89,3,0)*VLOOKUP('Données projet'!$B$10,Paramètres!$A$1:$I$89,5,0)</f>
        <v>1.8001173884840681E-13</v>
      </c>
      <c r="AK105" s="14">
        <f t="shared" si="89"/>
        <v>2.5254331426407198E-12</v>
      </c>
      <c r="AL105" s="22">
        <f t="shared" si="58"/>
        <v>4.7119831685935622E-12</v>
      </c>
      <c r="AM105" s="62">
        <f t="shared" si="59"/>
        <v>293.33333333333803</v>
      </c>
      <c r="AN105" s="62">
        <f ca="1">AVERAGE(OFFSET($AM$3,0,0,'Données projet'!$E$10+1,1))-AVERAGE(OFFSET($H$3,0,0,'Données projet'!$E$10+1,1))</f>
        <v>249.03969036629979</v>
      </c>
      <c r="AO105" s="62">
        <f t="shared" si="90"/>
        <v>347.8713931923707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2.0033597236638996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2.0033597236638996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280.57175994295949</v>
      </c>
      <c r="BJ105" s="62">
        <f t="shared" si="92"/>
        <v>216.69635818716841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0.32845147857474277</v>
      </c>
      <c r="BR105" s="23">
        <f>EXP(-LN(2)/2)*BR104+(1-EXP(-LN(2)/2))/(LN(2)/2)*BL105*BO105*VLOOKUP('Données projet'!$B$11,Paramètres!$A$1:$I$89,3,0)*0.475*44/12</f>
        <v>3.0745665848862558E-10</v>
      </c>
      <c r="BS105" s="24">
        <f t="shared" si="63"/>
        <v>0.32845147888219944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11.5</v>
      </c>
      <c r="BY105" s="13">
        <f>IF('Données projet'!$A$114&gt;35,BY104+BX105-CG104,IF(A105&lt;'Données projet'!$A$114,$BV$205^A105,IF(A105='Données projet'!$A$114,'Données projet'!$B$114,BY104+BX105-CG104)))</f>
        <v>767.99999999999943</v>
      </c>
      <c r="BZ105" s="14">
        <f>BY105*VLOOKUP('Données projet'!$B$12,Paramètres!$A$1:$I$89,3,0)*VLOOKUP('Données projet'!$B$12,Paramètres!$A$1:$I$89,5,0)</f>
        <v>379.39199999999977</v>
      </c>
      <c r="CA105" s="14">
        <f t="shared" si="93"/>
        <v>87.585935087352439</v>
      </c>
      <c r="CB105" s="22">
        <f t="shared" si="64"/>
        <v>813.31990361047167</v>
      </c>
      <c r="CC105" s="62">
        <f t="shared" si="65"/>
        <v>1106.653236943805</v>
      </c>
      <c r="CD105" s="62">
        <f ca="1">AVERAGE(OFFSET($CC$3,0,0,'Données projet'!$E$12+1,1))-AVERAGE(OFFSET($H$3,0,0,'Données projet'!$E$12+1,1))</f>
        <v>426.64691649521097</v>
      </c>
      <c r="CE105" s="62">
        <f t="shared" si="94"/>
        <v>71.485487617222645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57.576999999999906</v>
      </c>
      <c r="D106" s="12">
        <f t="shared" si="86"/>
        <v>16.554196654539041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572.24081628065153</v>
      </c>
      <c r="H106" s="70">
        <f t="shared" si="56"/>
        <v>422.44516750665525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293.33333333333491</v>
      </c>
      <c r="S106" s="62">
        <f ca="1">AVERAGE(OFFSET($R$3,0,0,'Données projet'!$E$9+1,1))-AVERAGE(OFFSET($H$3,0,0,'Données projet'!$E$9+1,1))</f>
        <v>165.12229410621887</v>
      </c>
      <c r="T106" s="62">
        <f t="shared" si="88"/>
        <v>148.17171564653341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1.9895196601282805E-13</v>
      </c>
      <c r="AJ106" s="14">
        <f>AI106*VLOOKUP('Données projet'!$B$10,Paramètres!$A$1:$I$89,3,0)*VLOOKUP('Données projet'!$B$10,Paramètres!$A$1:$I$89,5,0)</f>
        <v>1.8001173884840681E-13</v>
      </c>
      <c r="AK106" s="14">
        <f t="shared" si="89"/>
        <v>2.5254331426407198E-12</v>
      </c>
      <c r="AL106" s="22">
        <f t="shared" si="58"/>
        <v>4.7119831685935622E-12</v>
      </c>
      <c r="AM106" s="62">
        <f t="shared" si="59"/>
        <v>293.33333333333803</v>
      </c>
      <c r="AN106" s="62">
        <f ca="1">AVERAGE(OFFSET($AM$3,0,0,'Données projet'!$E$10+1,1))-AVERAGE(OFFSET($H$3,0,0,'Données projet'!$E$10+1,1))</f>
        <v>249.03969036629979</v>
      </c>
      <c r="AO106" s="62">
        <f t="shared" si="90"/>
        <v>347.8713931923707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1.9640750614116265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1.9640750614116265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280.57175994295949</v>
      </c>
      <c r="BJ106" s="62">
        <f t="shared" si="92"/>
        <v>216.69635818716841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0.31946995562060387</v>
      </c>
      <c r="BR106" s="23">
        <f>EXP(-LN(2)/2)*BR105+(1-EXP(-LN(2)/2))/(LN(2)/2)*BL106*BO106*VLOOKUP('Données projet'!$B$11,Paramètres!$A$1:$I$89,3,0)*0.475*44/12</f>
        <v>2.1740468813826364E-10</v>
      </c>
      <c r="BS106" s="24">
        <f t="shared" si="63"/>
        <v>0.31946995583800858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11.5</v>
      </c>
      <c r="BY106" s="13">
        <f>IF('Données projet'!$A$114&gt;35,BY105+BX106-CG105,IF(A106&lt;'Données projet'!$A$114,$BV$205^A106,IF(A106='Données projet'!$A$114,'Données projet'!$B$114,BY105+BX106-CG105)))</f>
        <v>779.49999999999943</v>
      </c>
      <c r="BZ106" s="14">
        <f>BY106*VLOOKUP('Données projet'!$B$12,Paramètres!$A$1:$I$89,3,0)*VLOOKUP('Données projet'!$B$12,Paramètres!$A$1:$I$89,5,0)</f>
        <v>385.07299999999975</v>
      </c>
      <c r="CA106" s="14">
        <f t="shared" si="93"/>
        <v>88.743779347100173</v>
      </c>
      <c r="CB106" s="22">
        <f t="shared" si="64"/>
        <v>825.23089069619891</v>
      </c>
      <c r="CC106" s="62">
        <f t="shared" si="65"/>
        <v>1118.5642240295322</v>
      </c>
      <c r="CD106" s="62">
        <f ca="1">AVERAGE(OFFSET($CC$3,0,0,'Données projet'!$E$12+1,1))-AVERAGE(OFFSET($H$3,0,0,'Données projet'!$E$12+1,1))</f>
        <v>426.64691649521097</v>
      </c>
      <c r="CE106" s="62">
        <f t="shared" si="94"/>
        <v>71.485487617222645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58.135999999999903</v>
      </c>
      <c r="D107" s="12">
        <f t="shared" si="86"/>
        <v>16.696129205461904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577.65152369128418</v>
      </c>
      <c r="H107" s="70">
        <f t="shared" si="56"/>
        <v>423.66595836617932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293.33333333333491</v>
      </c>
      <c r="S107" s="62">
        <f ca="1">AVERAGE(OFFSET($R$3,0,0,'Données projet'!$E$9+1,1))-AVERAGE(OFFSET($H$3,0,0,'Données projet'!$E$9+1,1))</f>
        <v>165.12229410621887</v>
      </c>
      <c r="T107" s="62">
        <f t="shared" si="88"/>
        <v>148.17171564653341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1.9895196601282805E-13</v>
      </c>
      <c r="AJ107" s="14">
        <f>AI107*VLOOKUP('Données projet'!$B$10,Paramètres!$A$1:$I$89,3,0)*VLOOKUP('Données projet'!$B$10,Paramètres!$A$1:$I$89,5,0)</f>
        <v>1.8001173884840681E-13</v>
      </c>
      <c r="AK107" s="14">
        <f t="shared" si="89"/>
        <v>2.5254331426407198E-12</v>
      </c>
      <c r="AL107" s="22">
        <f t="shared" si="58"/>
        <v>4.7119831685935622E-12</v>
      </c>
      <c r="AM107" s="62">
        <f t="shared" si="59"/>
        <v>293.33333333333803</v>
      </c>
      <c r="AN107" s="62">
        <f ca="1">AVERAGE(OFFSET($AM$3,0,0,'Données projet'!$E$10+1,1))-AVERAGE(OFFSET($H$3,0,0,'Données projet'!$E$10+1,1))</f>
        <v>249.03969036629979</v>
      </c>
      <c r="AO107" s="62">
        <f t="shared" si="90"/>
        <v>347.8713931923707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1.9255607474248424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1.9255607474248424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280.57175994295949</v>
      </c>
      <c r="BJ107" s="62">
        <f t="shared" si="92"/>
        <v>216.69635818716841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0.31073403288396367</v>
      </c>
      <c r="BR107" s="23">
        <f>EXP(-LN(2)/2)*BR106+(1-EXP(-LN(2)/2))/(LN(2)/2)*BL107*BO107*VLOOKUP('Données projet'!$B$11,Paramètres!$A$1:$I$89,3,0)*0.475*44/12</f>
        <v>1.5372832924431279E-10</v>
      </c>
      <c r="BS107" s="24">
        <f t="shared" si="63"/>
        <v>0.31073403303769198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11.5</v>
      </c>
      <c r="BY107" s="13">
        <f>IF('Données projet'!$A$114&gt;35,BY106+BX107-CG106,IF(A107&lt;'Données projet'!$A$114,$BV$205^A107,IF(A107='Données projet'!$A$114,'Données projet'!$B$114,BY106+BX107-CG106)))</f>
        <v>790.99999999999943</v>
      </c>
      <c r="BZ107" s="14">
        <f>BY107*VLOOKUP('Données projet'!$B$12,Paramètres!$A$1:$I$89,3,0)*VLOOKUP('Données projet'!$B$12,Paramètres!$A$1:$I$89,5,0)</f>
        <v>390.75399999999979</v>
      </c>
      <c r="CA107" s="14">
        <f t="shared" si="93"/>
        <v>89.899636923451169</v>
      </c>
      <c r="CB107" s="22">
        <f t="shared" si="64"/>
        <v>837.13841764167694</v>
      </c>
      <c r="CC107" s="62">
        <f t="shared" si="65"/>
        <v>1130.4717509750103</v>
      </c>
      <c r="CD107" s="62">
        <f ca="1">AVERAGE(OFFSET($CC$3,0,0,'Données projet'!$E$12+1,1))-AVERAGE(OFFSET($H$3,0,0,'Données projet'!$E$12+1,1))</f>
        <v>426.64691649521097</v>
      </c>
      <c r="CE107" s="62">
        <f t="shared" si="94"/>
        <v>71.485487617222645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58.694999999999901</v>
      </c>
      <c r="D108" s="12">
        <f t="shared" si="86"/>
        <v>16.837902987383803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583.06100551664622</v>
      </c>
      <c r="H108" s="70">
        <f t="shared" si="56"/>
        <v>424.88647270302658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293.33333333333491</v>
      </c>
      <c r="S108" s="62">
        <f ca="1">AVERAGE(OFFSET($R$3,0,0,'Données projet'!$E$9+1,1))-AVERAGE(OFFSET($H$3,0,0,'Données projet'!$E$9+1,1))</f>
        <v>165.12229410621887</v>
      </c>
      <c r="T108" s="62">
        <f t="shared" si="88"/>
        <v>148.17171564653341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1.9895196601282805E-13</v>
      </c>
      <c r="AJ108" s="14">
        <f>AI108*VLOOKUP('Données projet'!$B$10,Paramètres!$A$1:$I$89,3,0)*VLOOKUP('Données projet'!$B$10,Paramètres!$A$1:$I$89,5,0)</f>
        <v>1.8001173884840681E-13</v>
      </c>
      <c r="AK108" s="14">
        <f t="shared" si="89"/>
        <v>2.5254331426407198E-12</v>
      </c>
      <c r="AL108" s="22">
        <f t="shared" si="58"/>
        <v>4.7119831685935622E-12</v>
      </c>
      <c r="AM108" s="62">
        <f t="shared" si="59"/>
        <v>293.33333333333803</v>
      </c>
      <c r="AN108" s="62">
        <f ca="1">AVERAGE(OFFSET($AM$3,0,0,'Données projet'!$E$10+1,1))-AVERAGE(OFFSET($H$3,0,0,'Données projet'!$E$10+1,1))</f>
        <v>249.03969036629979</v>
      </c>
      <c r="AO108" s="62">
        <f t="shared" si="90"/>
        <v>347.8713931923707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1.8878016756439273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1.8878016756439273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280.57175994295949</v>
      </c>
      <c r="BJ108" s="62">
        <f t="shared" si="92"/>
        <v>216.69635818716841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0.30223699441395907</v>
      </c>
      <c r="BR108" s="23">
        <f>EXP(-LN(2)/2)*BR107+(1-EXP(-LN(2)/2))/(LN(2)/2)*BL108*BO108*VLOOKUP('Données projet'!$B$11,Paramètres!$A$1:$I$89,3,0)*0.475*44/12</f>
        <v>1.0870234406913182E-10</v>
      </c>
      <c r="BS108" s="24">
        <f t="shared" si="63"/>
        <v>0.3022369945226614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11.5</v>
      </c>
      <c r="BY108" s="13">
        <f>IF('Données projet'!$A$114&gt;35,BY107+BX108-CG107,IF(A108&lt;'Données projet'!$A$114,$BV$205^A108,IF(A108='Données projet'!$A$114,'Données projet'!$B$114,BY107+BX108-CG107)))</f>
        <v>802.49999999999943</v>
      </c>
      <c r="BZ108" s="14">
        <f>BY108*VLOOKUP('Données projet'!$B$12,Paramètres!$A$1:$I$89,3,0)*VLOOKUP('Données projet'!$B$12,Paramètres!$A$1:$I$89,5,0)</f>
        <v>396.43499999999972</v>
      </c>
      <c r="CA108" s="14">
        <f t="shared" si="93"/>
        <v>91.053540036975861</v>
      </c>
      <c r="CB108" s="22">
        <f t="shared" si="64"/>
        <v>849.04254056439913</v>
      </c>
      <c r="CC108" s="62">
        <f t="shared" si="65"/>
        <v>1142.3758738977324</v>
      </c>
      <c r="CD108" s="62">
        <f ca="1">AVERAGE(OFFSET($CC$3,0,0,'Données projet'!$E$12+1,1))-AVERAGE(OFFSET($H$3,0,0,'Données projet'!$E$12+1,1))</f>
        <v>426.64691649521097</v>
      </c>
      <c r="CE108" s="62">
        <f t="shared" si="94"/>
        <v>71.485487617222645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59.253999999999898</v>
      </c>
      <c r="D109" s="12">
        <f t="shared" si="86"/>
        <v>16.97951968751314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588.46927478080249</v>
      </c>
      <c r="H109" s="70">
        <f t="shared" si="56"/>
        <v>426.10671345575184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293.33333333333491</v>
      </c>
      <c r="S109" s="62">
        <f ca="1">AVERAGE(OFFSET($R$3,0,0,'Données projet'!$E$9+1,1))-AVERAGE(OFFSET($H$3,0,0,'Données projet'!$E$9+1,1))</f>
        <v>165.12229410621887</v>
      </c>
      <c r="T109" s="62">
        <f t="shared" si="88"/>
        <v>148.17171564653341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1.9895196601282805E-13</v>
      </c>
      <c r="AJ109" s="14">
        <f>AI109*VLOOKUP('Données projet'!$B$10,Paramètres!$A$1:$I$89,3,0)*VLOOKUP('Données projet'!$B$10,Paramètres!$A$1:$I$89,5,0)</f>
        <v>1.8001173884840681E-13</v>
      </c>
      <c r="AK109" s="14">
        <f t="shared" si="89"/>
        <v>2.5254331426407198E-12</v>
      </c>
      <c r="AL109" s="22">
        <f t="shared" si="58"/>
        <v>4.7119831685935622E-12</v>
      </c>
      <c r="AM109" s="62">
        <f t="shared" si="59"/>
        <v>293.33333333333803</v>
      </c>
      <c r="AN109" s="62">
        <f ca="1">AVERAGE(OFFSET($AM$3,0,0,'Données projet'!$E$10+1,1))-AVERAGE(OFFSET($H$3,0,0,'Données projet'!$E$10+1,1))</f>
        <v>249.03969036629979</v>
      </c>
      <c r="AO109" s="62">
        <f t="shared" si="90"/>
        <v>347.8713931923707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1.8507830362298763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1.8507830362298763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280.57175994295949</v>
      </c>
      <c r="BJ109" s="62">
        <f t="shared" si="92"/>
        <v>216.69635818716841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0.29397230790775658</v>
      </c>
      <c r="BR109" s="23">
        <f>EXP(-LN(2)/2)*BR108+(1-EXP(-LN(2)/2))/(LN(2)/2)*BL109*BO109*VLOOKUP('Données projet'!$B$11,Paramètres!$A$1:$I$89,3,0)*0.475*44/12</f>
        <v>7.6864164622156395E-11</v>
      </c>
      <c r="BS109" s="24">
        <f t="shared" si="63"/>
        <v>0.29397230798462076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11.5</v>
      </c>
      <c r="BY109" s="13">
        <f>IF('Données projet'!$A$114&gt;35,BY108+BX109-CG108,IF(A109&lt;'Données projet'!$A$114,$BV$205^A109,IF(A109='Données projet'!$A$114,'Données projet'!$B$114,BY108+BX109-CG108)))</f>
        <v>813.99999999999943</v>
      </c>
      <c r="BZ109" s="14">
        <f>BY109*VLOOKUP('Données projet'!$B$12,Paramètres!$A$1:$I$89,3,0)*VLOOKUP('Données projet'!$B$12,Paramètres!$A$1:$I$89,5,0)</f>
        <v>402.1159999999997</v>
      </c>
      <c r="CA109" s="14">
        <f t="shared" si="93"/>
        <v>92.20551993175863</v>
      </c>
      <c r="CB109" s="22">
        <f t="shared" si="64"/>
        <v>860.94331388114563</v>
      </c>
      <c r="CC109" s="62">
        <f t="shared" si="65"/>
        <v>1154.276647214479</v>
      </c>
      <c r="CD109" s="62">
        <f ca="1">AVERAGE(OFFSET($CC$3,0,0,'Données projet'!$E$12+1,1))-AVERAGE(OFFSET($H$3,0,0,'Données projet'!$E$12+1,1))</f>
        <v>426.64691649521097</v>
      </c>
      <c r="CE109" s="62">
        <f t="shared" si="94"/>
        <v>71.485487617222645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59.812999999999896</v>
      </c>
      <c r="D110" s="12">
        <f t="shared" si="86"/>
        <v>17.12098095938844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593.87634424790997</v>
      </c>
      <c r="H110" s="70">
        <f t="shared" si="56"/>
        <v>427.32668350426798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293.33333333333491</v>
      </c>
      <c r="S110" s="62">
        <f ca="1">AVERAGE(OFFSET($R$3,0,0,'Données projet'!$E$9+1,1))-AVERAGE(OFFSET($H$3,0,0,'Données projet'!$E$9+1,1))</f>
        <v>165.12229410621887</v>
      </c>
      <c r="T110" s="62">
        <f t="shared" si="88"/>
        <v>148.17171564653341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1.9895196601282805E-13</v>
      </c>
      <c r="AJ110" s="14">
        <f>AI110*VLOOKUP('Données projet'!$B$10,Paramètres!$A$1:$I$89,3,0)*VLOOKUP('Données projet'!$B$10,Paramètres!$A$1:$I$89,5,0)</f>
        <v>1.8001173884840681E-13</v>
      </c>
      <c r="AK110" s="14">
        <f t="shared" si="89"/>
        <v>2.5254331426407198E-12</v>
      </c>
      <c r="AL110" s="22">
        <f t="shared" si="58"/>
        <v>4.7119831685935622E-12</v>
      </c>
      <c r="AM110" s="62">
        <f t="shared" si="59"/>
        <v>293.33333333333803</v>
      </c>
      <c r="AN110" s="62">
        <f ca="1">AVERAGE(OFFSET($AM$3,0,0,'Données projet'!$E$10+1,1))-AVERAGE(OFFSET($H$3,0,0,'Données projet'!$E$10+1,1))</f>
        <v>249.03969036629979</v>
      </c>
      <c r="AO110" s="62">
        <f t="shared" si="90"/>
        <v>347.8713931923707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1.8144903097555942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1.8144903097555942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280.57175994295949</v>
      </c>
      <c r="BJ110" s="62">
        <f t="shared" si="92"/>
        <v>216.69635818716841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0.28593361968868719</v>
      </c>
      <c r="BR110" s="23">
        <f>EXP(-LN(2)/2)*BR109+(1-EXP(-LN(2)/2))/(LN(2)/2)*BL110*BO110*VLOOKUP('Données projet'!$B$11,Paramètres!$A$1:$I$89,3,0)*0.475*44/12</f>
        <v>5.435117203456591E-11</v>
      </c>
      <c r="BS110" s="24">
        <f t="shared" si="63"/>
        <v>0.28593361974303838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11.5</v>
      </c>
      <c r="BY110" s="13">
        <f>IF('Données projet'!$A$114&gt;35,BY109+BX110-CG109,IF(A110&lt;'Données projet'!$A$114,$BV$205^A110,IF(A110='Données projet'!$A$114,'Données projet'!$B$114,BY109+BX110-CG109)))</f>
        <v>825.49999999999943</v>
      </c>
      <c r="BZ110" s="14">
        <f>BY110*VLOOKUP('Données projet'!$B$12,Paramètres!$A$1:$I$89,3,0)*VLOOKUP('Données projet'!$B$12,Paramètres!$A$1:$I$89,5,0)</f>
        <v>407.79699999999974</v>
      </c>
      <c r="CA110" s="14">
        <f t="shared" si="93"/>
        <v>93.35560691836119</v>
      </c>
      <c r="CB110" s="22">
        <f t="shared" si="64"/>
        <v>872.84079038281186</v>
      </c>
      <c r="CC110" s="62">
        <f t="shared" si="65"/>
        <v>1166.1741237161452</v>
      </c>
      <c r="CD110" s="62">
        <f ca="1">AVERAGE(OFFSET($CC$3,0,0,'Données projet'!$E$12+1,1))-AVERAGE(OFFSET($H$3,0,0,'Données projet'!$E$12+1,1))</f>
        <v>426.64691649521097</v>
      </c>
      <c r="CE110" s="62">
        <f t="shared" si="94"/>
        <v>71.485487617222645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60.371999999999893</v>
      </c>
      <c r="D111" s="12">
        <f t="shared" si="86"/>
        <v>17.26228842385855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599.28222642978437</v>
      </c>
      <c r="H111" s="70">
        <f t="shared" si="56"/>
        <v>428.54638567155342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293.33333333333491</v>
      </c>
      <c r="S111" s="62">
        <f ca="1">AVERAGE(OFFSET($R$3,0,0,'Données projet'!$E$9+1,1))-AVERAGE(OFFSET($H$3,0,0,'Données projet'!$E$9+1,1))</f>
        <v>165.12229410621887</v>
      </c>
      <c r="T111" s="62">
        <f t="shared" si="88"/>
        <v>148.17171564653341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1.9895196601282805E-13</v>
      </c>
      <c r="AJ111" s="14">
        <f>AI111*VLOOKUP('Données projet'!$B$10,Paramètres!$A$1:$I$89,3,0)*VLOOKUP('Données projet'!$B$10,Paramètres!$A$1:$I$89,5,0)</f>
        <v>1.8001173884840681E-13</v>
      </c>
      <c r="AK111" s="14">
        <f t="shared" si="89"/>
        <v>2.5254331426407198E-12</v>
      </c>
      <c r="AL111" s="22">
        <f t="shared" si="58"/>
        <v>4.7119831685935622E-12</v>
      </c>
      <c r="AM111" s="62">
        <f t="shared" si="59"/>
        <v>293.33333333333803</v>
      </c>
      <c r="AN111" s="62">
        <f ca="1">AVERAGE(OFFSET($AM$3,0,0,'Données projet'!$E$10+1,1))-AVERAGE(OFFSET($H$3,0,0,'Données projet'!$E$10+1,1))</f>
        <v>249.03969036629979</v>
      </c>
      <c r="AO111" s="62">
        <f t="shared" si="90"/>
        <v>347.8713931923707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1.7789092615110955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1.7789092615110955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280.57175994295949</v>
      </c>
      <c r="BJ111" s="62">
        <f t="shared" si="92"/>
        <v>216.69635818716841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0.27811474982170448</v>
      </c>
      <c r="BR111" s="23">
        <f>EXP(-LN(2)/2)*BR110+(1-EXP(-LN(2)/2))/(LN(2)/2)*BL111*BO111*VLOOKUP('Données projet'!$B$11,Paramètres!$A$1:$I$89,3,0)*0.475*44/12</f>
        <v>3.8432082311078197E-11</v>
      </c>
      <c r="BS111" s="24">
        <f t="shared" si="63"/>
        <v>0.27811474986013657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11.5</v>
      </c>
      <c r="BY111" s="13">
        <f>IF('Données projet'!$A$114&gt;35,BY110+BX111-CG110,IF(A111&lt;'Données projet'!$A$114,$BV$205^A111,IF(A111='Données projet'!$A$114,'Données projet'!$B$114,BY110+BX111-CG110)))</f>
        <v>836.99999999999943</v>
      </c>
      <c r="BZ111" s="14">
        <f>BY111*VLOOKUP('Données projet'!$B$12,Paramètres!$A$1:$I$89,3,0)*VLOOKUP('Données projet'!$B$12,Paramètres!$A$1:$I$89,5,0)</f>
        <v>413.47799999999972</v>
      </c>
      <c r="CA111" s="14">
        <f t="shared" si="93"/>
        <v>94.503830414322579</v>
      </c>
      <c r="CB111" s="22">
        <f t="shared" si="64"/>
        <v>884.73502130494455</v>
      </c>
      <c r="CC111" s="62">
        <f t="shared" si="65"/>
        <v>1178.0683546382779</v>
      </c>
      <c r="CD111" s="62">
        <f ca="1">AVERAGE(OFFSET($CC$3,0,0,'Données projet'!$E$12+1,1))-AVERAGE(OFFSET($H$3,0,0,'Données projet'!$E$12+1,1))</f>
        <v>426.64691649521097</v>
      </c>
      <c r="CE111" s="62">
        <f t="shared" si="94"/>
        <v>71.485487617222645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60.930999999999891</v>
      </c>
      <c r="D112" s="12">
        <f t="shared" si="86"/>
        <v>17.403443670025414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604.68693359317786</v>
      </c>
      <c r="H112" s="70">
        <f t="shared" si="56"/>
        <v>429.76582272529407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293.33333333333491</v>
      </c>
      <c r="S112" s="62">
        <f ca="1">AVERAGE(OFFSET($R$3,0,0,'Données projet'!$E$9+1,1))-AVERAGE(OFFSET($H$3,0,0,'Données projet'!$E$9+1,1))</f>
        <v>165.12229410621887</v>
      </c>
      <c r="T112" s="62">
        <f t="shared" si="88"/>
        <v>148.17171564653341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1.9895196601282805E-13</v>
      </c>
      <c r="AJ112" s="14">
        <f>AI112*VLOOKUP('Données projet'!$B$10,Paramètres!$A$1:$I$89,3,0)*VLOOKUP('Données projet'!$B$10,Paramètres!$A$1:$I$89,5,0)</f>
        <v>1.8001173884840681E-13</v>
      </c>
      <c r="AK112" s="14">
        <f t="shared" si="89"/>
        <v>2.5254331426407198E-12</v>
      </c>
      <c r="AL112" s="22">
        <f t="shared" si="58"/>
        <v>4.7119831685935622E-12</v>
      </c>
      <c r="AM112" s="62">
        <f t="shared" si="59"/>
        <v>293.33333333333803</v>
      </c>
      <c r="AN112" s="62">
        <f ca="1">AVERAGE(OFFSET($AM$3,0,0,'Données projet'!$E$10+1,1))-AVERAGE(OFFSET($H$3,0,0,'Données projet'!$E$10+1,1))</f>
        <v>249.03969036629979</v>
      </c>
      <c r="AO112" s="62">
        <f t="shared" si="90"/>
        <v>347.8713931923707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1.7440259359203749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1.7440259359203749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280.57175994295949</v>
      </c>
      <c r="BJ112" s="62">
        <f t="shared" si="92"/>
        <v>216.69635818716841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0.27050968736241093</v>
      </c>
      <c r="BR112" s="23">
        <f>EXP(-LN(2)/2)*BR111+(1-EXP(-LN(2)/2))/(LN(2)/2)*BL112*BO112*VLOOKUP('Données projet'!$B$11,Paramètres!$A$1:$I$89,3,0)*0.475*44/12</f>
        <v>2.7175586017282955E-11</v>
      </c>
      <c r="BS112" s="24">
        <f t="shared" si="63"/>
        <v>0.27050968738958653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11.5</v>
      </c>
      <c r="BY112" s="13">
        <f>IF('Données projet'!$A$114&gt;35,BY111+BX112-CG111,IF(A112&lt;'Données projet'!$A$114,$BV$205^A112,IF(A112='Données projet'!$A$114,'Données projet'!$B$114,BY111+BX112-CG111)))</f>
        <v>848.49999999999943</v>
      </c>
      <c r="BZ112" s="14">
        <f>BY112*VLOOKUP('Données projet'!$B$12,Paramètres!$A$1:$I$89,3,0)*VLOOKUP('Données projet'!$B$12,Paramètres!$A$1:$I$89,5,0)</f>
        <v>419.15899999999971</v>
      </c>
      <c r="CA112" s="14">
        <f t="shared" si="93"/>
        <v>95.650218982371101</v>
      </c>
      <c r="CB112" s="22">
        <f t="shared" si="64"/>
        <v>896.62605639429569</v>
      </c>
      <c r="CC112" s="62">
        <f t="shared" si="65"/>
        <v>1189.9593897276291</v>
      </c>
      <c r="CD112" s="62">
        <f ca="1">AVERAGE(OFFSET($CC$3,0,0,'Données projet'!$E$12+1,1))-AVERAGE(OFFSET($H$3,0,0,'Données projet'!$E$12+1,1))</f>
        <v>426.64691649521097</v>
      </c>
      <c r="CE112" s="62">
        <f t="shared" si="94"/>
        <v>71.485487617222645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61.489999999999888</v>
      </c>
      <c r="D113" s="12">
        <f t="shared" si="86"/>
        <v>17.544448256151377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610.09047776678176</v>
      </c>
      <c r="H113" s="70">
        <f t="shared" si="56"/>
        <v>430.98499737946338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293.33333333333491</v>
      </c>
      <c r="S113" s="62">
        <f ca="1">AVERAGE(OFFSET($R$3,0,0,'Données projet'!$E$9+1,1))-AVERAGE(OFFSET($H$3,0,0,'Données projet'!$E$9+1,1))</f>
        <v>165.12229410621887</v>
      </c>
      <c r="T113" s="62">
        <f t="shared" si="88"/>
        <v>148.17171564653341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1.9895196601282805E-13</v>
      </c>
      <c r="AJ113" s="14">
        <f>AI113*VLOOKUP('Données projet'!$B$10,Paramètres!$A$1:$I$89,3,0)*VLOOKUP('Données projet'!$B$10,Paramètres!$A$1:$I$89,5,0)</f>
        <v>1.8001173884840681E-13</v>
      </c>
      <c r="AK113" s="14">
        <f t="shared" si="89"/>
        <v>2.5254331426407198E-12</v>
      </c>
      <c r="AL113" s="22">
        <f t="shared" si="58"/>
        <v>4.7119831685935622E-12</v>
      </c>
      <c r="AM113" s="62">
        <f t="shared" si="59"/>
        <v>293.33333333333803</v>
      </c>
      <c r="AN113" s="62">
        <f ca="1">AVERAGE(OFFSET($AM$3,0,0,'Données projet'!$E$10+1,1))-AVERAGE(OFFSET($H$3,0,0,'Données projet'!$E$10+1,1))</f>
        <v>249.03969036629979</v>
      </c>
      <c r="AO113" s="62">
        <f t="shared" si="90"/>
        <v>347.8713931923707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1.7098266510677607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1.7098266510677607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280.57175994295949</v>
      </c>
      <c r="BJ113" s="62">
        <f t="shared" si="92"/>
        <v>216.69635818716841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0.2631125857359996</v>
      </c>
      <c r="BR113" s="23">
        <f>EXP(-LN(2)/2)*BR112+(1-EXP(-LN(2)/2))/(LN(2)/2)*BL113*BO113*VLOOKUP('Données projet'!$B$11,Paramètres!$A$1:$I$89,3,0)*0.475*44/12</f>
        <v>1.9216041155539099E-11</v>
      </c>
      <c r="BS113" s="24">
        <f t="shared" si="63"/>
        <v>0.26311258575521562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860</v>
      </c>
      <c r="BW113" s="13">
        <f>VLOOKUP(A113,'Données projet'!$A$113:$I$133,9,0)</f>
        <v>11.5</v>
      </c>
      <c r="BX113" s="13">
        <f t="array" ref="BX113">INDEX(BW:BW,MIN(IF(ISNUMBER(BW113:BW309),ROW(BW113:BW309),"")))</f>
        <v>11.5</v>
      </c>
      <c r="BY113" s="13">
        <f>IF('Données projet'!$A$114&gt;35,BY112+BX113-CG112,IF(A113&lt;'Données projet'!$A$114,$BV$205^A113,IF(A113='Données projet'!$A$114,'Données projet'!$B$114,BY112+BX113-CG112)))</f>
        <v>859.99999999999943</v>
      </c>
      <c r="BZ113" s="14">
        <f>BY113*VLOOKUP('Données projet'!$B$12,Paramètres!$A$1:$I$89,3,0)*VLOOKUP('Données projet'!$B$12,Paramètres!$A$1:$I$89,5,0)</f>
        <v>424.83999999999975</v>
      </c>
      <c r="CA113" s="14">
        <f t="shared" si="93"/>
        <v>96.794800366505839</v>
      </c>
      <c r="CB113" s="22">
        <f t="shared" si="64"/>
        <v>908.51394397166393</v>
      </c>
      <c r="CC113" s="62">
        <f t="shared" si="65"/>
        <v>1201.8472773049973</v>
      </c>
      <c r="CD113" s="62">
        <f ca="1">AVERAGE(OFFSET($CC$3,0,0,'Données projet'!$E$12+1,1))-AVERAGE(OFFSET($H$3,0,0,'Données projet'!$E$12+1,1))</f>
        <v>426.64691649521097</v>
      </c>
      <c r="CE113" s="62">
        <f t="shared" si="94"/>
        <v>71.485487617222645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100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62.048999999999886</v>
      </c>
      <c r="D114" s="12">
        <f t="shared" si="86"/>
        <v>17.685303710532441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615.49287074796894</v>
      </c>
      <c r="H114" s="70">
        <f t="shared" si="56"/>
        <v>432.20391229584379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293.33333333333491</v>
      </c>
      <c r="S114" s="62">
        <f ca="1">AVERAGE(OFFSET($R$3,0,0,'Données projet'!$E$9+1,1))-AVERAGE(OFFSET($H$3,0,0,'Données projet'!$E$9+1,1))</f>
        <v>165.12229410621887</v>
      </c>
      <c r="T114" s="62">
        <f t="shared" si="88"/>
        <v>148.17171564653341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1.9895196601282805E-13</v>
      </c>
      <c r="AJ114" s="14">
        <f>AI114*VLOOKUP('Données projet'!$B$10,Paramètres!$A$1:$I$89,3,0)*VLOOKUP('Données projet'!$B$10,Paramètres!$A$1:$I$89,5,0)</f>
        <v>1.8001173884840681E-13</v>
      </c>
      <c r="AK114" s="14">
        <f t="shared" si="89"/>
        <v>2.5254331426407198E-12</v>
      </c>
      <c r="AL114" s="22">
        <f t="shared" si="58"/>
        <v>4.7119831685935622E-12</v>
      </c>
      <c r="AM114" s="62">
        <f t="shared" si="59"/>
        <v>293.33333333333803</v>
      </c>
      <c r="AN114" s="62">
        <f ca="1">AVERAGE(OFFSET($AM$3,0,0,'Données projet'!$E$10+1,1))-AVERAGE(OFFSET($H$3,0,0,'Données projet'!$E$10+1,1))</f>
        <v>249.03969036629979</v>
      </c>
      <c r="AO114" s="62">
        <f t="shared" si="90"/>
        <v>347.8713931923707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1.676297993331602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1.676297993331602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280.57175994295949</v>
      </c>
      <c r="BJ114" s="62">
        <f t="shared" si="92"/>
        <v>216.69635818716841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0.25591775824255919</v>
      </c>
      <c r="BR114" s="23">
        <f>EXP(-LN(2)/2)*BR113+(1-EXP(-LN(2)/2))/(LN(2)/2)*BL114*BO114*VLOOKUP('Données projet'!$B$11,Paramètres!$A$1:$I$89,3,0)*0.475*44/12</f>
        <v>1.3587793008641477E-11</v>
      </c>
      <c r="BS114" s="24">
        <f t="shared" si="63"/>
        <v>0.25591775825614699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9.9</v>
      </c>
      <c r="BY114" s="13">
        <f>IF('Données projet'!$A$114&gt;35,BY113+BX114-CG113,IF(A114&lt;'Données projet'!$A$114,$BV$205^A114,IF(A114='Données projet'!$A$114,'Données projet'!$B$114,BY113+BX114-CG113)))</f>
        <v>769.89999999999941</v>
      </c>
      <c r="BZ114" s="14">
        <f>BY114*VLOOKUP('Données projet'!$B$12,Paramètres!$A$1:$I$89,3,0)*VLOOKUP('Données projet'!$B$12,Paramètres!$A$1:$I$89,5,0)</f>
        <v>380.33059999999972</v>
      </c>
      <c r="CA114" s="14">
        <f t="shared" si="93"/>
        <v>87.77736948691846</v>
      </c>
      <c r="CB114" s="22">
        <f t="shared" si="64"/>
        <v>815.28804685638249</v>
      </c>
      <c r="CC114" s="62">
        <f t="shared" si="65"/>
        <v>1108.6213801897159</v>
      </c>
      <c r="CD114" s="62">
        <f ca="1">AVERAGE(OFFSET($CC$3,0,0,'Données projet'!$E$12+1,1))-AVERAGE(OFFSET($H$3,0,0,'Données projet'!$E$12+1,1))</f>
        <v>426.64691649521097</v>
      </c>
      <c r="CE114" s="62">
        <f t="shared" si="94"/>
        <v>71.485487617222645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62.607999999999883</v>
      </c>
      <c r="D115" s="12">
        <f t="shared" si="86"/>
        <v>17.826011532339194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620.89412410928401</v>
      </c>
      <c r="H115" s="70">
        <f t="shared" si="56"/>
        <v>433.42257008549052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293.33333333333491</v>
      </c>
      <c r="S115" s="62">
        <f ca="1">AVERAGE(OFFSET($R$3,0,0,'Données projet'!$E$9+1,1))-AVERAGE(OFFSET($H$3,0,0,'Données projet'!$E$9+1,1))</f>
        <v>165.12229410621887</v>
      </c>
      <c r="T115" s="62">
        <f t="shared" si="88"/>
        <v>148.17171564653341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1.9895196601282805E-13</v>
      </c>
      <c r="AJ115" s="14">
        <f>AI115*VLOOKUP('Données projet'!$B$10,Paramètres!$A$1:$I$89,3,0)*VLOOKUP('Données projet'!$B$10,Paramètres!$A$1:$I$89,5,0)</f>
        <v>1.8001173884840681E-13</v>
      </c>
      <c r="AK115" s="14">
        <f t="shared" si="89"/>
        <v>2.5254331426407198E-12</v>
      </c>
      <c r="AL115" s="22">
        <f t="shared" si="58"/>
        <v>4.7119831685935622E-12</v>
      </c>
      <c r="AM115" s="62">
        <f t="shared" si="59"/>
        <v>293.33333333333803</v>
      </c>
      <c r="AN115" s="62">
        <f ca="1">AVERAGE(OFFSET($AM$3,0,0,'Données projet'!$E$10+1,1))-AVERAGE(OFFSET($H$3,0,0,'Données projet'!$E$10+1,1))</f>
        <v>249.03969036629979</v>
      </c>
      <c r="AO115" s="62">
        <f t="shared" si="90"/>
        <v>347.8713931923707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1.6434268121231876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1.6434268121231876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280.57175994295949</v>
      </c>
      <c r="BJ115" s="62">
        <f t="shared" si="92"/>
        <v>216.69635818716841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0.24891967368528642</v>
      </c>
      <c r="BR115" s="23">
        <f>EXP(-LN(2)/2)*BR114+(1-EXP(-LN(2)/2))/(LN(2)/2)*BL115*BO115*VLOOKUP('Données projet'!$B$11,Paramètres!$A$1:$I$89,3,0)*0.475*44/12</f>
        <v>9.6080205777695493E-12</v>
      </c>
      <c r="BS115" s="24">
        <f t="shared" si="63"/>
        <v>0.24891967369489443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9.9</v>
      </c>
      <c r="BY115" s="13">
        <f>IF('Données projet'!$A$114&gt;35,BY114+BX115-CG114,IF(A115&lt;'Données projet'!$A$114,$BV$205^A115,IF(A115='Données projet'!$A$114,'Données projet'!$B$114,BY114+BX115-CG114)))</f>
        <v>779.79999999999939</v>
      </c>
      <c r="BZ115" s="14">
        <f>BY115*VLOOKUP('Données projet'!$B$12,Paramètres!$A$1:$I$89,3,0)*VLOOKUP('Données projet'!$B$12,Paramètres!$A$1:$I$89,5,0)</f>
        <v>385.22119999999973</v>
      </c>
      <c r="CA115" s="14">
        <f t="shared" si="93"/>
        <v>88.773957248558474</v>
      </c>
      <c r="CB115" s="22">
        <f t="shared" si="64"/>
        <v>825.54156554123881</v>
      </c>
      <c r="CC115" s="62">
        <f t="shared" si="65"/>
        <v>1118.8748988745722</v>
      </c>
      <c r="CD115" s="62">
        <f ca="1">AVERAGE(OFFSET($CC$3,0,0,'Données projet'!$E$12+1,1))-AVERAGE(OFFSET($H$3,0,0,'Données projet'!$E$12+1,1))</f>
        <v>426.64691649521097</v>
      </c>
      <c r="CE115" s="62">
        <f t="shared" si="94"/>
        <v>71.485487617222645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63.166999999999881</v>
      </c>
      <c r="D116" s="12">
        <f t="shared" si="86"/>
        <v>17.966573192426846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626.29424920469751</v>
      </c>
      <c r="H116" s="70">
        <f t="shared" si="56"/>
        <v>434.64097331014318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293.33333333333491</v>
      </c>
      <c r="S116" s="62">
        <f ca="1">AVERAGE(OFFSET($R$3,0,0,'Données projet'!$E$9+1,1))-AVERAGE(OFFSET($H$3,0,0,'Données projet'!$E$9+1,1))</f>
        <v>165.12229410621887</v>
      </c>
      <c r="T116" s="62">
        <f t="shared" si="88"/>
        <v>148.17171564653341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1.9895196601282805E-13</v>
      </c>
      <c r="AJ116" s="14">
        <f>AI116*VLOOKUP('Données projet'!$B$10,Paramètres!$A$1:$I$89,3,0)*VLOOKUP('Données projet'!$B$10,Paramètres!$A$1:$I$89,5,0)</f>
        <v>1.8001173884840681E-13</v>
      </c>
      <c r="AK116" s="14">
        <f t="shared" si="89"/>
        <v>2.5254331426407198E-12</v>
      </c>
      <c r="AL116" s="22">
        <f t="shared" si="58"/>
        <v>4.7119831685935622E-12</v>
      </c>
      <c r="AM116" s="62">
        <f t="shared" si="59"/>
        <v>293.33333333333803</v>
      </c>
      <c r="AN116" s="62">
        <f ca="1">AVERAGE(OFFSET($AM$3,0,0,'Données projet'!$E$10+1,1))-AVERAGE(OFFSET($H$3,0,0,'Données projet'!$E$10+1,1))</f>
        <v>249.03969036629979</v>
      </c>
      <c r="AO116" s="62">
        <f t="shared" si="90"/>
        <v>347.8713931923707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1.6112002147288293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1.6112002147288293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280.57175994295949</v>
      </c>
      <c r="BJ116" s="62">
        <f t="shared" si="92"/>
        <v>216.69635818716841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0.24211295211824554</v>
      </c>
      <c r="BR116" s="23">
        <f>EXP(-LN(2)/2)*BR115+(1-EXP(-LN(2)/2))/(LN(2)/2)*BL116*BO116*VLOOKUP('Données projet'!$B$11,Paramètres!$A$1:$I$89,3,0)*0.475*44/12</f>
        <v>6.7938965043207387E-12</v>
      </c>
      <c r="BS116" s="24">
        <f t="shared" si="63"/>
        <v>0.24211295212503944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9.9</v>
      </c>
      <c r="BY116" s="13">
        <f>IF('Données projet'!$A$114&gt;35,BY115+BX116-CG115,IF(A116&lt;'Données projet'!$A$114,$BV$205^A116,IF(A116='Données projet'!$A$114,'Données projet'!$B$114,BY115+BX116-CG115)))</f>
        <v>789.69999999999936</v>
      </c>
      <c r="BZ116" s="14">
        <f>BY116*VLOOKUP('Données projet'!$B$12,Paramètres!$A$1:$I$89,3,0)*VLOOKUP('Données projet'!$B$12,Paramètres!$A$1:$I$89,5,0)</f>
        <v>390.11179999999973</v>
      </c>
      <c r="CA116" s="14">
        <f t="shared" si="93"/>
        <v>89.769073334976724</v>
      </c>
      <c r="CB116" s="22">
        <f t="shared" si="64"/>
        <v>835.79252105841726</v>
      </c>
      <c r="CC116" s="62">
        <f t="shared" si="65"/>
        <v>1129.1258543917506</v>
      </c>
      <c r="CD116" s="62">
        <f ca="1">AVERAGE(OFFSET($CC$3,0,0,'Données projet'!$E$12+1,1))-AVERAGE(OFFSET($H$3,0,0,'Données projet'!$E$12+1,1))</f>
        <v>426.64691649521097</v>
      </c>
      <c r="CE116" s="62">
        <f t="shared" si="94"/>
        <v>71.485487617222645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63.725999999999878</v>
      </c>
      <c r="D117" s="12">
        <f t="shared" si="86"/>
        <v>18.106990134115801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631.69325717562981</v>
      </c>
      <c r="H117" s="70">
        <f t="shared" si="56"/>
        <v>435.85912448358476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293.33333333333491</v>
      </c>
      <c r="S117" s="62">
        <f ca="1">AVERAGE(OFFSET($R$3,0,0,'Données projet'!$E$9+1,1))-AVERAGE(OFFSET($H$3,0,0,'Données projet'!$E$9+1,1))</f>
        <v>165.12229410621887</v>
      </c>
      <c r="T117" s="62">
        <f t="shared" si="88"/>
        <v>148.17171564653341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1.9895196601282805E-13</v>
      </c>
      <c r="AJ117" s="14">
        <f>AI117*VLOOKUP('Données projet'!$B$10,Paramètres!$A$1:$I$89,3,0)*VLOOKUP('Données projet'!$B$10,Paramètres!$A$1:$I$89,5,0)</f>
        <v>1.8001173884840681E-13</v>
      </c>
      <c r="AK117" s="14">
        <f t="shared" si="89"/>
        <v>2.5254331426407198E-12</v>
      </c>
      <c r="AL117" s="22">
        <f t="shared" si="58"/>
        <v>4.7119831685935622E-12</v>
      </c>
      <c r="AM117" s="62">
        <f t="shared" si="59"/>
        <v>293.33333333333803</v>
      </c>
      <c r="AN117" s="62">
        <f ca="1">AVERAGE(OFFSET($AM$3,0,0,'Données projet'!$E$10+1,1))-AVERAGE(OFFSET($H$3,0,0,'Données projet'!$E$10+1,1))</f>
        <v>249.03969036629979</v>
      </c>
      <c r="AO117" s="62">
        <f t="shared" si="90"/>
        <v>347.8713931923707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1.579605561253091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1.579605561253091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280.57175994295949</v>
      </c>
      <c r="BJ117" s="62">
        <f t="shared" si="92"/>
        <v>216.69635818716841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0.23549236071040533</v>
      </c>
      <c r="BR117" s="23">
        <f>EXP(-LN(2)/2)*BR116+(1-EXP(-LN(2)/2))/(LN(2)/2)*BL117*BO117*VLOOKUP('Données projet'!$B$11,Paramètres!$A$1:$I$89,3,0)*0.475*44/12</f>
        <v>4.8040102888847747E-12</v>
      </c>
      <c r="BS117" s="24">
        <f t="shared" si="63"/>
        <v>0.23549236071520935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9.9</v>
      </c>
      <c r="BY117" s="13">
        <f>IF('Données projet'!$A$114&gt;35,BY116+BX117-CG116,IF(A117&lt;'Données projet'!$A$114,$BV$205^A117,IF(A117='Données projet'!$A$114,'Données projet'!$B$114,BY116+BX117-CG116)))</f>
        <v>799.59999999999934</v>
      </c>
      <c r="BZ117" s="14">
        <f>BY117*VLOOKUP('Données projet'!$B$12,Paramètres!$A$1:$I$89,3,0)*VLOOKUP('Données projet'!$B$12,Paramètres!$A$1:$I$89,5,0)</f>
        <v>395.00239999999968</v>
      </c>
      <c r="CA117" s="14">
        <f t="shared" si="93"/>
        <v>90.762738329279145</v>
      </c>
      <c r="CB117" s="22">
        <f t="shared" si="64"/>
        <v>846.04094925682728</v>
      </c>
      <c r="CC117" s="62">
        <f t="shared" si="65"/>
        <v>1139.3742825901606</v>
      </c>
      <c r="CD117" s="62">
        <f ca="1">AVERAGE(OFFSET($CC$3,0,0,'Données projet'!$E$12+1,1))-AVERAGE(OFFSET($H$3,0,0,'Données projet'!$E$12+1,1))</f>
        <v>426.64691649521097</v>
      </c>
      <c r="CE117" s="62">
        <f t="shared" si="94"/>
        <v>71.485487617222645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64.284999999999883</v>
      </c>
      <c r="D118" s="12">
        <f t="shared" si="86"/>
        <v>18.247263773943999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637.09115895675984</v>
      </c>
      <c r="H118" s="70">
        <f t="shared" si="56"/>
        <v>437.07702607295221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293.33333333333491</v>
      </c>
      <c r="S118" s="62">
        <f ca="1">AVERAGE(OFFSET($R$3,0,0,'Données projet'!$E$9+1,1))-AVERAGE(OFFSET($H$3,0,0,'Données projet'!$E$9+1,1))</f>
        <v>165.12229410621887</v>
      </c>
      <c r="T118" s="62">
        <f t="shared" si="88"/>
        <v>148.17171564653341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1.9895196601282805E-13</v>
      </c>
      <c r="AJ118" s="14">
        <f>AI118*VLOOKUP('Données projet'!$B$10,Paramètres!$A$1:$I$89,3,0)*VLOOKUP('Données projet'!$B$10,Paramètres!$A$1:$I$89,5,0)</f>
        <v>1.8001173884840681E-13</v>
      </c>
      <c r="AK118" s="14">
        <f t="shared" si="89"/>
        <v>2.5254331426407198E-12</v>
      </c>
      <c r="AL118" s="22">
        <f t="shared" si="58"/>
        <v>4.7119831685935622E-12</v>
      </c>
      <c r="AM118" s="62">
        <f t="shared" si="59"/>
        <v>293.33333333333803</v>
      </c>
      <c r="AN118" s="62">
        <f ca="1">AVERAGE(OFFSET($AM$3,0,0,'Données projet'!$E$10+1,1))-AVERAGE(OFFSET($H$3,0,0,'Données projet'!$E$10+1,1))</f>
        <v>249.03969036629979</v>
      </c>
      <c r="AO118" s="62">
        <f t="shared" si="90"/>
        <v>347.8713931923707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1.5486304596611762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1.5486304596611762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280.57175994295949</v>
      </c>
      <c r="BJ118" s="62">
        <f t="shared" si="92"/>
        <v>216.69635818716841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0.22905280972277428</v>
      </c>
      <c r="BR118" s="23">
        <f>EXP(-LN(2)/2)*BR117+(1-EXP(-LN(2)/2))/(LN(2)/2)*BL118*BO118*VLOOKUP('Données projet'!$B$11,Paramètres!$A$1:$I$89,3,0)*0.475*44/12</f>
        <v>3.3969482521603694E-12</v>
      </c>
      <c r="BS118" s="24">
        <f t="shared" si="63"/>
        <v>0.22905280972617123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9.9</v>
      </c>
      <c r="BY118" s="13">
        <f>IF('Données projet'!$A$114&gt;35,BY117+BX118-CG117,IF(A118&lt;'Données projet'!$A$114,$BV$205^A118,IF(A118='Données projet'!$A$114,'Données projet'!$B$114,BY117+BX118-CG117)))</f>
        <v>809.49999999999932</v>
      </c>
      <c r="BZ118" s="14">
        <f>BY118*VLOOKUP('Données projet'!$B$12,Paramètres!$A$1:$I$89,3,0)*VLOOKUP('Données projet'!$B$12,Paramètres!$A$1:$I$89,5,0)</f>
        <v>399.89299999999969</v>
      </c>
      <c r="CA118" s="14">
        <f t="shared" si="93"/>
        <v>91.754972275568832</v>
      </c>
      <c r="CB118" s="22">
        <f t="shared" si="64"/>
        <v>856.28688504661523</v>
      </c>
      <c r="CC118" s="62">
        <f t="shared" si="65"/>
        <v>1149.6202183799485</v>
      </c>
      <c r="CD118" s="62">
        <f ca="1">AVERAGE(OFFSET($CC$3,0,0,'Données projet'!$E$12+1,1))-AVERAGE(OFFSET($H$3,0,0,'Données projet'!$E$12+1,1))</f>
        <v>426.64691649521097</v>
      </c>
      <c r="CE118" s="62">
        <f t="shared" si="94"/>
        <v>71.485487617222645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64.84399999999988</v>
      </c>
      <c r="D119" s="12">
        <f t="shared" si="86"/>
        <v>18.387395502392327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642.48796528162404</v>
      </c>
      <c r="H119" s="70">
        <f t="shared" si="56"/>
        <v>438.29468049999969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293.33333333333491</v>
      </c>
      <c r="S119" s="62">
        <f ca="1">AVERAGE(OFFSET($R$3,0,0,'Données projet'!$E$9+1,1))-AVERAGE(OFFSET($H$3,0,0,'Données projet'!$E$9+1,1))</f>
        <v>165.12229410621887</v>
      </c>
      <c r="T119" s="62">
        <f t="shared" si="88"/>
        <v>148.17171564653341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1.9895196601282805E-13</v>
      </c>
      <c r="AJ119" s="14">
        <f>AI119*VLOOKUP('Données projet'!$B$10,Paramètres!$A$1:$I$89,3,0)*VLOOKUP('Données projet'!$B$10,Paramètres!$A$1:$I$89,5,0)</f>
        <v>1.8001173884840681E-13</v>
      </c>
      <c r="AK119" s="14">
        <f t="shared" si="89"/>
        <v>2.5254331426407198E-12</v>
      </c>
      <c r="AL119" s="22">
        <f t="shared" si="58"/>
        <v>4.7119831685935622E-12</v>
      </c>
      <c r="AM119" s="62">
        <f t="shared" si="59"/>
        <v>293.33333333333803</v>
      </c>
      <c r="AN119" s="62">
        <f ca="1">AVERAGE(OFFSET($AM$3,0,0,'Données projet'!$E$10+1,1))-AVERAGE(OFFSET($H$3,0,0,'Données projet'!$E$10+1,1))</f>
        <v>249.03969036629979</v>
      </c>
      <c r="AO119" s="62">
        <f t="shared" si="90"/>
        <v>347.8713931923707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1.5182627609185322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1.5182627609185322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280.57175994295949</v>
      </c>
      <c r="BJ119" s="62">
        <f t="shared" si="92"/>
        <v>216.69635818716841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0.22278934859554125</v>
      </c>
      <c r="BR119" s="23">
        <f>EXP(-LN(2)/2)*BR118+(1-EXP(-LN(2)/2))/(LN(2)/2)*BL119*BO119*VLOOKUP('Données projet'!$B$11,Paramètres!$A$1:$I$89,3,0)*0.475*44/12</f>
        <v>2.4020051444423873E-12</v>
      </c>
      <c r="BS119" s="24">
        <f t="shared" si="63"/>
        <v>0.22278934859794325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9.9</v>
      </c>
      <c r="BY119" s="13">
        <f>IF('Données projet'!$A$114&gt;35,BY118+BX119-CG118,IF(A119&lt;'Données projet'!$A$114,$BV$205^A119,IF(A119='Données projet'!$A$114,'Données projet'!$B$114,BY118+BX119-CG118)))</f>
        <v>819.3999999999993</v>
      </c>
      <c r="BZ119" s="14">
        <f>BY119*VLOOKUP('Données projet'!$B$12,Paramètres!$A$1:$I$89,3,0)*VLOOKUP('Données projet'!$B$12,Paramètres!$A$1:$I$89,5,0)</f>
        <v>404.78359999999964</v>
      </c>
      <c r="CA119" s="14">
        <f t="shared" si="93"/>
        <v>92.745794699476207</v>
      </c>
      <c r="CB119" s="22">
        <f t="shared" si="64"/>
        <v>866.53036243492045</v>
      </c>
      <c r="CC119" s="62">
        <f t="shared" si="65"/>
        <v>1159.8636957682538</v>
      </c>
      <c r="CD119" s="62">
        <f ca="1">AVERAGE(OFFSET($CC$3,0,0,'Données projet'!$E$12+1,1))-AVERAGE(OFFSET($H$3,0,0,'Données projet'!$E$12+1,1))</f>
        <v>426.64691649521097</v>
      </c>
      <c r="CE119" s="62">
        <f t="shared" si="94"/>
        <v>71.485487617222645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65.402999999999878</v>
      </c>
      <c r="D120" s="12">
        <f t="shared" si="86"/>
        <v>18.527386684584421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647.88368668801934</v>
      </c>
      <c r="H120" s="70">
        <f t="shared" si="56"/>
        <v>439.51209014231767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293.33333333333491</v>
      </c>
      <c r="S120" s="62">
        <f ca="1">AVERAGE(OFFSET($R$3,0,0,'Données projet'!$E$9+1,1))-AVERAGE(OFFSET($H$3,0,0,'Données projet'!$E$9+1,1))</f>
        <v>165.12229410621887</v>
      </c>
      <c r="T120" s="62">
        <f t="shared" si="88"/>
        <v>148.17171564653341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1.9895196601282805E-13</v>
      </c>
      <c r="AJ120" s="14">
        <f>AI120*VLOOKUP('Données projet'!$B$10,Paramètres!$A$1:$I$89,3,0)*VLOOKUP('Données projet'!$B$10,Paramètres!$A$1:$I$89,5,0)</f>
        <v>1.8001173884840681E-13</v>
      </c>
      <c r="AK120" s="14">
        <f t="shared" si="89"/>
        <v>2.5254331426407198E-12</v>
      </c>
      <c r="AL120" s="22">
        <f t="shared" si="58"/>
        <v>4.7119831685935622E-12</v>
      </c>
      <c r="AM120" s="62">
        <f t="shared" si="59"/>
        <v>293.33333333333803</v>
      </c>
      <c r="AN120" s="62">
        <f ca="1">AVERAGE(OFFSET($AM$3,0,0,'Données projet'!$E$10+1,1))-AVERAGE(OFFSET($H$3,0,0,'Données projet'!$E$10+1,1))</f>
        <v>249.03969036629979</v>
      </c>
      <c r="AO120" s="62">
        <f t="shared" si="90"/>
        <v>347.8713931923707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1.4884905542257643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1.4884905542257643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280.57175994295949</v>
      </c>
      <c r="BJ120" s="62">
        <f t="shared" si="92"/>
        <v>216.69635818716841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0.21669716214221352</v>
      </c>
      <c r="BR120" s="23">
        <f>EXP(-LN(2)/2)*BR119+(1-EXP(-LN(2)/2))/(LN(2)/2)*BL120*BO120*VLOOKUP('Données projet'!$B$11,Paramètres!$A$1:$I$89,3,0)*0.475*44/12</f>
        <v>1.6984741260801847E-12</v>
      </c>
      <c r="BS120" s="24">
        <f t="shared" si="63"/>
        <v>0.21669716214391199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9.9</v>
      </c>
      <c r="BY120" s="13">
        <f>IF('Données projet'!$A$114&gt;35,BY119+BX120-CG119,IF(A120&lt;'Données projet'!$A$114,$BV$205^A120,IF(A120='Données projet'!$A$114,'Données projet'!$B$114,BY119+BX120-CG119)))</f>
        <v>829.29999999999927</v>
      </c>
      <c r="BZ120" s="14">
        <f>BY120*VLOOKUP('Données projet'!$B$12,Paramètres!$A$1:$I$89,3,0)*VLOOKUP('Données projet'!$B$12,Paramètres!$A$1:$I$89,5,0)</f>
        <v>409.67419999999964</v>
      </c>
      <c r="CA120" s="14">
        <f t="shared" si="93"/>
        <v>93.735224627668828</v>
      </c>
      <c r="CB120" s="22">
        <f t="shared" si="64"/>
        <v>876.771414559856</v>
      </c>
      <c r="CC120" s="62">
        <f t="shared" si="65"/>
        <v>1170.1047478931894</v>
      </c>
      <c r="CD120" s="62">
        <f ca="1">AVERAGE(OFFSET($CC$3,0,0,'Données projet'!$E$12+1,1))-AVERAGE(OFFSET($H$3,0,0,'Données projet'!$E$12+1,1))</f>
        <v>426.64691649521097</v>
      </c>
      <c r="CE120" s="62">
        <f t="shared" si="94"/>
        <v>71.485487617222645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65.961999999999875</v>
      </c>
      <c r="D121" s="12">
        <f t="shared" si="86"/>
        <v>18.667238660961754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653.27833352321261</v>
      </c>
      <c r="H121" s="70">
        <f t="shared" si="56"/>
        <v>440.72925733450813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293.33333333333491</v>
      </c>
      <c r="S121" s="62">
        <f ca="1">AVERAGE(OFFSET($R$3,0,0,'Données projet'!$E$9+1,1))-AVERAGE(OFFSET($H$3,0,0,'Données projet'!$E$9+1,1))</f>
        <v>165.12229410621887</v>
      </c>
      <c r="T121" s="62">
        <f t="shared" si="88"/>
        <v>148.17171564653341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1.9895196601282805E-13</v>
      </c>
      <c r="AJ121" s="14">
        <f>AI121*VLOOKUP('Données projet'!$B$10,Paramètres!$A$1:$I$89,3,0)*VLOOKUP('Données projet'!$B$10,Paramètres!$A$1:$I$89,5,0)</f>
        <v>1.8001173884840681E-13</v>
      </c>
      <c r="AK121" s="14">
        <f t="shared" si="89"/>
        <v>2.5254331426407198E-12</v>
      </c>
      <c r="AL121" s="22">
        <f t="shared" si="58"/>
        <v>4.7119831685935622E-12</v>
      </c>
      <c r="AM121" s="62">
        <f t="shared" si="59"/>
        <v>293.33333333333803</v>
      </c>
      <c r="AN121" s="62">
        <f ca="1">AVERAGE(OFFSET($AM$3,0,0,'Données projet'!$E$10+1,1))-AVERAGE(OFFSET($H$3,0,0,'Données projet'!$E$10+1,1))</f>
        <v>249.03969036629979</v>
      </c>
      <c r="AO121" s="62">
        <f t="shared" si="90"/>
        <v>347.8713931923707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1.4593021623469884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1.4593021623469884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280.57175994295949</v>
      </c>
      <c r="BJ121" s="62">
        <f t="shared" si="92"/>
        <v>216.69635818716841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0.21077156684782619</v>
      </c>
      <c r="BR121" s="23">
        <f>EXP(-LN(2)/2)*BR120+(1-EXP(-LN(2)/2))/(LN(2)/2)*BL121*BO121*VLOOKUP('Données projet'!$B$11,Paramètres!$A$1:$I$89,3,0)*0.475*44/12</f>
        <v>1.2010025722211937E-12</v>
      </c>
      <c r="BS121" s="24">
        <f t="shared" si="63"/>
        <v>0.2107715668490272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9.9</v>
      </c>
      <c r="BY121" s="13">
        <f>IF('Données projet'!$A$114&gt;35,BY120+BX121-CG120,IF(A121&lt;'Données projet'!$A$114,$BV$205^A121,IF(A121='Données projet'!$A$114,'Données projet'!$B$114,BY120+BX121-CG120)))</f>
        <v>839.19999999999925</v>
      </c>
      <c r="BZ121" s="14">
        <f>BY121*VLOOKUP('Données projet'!$B$12,Paramètres!$A$1:$I$89,3,0)*VLOOKUP('Données projet'!$B$12,Paramètres!$A$1:$I$89,5,0)</f>
        <v>414.56479999999965</v>
      </c>
      <c r="CA121" s="14">
        <f t="shared" si="93"/>
        <v>94.723280606403108</v>
      </c>
      <c r="CB121" s="22">
        <f t="shared" si="64"/>
        <v>887.01007372281811</v>
      </c>
      <c r="CC121" s="62">
        <f t="shared" si="65"/>
        <v>1180.3434070561514</v>
      </c>
      <c r="CD121" s="62">
        <f ca="1">AVERAGE(OFFSET($CC$3,0,0,'Données projet'!$E$12+1,1))-AVERAGE(OFFSET($H$3,0,0,'Données projet'!$E$12+1,1))</f>
        <v>426.64691649521097</v>
      </c>
      <c r="CE121" s="62">
        <f t="shared" si="94"/>
        <v>71.485487617222645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66.520999999999873</v>
      </c>
      <c r="D122" s="12">
        <f t="shared" si="86"/>
        <v>18.806952747935146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658.67191594897213</v>
      </c>
      <c r="H122" s="70">
        <f t="shared" si="56"/>
        <v>441.94618436932012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293.33333333333491</v>
      </c>
      <c r="S122" s="62">
        <f ca="1">AVERAGE(OFFSET($R$3,0,0,'Données projet'!$E$9+1,1))-AVERAGE(OFFSET($H$3,0,0,'Données projet'!$E$9+1,1))</f>
        <v>165.12229410621887</v>
      </c>
      <c r="T122" s="62">
        <f t="shared" si="88"/>
        <v>148.17171564653341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1.9895196601282805E-13</v>
      </c>
      <c r="AJ122" s="14">
        <f>AI122*VLOOKUP('Données projet'!$B$10,Paramètres!$A$1:$I$89,3,0)*VLOOKUP('Données projet'!$B$10,Paramètres!$A$1:$I$89,5,0)</f>
        <v>1.8001173884840681E-13</v>
      </c>
      <c r="AK122" s="14">
        <f t="shared" si="89"/>
        <v>2.5254331426407198E-12</v>
      </c>
      <c r="AL122" s="22">
        <f t="shared" si="58"/>
        <v>4.7119831685935622E-12</v>
      </c>
      <c r="AM122" s="62">
        <f t="shared" si="59"/>
        <v>293.33333333333803</v>
      </c>
      <c r="AN122" s="62">
        <f ca="1">AVERAGE(OFFSET($AM$3,0,0,'Données projet'!$E$10+1,1))-AVERAGE(OFFSET($H$3,0,0,'Données projet'!$E$10+1,1))</f>
        <v>249.03969036629979</v>
      </c>
      <c r="AO122" s="62">
        <f t="shared" si="90"/>
        <v>347.8713931923707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1.4306861370297943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1.4306861370297943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280.57175994295949</v>
      </c>
      <c r="BJ122" s="62">
        <f t="shared" si="92"/>
        <v>216.69635818716841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0.2050080072683774</v>
      </c>
      <c r="BR122" s="23">
        <f>EXP(-LN(2)/2)*BR121+(1-EXP(-LN(2)/2))/(LN(2)/2)*BL122*BO122*VLOOKUP('Données projet'!$B$11,Paramètres!$A$1:$I$89,3,0)*0.475*44/12</f>
        <v>8.4923706304009234E-13</v>
      </c>
      <c r="BS122" s="24">
        <f t="shared" si="63"/>
        <v>0.20500800726922663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9.9</v>
      </c>
      <c r="BY122" s="13">
        <f>IF('Données projet'!$A$114&gt;35,BY121+BX122-CG121,IF(A122&lt;'Données projet'!$A$114,$BV$205^A122,IF(A122='Données projet'!$A$114,'Données projet'!$B$114,BY121+BX122-CG121)))</f>
        <v>849.09999999999923</v>
      </c>
      <c r="BZ122" s="14">
        <f>BY122*VLOOKUP('Données projet'!$B$12,Paramètres!$A$1:$I$89,3,0)*VLOOKUP('Données projet'!$B$12,Paramètres!$A$1:$I$89,5,0)</f>
        <v>419.45539999999966</v>
      </c>
      <c r="CA122" s="14">
        <f t="shared" si="93"/>
        <v>95.709980719176031</v>
      </c>
      <c r="CB122" s="22">
        <f t="shared" si="64"/>
        <v>897.24637141923097</v>
      </c>
      <c r="CC122" s="62">
        <f t="shared" si="65"/>
        <v>1190.5797047525643</v>
      </c>
      <c r="CD122" s="62">
        <f ca="1">AVERAGE(OFFSET($CC$3,0,0,'Données projet'!$E$12+1,1))-AVERAGE(OFFSET($H$3,0,0,'Données projet'!$E$12+1,1))</f>
        <v>426.64691649521097</v>
      </c>
      <c r="CE122" s="62">
        <f t="shared" si="94"/>
        <v>71.485487617222645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67.07999999999987</v>
      </c>
      <c r="D123" s="12">
        <f t="shared" si="86"/>
        <v>18.946530238513862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664.06444394642187</v>
      </c>
      <c r="H123" s="70">
        <f t="shared" si="56"/>
        <v>443.16287349874472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293.33333333333491</v>
      </c>
      <c r="S123" s="62">
        <f ca="1">AVERAGE(OFFSET($R$3,0,0,'Données projet'!$E$9+1,1))-AVERAGE(OFFSET($H$3,0,0,'Données projet'!$E$9+1,1))</f>
        <v>165.12229410621887</v>
      </c>
      <c r="T123" s="62">
        <f t="shared" si="88"/>
        <v>148.17171564653341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1.9895196601282805E-13</v>
      </c>
      <c r="AJ123" s="14">
        <f>AI123*VLOOKUP('Données projet'!$B$10,Paramètres!$A$1:$I$89,3,0)*VLOOKUP('Données projet'!$B$10,Paramètres!$A$1:$I$89,5,0)</f>
        <v>1.8001173884840681E-13</v>
      </c>
      <c r="AK123" s="14">
        <f t="shared" si="89"/>
        <v>2.5254331426407198E-12</v>
      </c>
      <c r="AL123" s="22">
        <f t="shared" si="58"/>
        <v>4.7119831685935622E-12</v>
      </c>
      <c r="AM123" s="62">
        <f t="shared" si="59"/>
        <v>293.33333333333803</v>
      </c>
      <c r="AN123" s="62">
        <f ca="1">AVERAGE(OFFSET($AM$3,0,0,'Données projet'!$E$10+1,1))-AVERAGE(OFFSET($H$3,0,0,'Données projet'!$E$10+1,1))</f>
        <v>249.03969036629979</v>
      </c>
      <c r="AO123" s="62">
        <f t="shared" si="90"/>
        <v>347.8713931923707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1.4026312545150184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1.4026312545150184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280.57175994295949</v>
      </c>
      <c r="BJ123" s="62">
        <f t="shared" si="92"/>
        <v>216.69635818716841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0.19940205252872106</v>
      </c>
      <c r="BR123" s="23">
        <f>EXP(-LN(2)/2)*BR122+(1-EXP(-LN(2)/2))/(LN(2)/2)*BL123*BO123*VLOOKUP('Données projet'!$B$11,Paramètres!$A$1:$I$89,3,0)*0.475*44/12</f>
        <v>6.0050128611059683E-13</v>
      </c>
      <c r="BS123" s="24">
        <f t="shared" si="63"/>
        <v>0.19940205252932156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859</v>
      </c>
      <c r="BW123" s="13">
        <f>VLOOKUP(A123,'Données projet'!$A$113:$I$133,9,0)</f>
        <v>9.9</v>
      </c>
      <c r="BX123" s="13">
        <f t="array" ref="BX123">INDEX(BW:BW,MIN(IF(ISNUMBER(BW123:BW319),ROW(BW123:BW319),"")))</f>
        <v>9.9</v>
      </c>
      <c r="BY123" s="13">
        <f>IF('Données projet'!$A$114&gt;35,BY122+BX123-CG122,IF(A123&lt;'Données projet'!$A$114,$BV$205^A123,IF(A123='Données projet'!$A$114,'Données projet'!$B$114,BY122+BX123-CG122)))</f>
        <v>858.9999999999992</v>
      </c>
      <c r="BZ123" s="14">
        <f>BY123*VLOOKUP('Données projet'!$B$12,Paramètres!$A$1:$I$89,3,0)*VLOOKUP('Données projet'!$B$12,Paramètres!$A$1:$I$89,5,0)</f>
        <v>424.34599999999961</v>
      </c>
      <c r="CA123" s="14">
        <f t="shared" si="93"/>
        <v>96.695342603529184</v>
      </c>
      <c r="CB123" s="22">
        <f t="shared" si="64"/>
        <v>907.48033836781269</v>
      </c>
      <c r="CC123" s="62">
        <f t="shared" si="65"/>
        <v>1200.8136717011459</v>
      </c>
      <c r="CD123" s="62">
        <f ca="1">AVERAGE(OFFSET($CC$3,0,0,'Données projet'!$E$12+1,1))-AVERAGE(OFFSET($H$3,0,0,'Données projet'!$E$12+1,1))</f>
        <v>426.64691649521097</v>
      </c>
      <c r="CE123" s="62">
        <f t="shared" si="94"/>
        <v>71.485487617222645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100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67.638999999999868</v>
      </c>
      <c r="D124" s="12">
        <f t="shared" si="86"/>
        <v>19.085972402913047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669.45592732073135</v>
      </c>
      <c r="H124" s="70">
        <f t="shared" si="56"/>
        <v>444.37932693507332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293.33333333333491</v>
      </c>
      <c r="S124" s="62">
        <f ca="1">AVERAGE(OFFSET($R$3,0,0,'Données projet'!$E$9+1,1))-AVERAGE(OFFSET($H$3,0,0,'Données projet'!$E$9+1,1))</f>
        <v>165.12229410621887</v>
      </c>
      <c r="T124" s="62">
        <f t="shared" si="88"/>
        <v>148.17171564653341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1.9895196601282805E-13</v>
      </c>
      <c r="AJ124" s="14">
        <f>AI124*VLOOKUP('Données projet'!$B$10,Paramètres!$A$1:$I$89,3,0)*VLOOKUP('Données projet'!$B$10,Paramètres!$A$1:$I$89,5,0)</f>
        <v>1.8001173884840681E-13</v>
      </c>
      <c r="AK124" s="14">
        <f t="shared" si="89"/>
        <v>2.5254331426407198E-12</v>
      </c>
      <c r="AL124" s="22">
        <f t="shared" si="58"/>
        <v>4.7119831685935622E-12</v>
      </c>
      <c r="AM124" s="62">
        <f t="shared" si="59"/>
        <v>293.33333333333803</v>
      </c>
      <c r="AN124" s="62">
        <f ca="1">AVERAGE(OFFSET($AM$3,0,0,'Données projet'!$E$10+1,1))-AVERAGE(OFFSET($H$3,0,0,'Données projet'!$E$10+1,1))</f>
        <v>249.03969036629979</v>
      </c>
      <c r="AO124" s="62">
        <f t="shared" si="90"/>
        <v>347.8713931923707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1.3751265111345685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1.3751265111345685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280.57175994295949</v>
      </c>
      <c r="BJ124" s="62">
        <f t="shared" si="92"/>
        <v>216.69635818716841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0.19394939291622498</v>
      </c>
      <c r="BR124" s="23">
        <f>EXP(-LN(2)/2)*BR123+(1-EXP(-LN(2)/2))/(LN(2)/2)*BL124*BO124*VLOOKUP('Données projet'!$B$11,Paramètres!$A$1:$I$89,3,0)*0.475*44/12</f>
        <v>4.2461853152004617E-13</v>
      </c>
      <c r="BS124" s="24">
        <f t="shared" si="63"/>
        <v>0.19394939291664959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8.9</v>
      </c>
      <c r="BY124" s="13">
        <f>IF('Données projet'!$A$114&gt;35,BY123+BX124-CG123,IF(A124&lt;'Données projet'!$A$114,$BV$205^A124,IF(A124='Données projet'!$A$114,'Données projet'!$B$114,BY123+BX124-CG123)))</f>
        <v>767.89999999999918</v>
      </c>
      <c r="BZ124" s="14">
        <f>BY124*VLOOKUP('Données projet'!$B$12,Paramètres!$A$1:$I$89,3,0)*VLOOKUP('Données projet'!$B$12,Paramètres!$A$1:$I$89,5,0)</f>
        <v>379.34259999999961</v>
      </c>
      <c r="CA124" s="14">
        <f t="shared" si="93"/>
        <v>87.575858066681832</v>
      </c>
      <c r="CB124" s="22">
        <f t="shared" si="64"/>
        <v>813.21631446613674</v>
      </c>
      <c r="CC124" s="62">
        <f t="shared" si="65"/>
        <v>1106.54964779947</v>
      </c>
      <c r="CD124" s="62">
        <f ca="1">AVERAGE(OFFSET($CC$3,0,0,'Données projet'!$E$12+1,1))-AVERAGE(OFFSET($H$3,0,0,'Données projet'!$E$12+1,1))</f>
        <v>426.64691649521097</v>
      </c>
      <c r="CE124" s="62">
        <f t="shared" si="94"/>
        <v>71.485487617222645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68.197999999999865</v>
      </c>
      <c r="D125" s="12">
        <f t="shared" si="86"/>
        <v>19.225280489140612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674.84637570564576</v>
      </c>
      <c r="H125" s="70">
        <f t="shared" si="56"/>
        <v>445.59554685191961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293.33333333333491</v>
      </c>
      <c r="S125" s="62">
        <f ca="1">AVERAGE(OFFSET($R$3,0,0,'Données projet'!$E$9+1,1))-AVERAGE(OFFSET($H$3,0,0,'Données projet'!$E$9+1,1))</f>
        <v>165.12229410621887</v>
      </c>
      <c r="T125" s="62">
        <f t="shared" si="88"/>
        <v>148.17171564653341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1.9895196601282805E-13</v>
      </c>
      <c r="AJ125" s="14">
        <f>AI125*VLOOKUP('Données projet'!$B$10,Paramètres!$A$1:$I$89,3,0)*VLOOKUP('Données projet'!$B$10,Paramètres!$A$1:$I$89,5,0)</f>
        <v>1.8001173884840681E-13</v>
      </c>
      <c r="AK125" s="14">
        <f t="shared" si="89"/>
        <v>2.5254331426407198E-12</v>
      </c>
      <c r="AL125" s="22">
        <f t="shared" si="58"/>
        <v>4.7119831685935622E-12</v>
      </c>
      <c r="AM125" s="62">
        <f t="shared" si="59"/>
        <v>293.33333333333803</v>
      </c>
      <c r="AN125" s="62">
        <f ca="1">AVERAGE(OFFSET($AM$3,0,0,'Données projet'!$E$10+1,1))-AVERAGE(OFFSET($H$3,0,0,'Données projet'!$E$10+1,1))</f>
        <v>249.03969036629979</v>
      </c>
      <c r="AO125" s="62">
        <f t="shared" si="90"/>
        <v>347.8713931923707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1.3481611189955722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1.3481611189955722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280.57175994295949</v>
      </c>
      <c r="BJ125" s="62">
        <f t="shared" si="92"/>
        <v>216.69635818716841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0.18864583656757553</v>
      </c>
      <c r="BR125" s="23">
        <f>EXP(-LN(2)/2)*BR124+(1-EXP(-LN(2)/2))/(LN(2)/2)*BL125*BO125*VLOOKUP('Données projet'!$B$11,Paramètres!$A$1:$I$89,3,0)*0.475*44/12</f>
        <v>3.0025064305529842E-13</v>
      </c>
      <c r="BS125" s="24">
        <f t="shared" si="63"/>
        <v>0.18864583656787579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8.9</v>
      </c>
      <c r="BY125" s="13">
        <f>IF('Données projet'!$A$114&gt;35,BY124+BX125-CG124,IF(A125&lt;'Données projet'!$A$114,$BV$205^A125,IF(A125='Données projet'!$A$114,'Données projet'!$B$114,BY124+BX125-CG124)))</f>
        <v>776.79999999999916</v>
      </c>
      <c r="BZ125" s="14">
        <f>BY125*VLOOKUP('Données projet'!$B$12,Paramètres!$A$1:$I$89,3,0)*VLOOKUP('Données projet'!$B$12,Paramètres!$A$1:$I$89,5,0)</f>
        <v>383.73919999999958</v>
      </c>
      <c r="CA125" s="14">
        <f t="shared" si="93"/>
        <v>88.472117326915537</v>
      </c>
      <c r="CB125" s="22">
        <f t="shared" si="64"/>
        <v>822.43471101104387</v>
      </c>
      <c r="CC125" s="62">
        <f t="shared" si="65"/>
        <v>1115.7680443443771</v>
      </c>
      <c r="CD125" s="62">
        <f ca="1">AVERAGE(OFFSET($CC$3,0,0,'Données projet'!$E$12+1,1))-AVERAGE(OFFSET($H$3,0,0,'Données projet'!$E$12+1,1))</f>
        <v>426.64691649521097</v>
      </c>
      <c r="CE125" s="62">
        <f t="shared" si="94"/>
        <v>71.485487617222645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68.756999999999863</v>
      </c>
      <c r="D126" s="12">
        <f t="shared" si="86"/>
        <v>19.364455723564159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680.23579856786262</v>
      </c>
      <c r="H126" s="70">
        <f t="shared" si="56"/>
        <v>446.81153538520732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293.33333333333491</v>
      </c>
      <c r="S126" s="62">
        <f ca="1">AVERAGE(OFFSET($R$3,0,0,'Données projet'!$E$9+1,1))-AVERAGE(OFFSET($H$3,0,0,'Données projet'!$E$9+1,1))</f>
        <v>165.12229410621887</v>
      </c>
      <c r="T126" s="62">
        <f t="shared" si="88"/>
        <v>148.17171564653341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1.9895196601282805E-13</v>
      </c>
      <c r="AJ126" s="14">
        <f>AI126*VLOOKUP('Données projet'!$B$10,Paramètres!$A$1:$I$89,3,0)*VLOOKUP('Données projet'!$B$10,Paramètres!$A$1:$I$89,5,0)</f>
        <v>1.8001173884840681E-13</v>
      </c>
      <c r="AK126" s="14">
        <f t="shared" si="89"/>
        <v>2.5254331426407198E-12</v>
      </c>
      <c r="AL126" s="22">
        <f t="shared" si="58"/>
        <v>4.7119831685935622E-12</v>
      </c>
      <c r="AM126" s="62">
        <f t="shared" si="59"/>
        <v>293.33333333333803</v>
      </c>
      <c r="AN126" s="62">
        <f ca="1">AVERAGE(OFFSET($AM$3,0,0,'Données projet'!$E$10+1,1))-AVERAGE(OFFSET($H$3,0,0,'Données projet'!$E$10+1,1))</f>
        <v>249.03969036629979</v>
      </c>
      <c r="AO126" s="62">
        <f t="shared" si="90"/>
        <v>347.8713931923707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1.3217245017491566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1.3217245017491566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280.57175994295949</v>
      </c>
      <c r="BJ126" s="62">
        <f t="shared" si="92"/>
        <v>216.69635818716841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0.18348730624618179</v>
      </c>
      <c r="BR126" s="23">
        <f>EXP(-LN(2)/2)*BR125+(1-EXP(-LN(2)/2))/(LN(2)/2)*BL126*BO126*VLOOKUP('Données projet'!$B$11,Paramètres!$A$1:$I$89,3,0)*0.475*44/12</f>
        <v>2.1230926576002308E-13</v>
      </c>
      <c r="BS126" s="24">
        <f t="shared" si="63"/>
        <v>0.18348730624639409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8.9</v>
      </c>
      <c r="BY126" s="13">
        <f>IF('Données projet'!$A$114&gt;35,BY125+BX126-CG125,IF(A126&lt;'Données projet'!$A$114,$BV$205^A126,IF(A126='Données projet'!$A$114,'Données projet'!$B$114,BY125+BX126-CG125)))</f>
        <v>785.69999999999914</v>
      </c>
      <c r="BZ126" s="14">
        <f>BY126*VLOOKUP('Données projet'!$B$12,Paramètres!$A$1:$I$89,3,0)*VLOOKUP('Données projet'!$B$12,Paramètres!$A$1:$I$89,5,0)</f>
        <v>388.13579999999962</v>
      </c>
      <c r="CA126" s="14">
        <f t="shared" si="93"/>
        <v>89.367182082310322</v>
      </c>
      <c r="CB126" s="22">
        <f t="shared" si="64"/>
        <v>831.65102712668977</v>
      </c>
      <c r="CC126" s="62">
        <f t="shared" si="65"/>
        <v>1124.984360460023</v>
      </c>
      <c r="CD126" s="62">
        <f ca="1">AVERAGE(OFFSET($CC$3,0,0,'Données projet'!$E$12+1,1))-AVERAGE(OFFSET($H$3,0,0,'Données projet'!$E$12+1,1))</f>
        <v>426.64691649521097</v>
      </c>
      <c r="CE126" s="62">
        <f t="shared" si="94"/>
        <v>71.485487617222645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69.31599999999986</v>
      </c>
      <c r="D127" s="12">
        <f t="shared" si="86"/>
        <v>19.503499311459102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685.62420521126216</v>
      </c>
      <c r="H127" s="70">
        <f t="shared" si="56"/>
        <v>448.02729463412436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293.33333333333491</v>
      </c>
      <c r="S127" s="62">
        <f ca="1">AVERAGE(OFFSET($R$3,0,0,'Données projet'!$E$9+1,1))-AVERAGE(OFFSET($H$3,0,0,'Données projet'!$E$9+1,1))</f>
        <v>165.12229410621887</v>
      </c>
      <c r="T127" s="62">
        <f t="shared" si="88"/>
        <v>148.17171564653341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1.9895196601282805E-13</v>
      </c>
      <c r="AJ127" s="14">
        <f>AI127*VLOOKUP('Données projet'!$B$10,Paramètres!$A$1:$I$89,3,0)*VLOOKUP('Données projet'!$B$10,Paramètres!$A$1:$I$89,5,0)</f>
        <v>1.8001173884840681E-13</v>
      </c>
      <c r="AK127" s="14">
        <f t="shared" si="89"/>
        <v>2.5254331426407198E-12</v>
      </c>
      <c r="AL127" s="22">
        <f t="shared" si="58"/>
        <v>4.7119831685935622E-12</v>
      </c>
      <c r="AM127" s="62">
        <f t="shared" si="59"/>
        <v>293.33333333333803</v>
      </c>
      <c r="AN127" s="62">
        <f ca="1">AVERAGE(OFFSET($AM$3,0,0,'Données projet'!$E$10+1,1))-AVERAGE(OFFSET($H$3,0,0,'Données projet'!$E$10+1,1))</f>
        <v>249.03969036629979</v>
      </c>
      <c r="AO127" s="62">
        <f t="shared" si="90"/>
        <v>347.8713931923707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1.2958062904421987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1.2958062904421987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280.57175994295949</v>
      </c>
      <c r="BJ127" s="62">
        <f t="shared" si="92"/>
        <v>216.69635818716841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0.17846983620770188</v>
      </c>
      <c r="BR127" s="23">
        <f>EXP(-LN(2)/2)*BR126+(1-EXP(-LN(2)/2))/(LN(2)/2)*BL127*BO127*VLOOKUP('Données projet'!$B$11,Paramètres!$A$1:$I$89,3,0)*0.475*44/12</f>
        <v>1.5012532152764921E-13</v>
      </c>
      <c r="BS127" s="24">
        <f t="shared" si="63"/>
        <v>0.17846983620785201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8.9</v>
      </c>
      <c r="BY127" s="13">
        <f>IF('Données projet'!$A$114&gt;35,BY126+BX127-CG126,IF(A127&lt;'Données projet'!$A$114,$BV$205^A127,IF(A127='Données projet'!$A$114,'Données projet'!$B$114,BY126+BX127-CG126)))</f>
        <v>794.59999999999911</v>
      </c>
      <c r="BZ127" s="14">
        <f>BY127*VLOOKUP('Données projet'!$B$12,Paramètres!$A$1:$I$89,3,0)*VLOOKUP('Données projet'!$B$12,Paramètres!$A$1:$I$89,5,0)</f>
        <v>392.5323999999996</v>
      </c>
      <c r="CA127" s="14">
        <f t="shared" si="93"/>
        <v>90.261067429265964</v>
      </c>
      <c r="CB127" s="22">
        <f t="shared" si="64"/>
        <v>840.86528910597087</v>
      </c>
      <c r="CC127" s="62">
        <f t="shared" si="65"/>
        <v>1134.1986224393042</v>
      </c>
      <c r="CD127" s="62">
        <f ca="1">AVERAGE(OFFSET($CC$3,0,0,'Données projet'!$E$12+1,1))-AVERAGE(OFFSET($H$3,0,0,'Données projet'!$E$12+1,1))</f>
        <v>426.64691649521097</v>
      </c>
      <c r="CE127" s="62">
        <f t="shared" si="94"/>
        <v>71.485487617222645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69.874999999999858</v>
      </c>
      <c r="D128" s="12">
        <f t="shared" si="86"/>
        <v>19.642412437538525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691.01160478099803</v>
      </c>
      <c r="H128" s="70">
        <f t="shared" si="56"/>
        <v>449.24282666204601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293.33333333333491</v>
      </c>
      <c r="S128" s="62">
        <f ca="1">AVERAGE(OFFSET($R$3,0,0,'Données projet'!$E$9+1,1))-AVERAGE(OFFSET($H$3,0,0,'Données projet'!$E$9+1,1))</f>
        <v>165.12229410621887</v>
      </c>
      <c r="T128" s="62">
        <f t="shared" si="88"/>
        <v>148.17171564653341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1.9895196601282805E-13</v>
      </c>
      <c r="AJ128" s="14">
        <f>AI128*VLOOKUP('Données projet'!$B$10,Paramètres!$A$1:$I$89,3,0)*VLOOKUP('Données projet'!$B$10,Paramètres!$A$1:$I$89,5,0)</f>
        <v>1.8001173884840681E-13</v>
      </c>
      <c r="AK128" s="14">
        <f t="shared" si="89"/>
        <v>2.5254331426407198E-12</v>
      </c>
      <c r="AL128" s="22">
        <f t="shared" si="58"/>
        <v>4.7119831685935622E-12</v>
      </c>
      <c r="AM128" s="62">
        <f t="shared" si="59"/>
        <v>293.33333333333803</v>
      </c>
      <c r="AN128" s="62">
        <f ca="1">AVERAGE(OFFSET($AM$3,0,0,'Données projet'!$E$10+1,1))-AVERAGE(OFFSET($H$3,0,0,'Données projet'!$E$10+1,1))</f>
        <v>249.03969036629979</v>
      </c>
      <c r="AO128" s="62">
        <f t="shared" si="90"/>
        <v>347.8713931923707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1.2703963194504224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1.2703963194504224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280.57175994295949</v>
      </c>
      <c r="BJ128" s="62">
        <f t="shared" si="92"/>
        <v>216.69635818716841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0.17358956915128149</v>
      </c>
      <c r="BR128" s="23">
        <f>EXP(-LN(2)/2)*BR127+(1-EXP(-LN(2)/2))/(LN(2)/2)*BL128*BO128*VLOOKUP('Données projet'!$B$11,Paramètres!$A$1:$I$89,3,0)*0.475*44/12</f>
        <v>1.0615463288001154E-13</v>
      </c>
      <c r="BS128" s="24">
        <f t="shared" si="63"/>
        <v>0.17358956915138765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8.9</v>
      </c>
      <c r="BY128" s="13">
        <f>IF('Données projet'!$A$114&gt;35,BY127+BX128-CG127,IF(A128&lt;'Données projet'!$A$114,$BV$205^A128,IF(A128='Données projet'!$A$114,'Données projet'!$B$114,BY127+BX128-CG127)))</f>
        <v>803.49999999999909</v>
      </c>
      <c r="BZ128" s="14">
        <f>BY128*VLOOKUP('Données projet'!$B$12,Paramètres!$A$1:$I$89,3,0)*VLOOKUP('Données projet'!$B$12,Paramètres!$A$1:$I$89,5,0)</f>
        <v>396.92899999999958</v>
      </c>
      <c r="CA128" s="14">
        <f t="shared" si="93"/>
        <v>91.153788106533426</v>
      </c>
      <c r="CB128" s="22">
        <f t="shared" si="64"/>
        <v>850.07752261887833</v>
      </c>
      <c r="CC128" s="62">
        <f t="shared" si="65"/>
        <v>1143.4108559522117</v>
      </c>
      <c r="CD128" s="62">
        <f ca="1">AVERAGE(OFFSET($CC$3,0,0,'Données projet'!$E$12+1,1))-AVERAGE(OFFSET($H$3,0,0,'Données projet'!$E$12+1,1))</f>
        <v>426.64691649521097</v>
      </c>
      <c r="CE128" s="62">
        <f t="shared" si="94"/>
        <v>71.485487617222645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70.433999999999855</v>
      </c>
      <c r="D129" s="12">
        <f t="shared" si="86"/>
        <v>19.781196266465557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696.39800626745227</v>
      </c>
      <c r="H129" s="70">
        <f t="shared" si="56"/>
        <v>450.45813349742724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293.33333333333491</v>
      </c>
      <c r="S129" s="62">
        <f ca="1">AVERAGE(OFFSET($R$3,0,0,'Données projet'!$E$9+1,1))-AVERAGE(OFFSET($H$3,0,0,'Données projet'!$E$9+1,1))</f>
        <v>165.12229410621887</v>
      </c>
      <c r="T129" s="62">
        <f t="shared" si="88"/>
        <v>148.17171564653341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1.9895196601282805E-13</v>
      </c>
      <c r="AJ129" s="14">
        <f>AI129*VLOOKUP('Données projet'!$B$10,Paramètres!$A$1:$I$89,3,0)*VLOOKUP('Données projet'!$B$10,Paramètres!$A$1:$I$89,5,0)</f>
        <v>1.8001173884840681E-13</v>
      </c>
      <c r="AK129" s="14">
        <f t="shared" si="89"/>
        <v>2.5254331426407198E-12</v>
      </c>
      <c r="AL129" s="22">
        <f t="shared" si="58"/>
        <v>4.7119831685935622E-12</v>
      </c>
      <c r="AM129" s="62">
        <f t="shared" si="59"/>
        <v>293.33333333333803</v>
      </c>
      <c r="AN129" s="62">
        <f ca="1">AVERAGE(OFFSET($AM$3,0,0,'Données projet'!$E$10+1,1))-AVERAGE(OFFSET($H$3,0,0,'Données projet'!$E$10+1,1))</f>
        <v>249.03969036629979</v>
      </c>
      <c r="AO129" s="62">
        <f t="shared" si="90"/>
        <v>347.8713931923707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1.2454846224912428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1.2454846224912428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280.57175994295949</v>
      </c>
      <c r="BJ129" s="62">
        <f t="shared" si="92"/>
        <v>216.69635818716841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0.16884275325416101</v>
      </c>
      <c r="BR129" s="23">
        <f>EXP(-LN(2)/2)*BR128+(1-EXP(-LN(2)/2))/(LN(2)/2)*BL129*BO129*VLOOKUP('Données projet'!$B$11,Paramètres!$A$1:$I$89,3,0)*0.475*44/12</f>
        <v>7.5062660763824604E-14</v>
      </c>
      <c r="BS129" s="24">
        <f t="shared" si="63"/>
        <v>0.16884275325423606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8.9</v>
      </c>
      <c r="BY129" s="13">
        <f>IF('Données projet'!$A$114&gt;35,BY128+BX129-CG128,IF(A129&lt;'Données projet'!$A$114,$BV$205^A129,IF(A129='Données projet'!$A$114,'Données projet'!$B$114,BY128+BX129-CG128)))</f>
        <v>812.39999999999907</v>
      </c>
      <c r="BZ129" s="14">
        <f>BY129*VLOOKUP('Données projet'!$B$12,Paramètres!$A$1:$I$89,3,0)*VLOOKUP('Données projet'!$B$12,Paramètres!$A$1:$I$89,5,0)</f>
        <v>401.32559999999955</v>
      </c>
      <c r="CA129" s="14">
        <f t="shared" si="93"/>
        <v>92.045358507553885</v>
      </c>
      <c r="CB129" s="22">
        <f t="shared" si="64"/>
        <v>859.28775273398878</v>
      </c>
      <c r="CC129" s="62">
        <f t="shared" si="65"/>
        <v>1152.621086067322</v>
      </c>
      <c r="CD129" s="62">
        <f ca="1">AVERAGE(OFFSET($CC$3,0,0,'Données projet'!$E$12+1,1))-AVERAGE(OFFSET($H$3,0,0,'Données projet'!$E$12+1,1))</f>
        <v>426.64691649521097</v>
      </c>
      <c r="CE129" s="62">
        <f t="shared" si="94"/>
        <v>71.485487617222645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70.992999999999853</v>
      </c>
      <c r="D130" s="12">
        <f t="shared" si="86"/>
        <v>19.919851943349197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701.78341851006292</v>
      </c>
      <c r="H130" s="70">
        <f t="shared" si="56"/>
        <v>451.67321713466623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293.33333333333491</v>
      </c>
      <c r="S130" s="62">
        <f ca="1">AVERAGE(OFFSET($R$3,0,0,'Données projet'!$E$9+1,1))-AVERAGE(OFFSET($H$3,0,0,'Données projet'!$E$9+1,1))</f>
        <v>165.12229410621887</v>
      </c>
      <c r="T130" s="62">
        <f t="shared" si="88"/>
        <v>148.17171564653341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1.9895196601282805E-13</v>
      </c>
      <c r="AJ130" s="14">
        <f>AI130*VLOOKUP('Données projet'!$B$10,Paramètres!$A$1:$I$89,3,0)*VLOOKUP('Données projet'!$B$10,Paramètres!$A$1:$I$89,5,0)</f>
        <v>1.8001173884840681E-13</v>
      </c>
      <c r="AK130" s="14">
        <f t="shared" si="89"/>
        <v>2.5254331426407198E-12</v>
      </c>
      <c r="AL130" s="22">
        <f t="shared" si="58"/>
        <v>4.7119831685935622E-12</v>
      </c>
      <c r="AM130" s="62">
        <f t="shared" si="59"/>
        <v>293.33333333333803</v>
      </c>
      <c r="AN130" s="62">
        <f ca="1">AVERAGE(OFFSET($AM$3,0,0,'Données projet'!$E$10+1,1))-AVERAGE(OFFSET($H$3,0,0,'Données projet'!$E$10+1,1))</f>
        <v>249.03969036629979</v>
      </c>
      <c r="AO130" s="62">
        <f t="shared" si="90"/>
        <v>347.8713931923707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1.2210614287147981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1.2210614287147981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280.57175994295949</v>
      </c>
      <c r="BJ130" s="62">
        <f t="shared" si="92"/>
        <v>216.69635818716841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0.16422573928737147</v>
      </c>
      <c r="BR130" s="23">
        <f>EXP(-LN(2)/2)*BR129+(1-EXP(-LN(2)/2))/(LN(2)/2)*BL130*BO130*VLOOKUP('Données projet'!$B$11,Paramètres!$A$1:$I$89,3,0)*0.475*44/12</f>
        <v>5.3077316440005771E-14</v>
      </c>
      <c r="BS130" s="24">
        <f t="shared" si="63"/>
        <v>0.16422573928742454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8.9</v>
      </c>
      <c r="BY130" s="13">
        <f>IF('Données projet'!$A$114&gt;35,BY129+BX130-CG129,IF(A130&lt;'Données projet'!$A$114,$BV$205^A130,IF(A130='Données projet'!$A$114,'Données projet'!$B$114,BY129+BX130-CG129)))</f>
        <v>821.29999999999905</v>
      </c>
      <c r="BZ130" s="14">
        <f>BY130*VLOOKUP('Données projet'!$B$12,Paramètres!$A$1:$I$89,3,0)*VLOOKUP('Données projet'!$B$12,Paramètres!$A$1:$I$89,5,0)</f>
        <v>405.72219999999959</v>
      </c>
      <c r="CA130" s="14">
        <f t="shared" si="93"/>
        <v>92.935792692241009</v>
      </c>
      <c r="CB130" s="22">
        <f t="shared" si="64"/>
        <v>868.49600393898572</v>
      </c>
      <c r="CC130" s="62">
        <f t="shared" si="65"/>
        <v>1161.829337272319</v>
      </c>
      <c r="CD130" s="62">
        <f ca="1">AVERAGE(OFFSET($CC$3,0,0,'Données projet'!$E$12+1,1))-AVERAGE(OFFSET($H$3,0,0,'Données projet'!$E$12+1,1))</f>
        <v>426.64691649521097</v>
      </c>
      <c r="CE130" s="62">
        <f t="shared" si="94"/>
        <v>71.485487617222645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71.55199999999985</v>
      </c>
      <c r="D131" s="12">
        <f t="shared" si="86"/>
        <v>20.058380594223749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707.16785020102441</v>
      </c>
      <c r="H131" s="70">
        <f t="shared" si="56"/>
        <v>452.88807953493938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293.33333333333491</v>
      </c>
      <c r="S131" s="62">
        <f ca="1">AVERAGE(OFFSET($R$3,0,0,'Données projet'!$E$9+1,1))-AVERAGE(OFFSET($H$3,0,0,'Données projet'!$E$9+1,1))</f>
        <v>165.12229410621887</v>
      </c>
      <c r="T131" s="62">
        <f t="shared" si="88"/>
        <v>148.17171564653341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1.9895196601282805E-13</v>
      </c>
      <c r="AJ131" s="14">
        <f>AI131*VLOOKUP('Données projet'!$B$10,Paramètres!$A$1:$I$89,3,0)*VLOOKUP('Données projet'!$B$10,Paramètres!$A$1:$I$89,5,0)</f>
        <v>1.8001173884840681E-13</v>
      </c>
      <c r="AK131" s="14">
        <f t="shared" si="89"/>
        <v>2.5254331426407198E-12</v>
      </c>
      <c r="AL131" s="22">
        <f t="shared" si="58"/>
        <v>4.7119831685935622E-12</v>
      </c>
      <c r="AM131" s="62">
        <f t="shared" si="59"/>
        <v>293.33333333333803</v>
      </c>
      <c r="AN131" s="62">
        <f ca="1">AVERAGE(OFFSET($AM$3,0,0,'Données projet'!$E$10+1,1))-AVERAGE(OFFSET($H$3,0,0,'Données projet'!$E$10+1,1))</f>
        <v>249.03969036629979</v>
      </c>
      <c r="AO131" s="62">
        <f t="shared" si="90"/>
        <v>347.8713931923707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1.1971171588716321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1.1971171588716321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280.57175994295949</v>
      </c>
      <c r="BJ131" s="62">
        <f t="shared" si="92"/>
        <v>216.69635818716841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0.15973497781030202</v>
      </c>
      <c r="BR131" s="23">
        <f>EXP(-LN(2)/2)*BR130+(1-EXP(-LN(2)/2))/(LN(2)/2)*BL131*BO131*VLOOKUP('Données projet'!$B$11,Paramètres!$A$1:$I$89,3,0)*0.475*44/12</f>
        <v>3.7531330381912302E-14</v>
      </c>
      <c r="BS131" s="24">
        <f t="shared" si="63"/>
        <v>0.15973497781033955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8.9</v>
      </c>
      <c r="BY131" s="13">
        <f>IF('Données projet'!$A$114&gt;35,BY130+BX131-CG130,IF(A131&lt;'Données projet'!$A$114,$BV$205^A131,IF(A131='Données projet'!$A$114,'Données projet'!$B$114,BY130+BX131-CG130)))</f>
        <v>830.19999999999902</v>
      </c>
      <c r="BZ131" s="14">
        <f>BY131*VLOOKUP('Données projet'!$B$12,Paramètres!$A$1:$I$89,3,0)*VLOOKUP('Données projet'!$B$12,Paramètres!$A$1:$I$89,5,0)</f>
        <v>410.11879999999957</v>
      </c>
      <c r="CA131" s="14">
        <f t="shared" si="93"/>
        <v>93.825104398238665</v>
      </c>
      <c r="CB131" s="22">
        <f t="shared" si="64"/>
        <v>877.70230016026505</v>
      </c>
      <c r="CC131" s="62">
        <f t="shared" si="65"/>
        <v>1171.0356334935984</v>
      </c>
      <c r="CD131" s="62">
        <f ca="1">AVERAGE(OFFSET($CC$3,0,0,'Données projet'!$E$12+1,1))-AVERAGE(OFFSET($H$3,0,0,'Données projet'!$E$12+1,1))</f>
        <v>426.64691649521097</v>
      </c>
      <c r="CE131" s="62">
        <f t="shared" si="94"/>
        <v>71.485487617222645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72.110999999999848</v>
      </c>
      <c r="D132" s="12">
        <f t="shared" si="86"/>
        <v>20.19678332651322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712.55130988887277</v>
      </c>
      <c r="H132" s="70">
        <f t="shared" ref="H132:H195" si="110">(B132+E132+F132)*44/12+(C132+D132)*0.475*44/12</f>
        <v>454.10272262701022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293.33333333333491</v>
      </c>
      <c r="S132" s="62">
        <f ca="1">AVERAGE(OFFSET($R$3,0,0,'Données projet'!$E$9+1,1))-AVERAGE(OFFSET($H$3,0,0,'Données projet'!$E$9+1,1))</f>
        <v>165.12229410621887</v>
      </c>
      <c r="T132" s="62">
        <f t="shared" si="88"/>
        <v>148.17171564653341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1.9895196601282805E-13</v>
      </c>
      <c r="AJ132" s="14">
        <f>AI132*VLOOKUP('Données projet'!$B$10,Paramètres!$A$1:$I$89,3,0)*VLOOKUP('Données projet'!$B$10,Paramètres!$A$1:$I$89,5,0)</f>
        <v>1.8001173884840681E-13</v>
      </c>
      <c r="AK132" s="14">
        <f t="shared" si="89"/>
        <v>2.5254331426407198E-12</v>
      </c>
      <c r="AL132" s="22">
        <f t="shared" ref="AL132:AL153" si="112">(AJ132+AK132)*0.475*44/12</f>
        <v>4.7119831685935622E-12</v>
      </c>
      <c r="AM132" s="62">
        <f t="shared" ref="AM132:AM195" si="113">AL132+(AD132+AE132)*44/12</f>
        <v>293.33333333333803</v>
      </c>
      <c r="AN132" s="62">
        <f ca="1">AVERAGE(OFFSET($AM$3,0,0,'Données projet'!$E$10+1,1))-AVERAGE(OFFSET($H$3,0,0,'Données projet'!$E$10+1,1))</f>
        <v>249.03969036629979</v>
      </c>
      <c r="AO132" s="62">
        <f t="shared" si="90"/>
        <v>347.8713931923707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1.1736424215555281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1.1736424215555281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280.57175994295949</v>
      </c>
      <c r="BJ132" s="62">
        <f t="shared" si="92"/>
        <v>216.69635818716841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0.15536701644198192</v>
      </c>
      <c r="BR132" s="23">
        <f>EXP(-LN(2)/2)*BR131+(1-EXP(-LN(2)/2))/(LN(2)/2)*BL132*BO132*VLOOKUP('Données projet'!$B$11,Paramètres!$A$1:$I$89,3,0)*0.475*44/12</f>
        <v>2.6538658220002886E-14</v>
      </c>
      <c r="BS132" s="24">
        <f t="shared" ref="BS132:BS153" si="117">SUM(BP132:BR132)</f>
        <v>0.15536701644200845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8.9</v>
      </c>
      <c r="BY132" s="13">
        <f>IF('Données projet'!$A$114&gt;35,BY131+BX132-CG131,IF(A132&lt;'Données projet'!$A$114,$BV$205^A132,IF(A132='Données projet'!$A$114,'Données projet'!$B$114,BY131+BX132-CG131)))</f>
        <v>839.099999999999</v>
      </c>
      <c r="BZ132" s="14">
        <f>BY132*VLOOKUP('Données projet'!$B$12,Paramètres!$A$1:$I$89,3,0)*VLOOKUP('Données projet'!$B$12,Paramètres!$A$1:$I$89,5,0)</f>
        <v>414.51539999999949</v>
      </c>
      <c r="CA132" s="14">
        <f t="shared" si="93"/>
        <v>94.713307051681142</v>
      </c>
      <c r="CB132" s="22">
        <f t="shared" ref="CB132:CB153" si="118">(BZ132+CA132)*0.475*44/12</f>
        <v>886.90666478167714</v>
      </c>
      <c r="CC132" s="62">
        <f t="shared" ref="CC132:CC195" si="119">CB132+(BT132+BU132)*44/12</f>
        <v>1180.2399981150104</v>
      </c>
      <c r="CD132" s="62">
        <f ca="1">AVERAGE(OFFSET($CC$3,0,0,'Données projet'!$E$12+1,1))-AVERAGE(OFFSET($H$3,0,0,'Données projet'!$E$12+1,1))</f>
        <v>426.64691649521097</v>
      </c>
      <c r="CE132" s="62">
        <f t="shared" si="94"/>
        <v>71.485487617222645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72.669999999999845</v>
      </c>
      <c r="D133" s="12">
        <f t="shared" ref="D133:D196" si="140">IFERROR(EXP(-1.0587+0.8836*LN(C133)+0.284),0)</f>
        <v>20.335061229480619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717.93380598195461</v>
      </c>
      <c r="H133" s="70">
        <f t="shared" si="110"/>
        <v>455.31714830801172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293.33333333333491</v>
      </c>
      <c r="S133" s="62">
        <f ca="1">AVERAGE(OFFSET($R$3,0,0,'Données projet'!$E$9+1,1))-AVERAGE(OFFSET($H$3,0,0,'Données projet'!$E$9+1,1))</f>
        <v>165.12229410621887</v>
      </c>
      <c r="T133" s="62">
        <f t="shared" ref="T133:T196" si="142">$T$3</f>
        <v>148.17171564653341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1.9895196601282805E-13</v>
      </c>
      <c r="AJ133" s="14">
        <f>AI133*VLOOKUP('Données projet'!$B$10,Paramètres!$A$1:$I$89,3,0)*VLOOKUP('Données projet'!$B$10,Paramètres!$A$1:$I$89,5,0)</f>
        <v>1.8001173884840681E-13</v>
      </c>
      <c r="AK133" s="14">
        <f t="shared" ref="AK133:AK153" si="143">EXP(-1.0587+0.8836*LN(AJ133)+0.284)</f>
        <v>2.5254331426407198E-12</v>
      </c>
      <c r="AL133" s="22">
        <f t="shared" si="112"/>
        <v>4.7119831685935622E-12</v>
      </c>
      <c r="AM133" s="62">
        <f t="shared" si="113"/>
        <v>293.33333333333803</v>
      </c>
      <c r="AN133" s="62">
        <f ca="1">AVERAGE(OFFSET($AM$3,0,0,'Données projet'!$E$10+1,1))-AVERAGE(OFFSET($H$3,0,0,'Données projet'!$E$10+1,1))</f>
        <v>249.03969036629979</v>
      </c>
      <c r="AO133" s="62">
        <f t="shared" ref="AO133:AO196" si="144">$AO$3</f>
        <v>347.8713931923707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1.150628009520017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1.150628009520017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280.57175994295949</v>
      </c>
      <c r="BJ133" s="62">
        <f t="shared" ref="BJ133:BJ196" si="146">$BJ$3</f>
        <v>216.69635818716841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0.15111849720697962</v>
      </c>
      <c r="BR133" s="23">
        <f>EXP(-LN(2)/2)*BR132+(1-EXP(-LN(2)/2))/(LN(2)/2)*BL133*BO133*VLOOKUP('Données projet'!$B$11,Paramètres!$A$1:$I$89,3,0)*0.475*44/12</f>
        <v>1.8765665190956151E-14</v>
      </c>
      <c r="BS133" s="24">
        <f t="shared" si="117"/>
        <v>0.15111849720699838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848</v>
      </c>
      <c r="BW133" s="13">
        <f>VLOOKUP(A133,'Données projet'!$A$113:$I$133,9,0)</f>
        <v>8.9</v>
      </c>
      <c r="BX133" s="13">
        <f t="array" ref="BX133">INDEX(BW:BW,MIN(IF(ISNUMBER(BW133:BW329),ROW(BW133:BW329),"")))</f>
        <v>8.9</v>
      </c>
      <c r="BY133" s="13">
        <f>IF('Données projet'!$A$114&gt;35,BY132+BX133-CG132,IF(A133&lt;'Données projet'!$A$114,$BV$205^A133,IF(A133='Données projet'!$A$114,'Données projet'!$B$114,BY132+BX133-CG132)))</f>
        <v>847.99999999999898</v>
      </c>
      <c r="BZ133" s="14">
        <f>BY133*VLOOKUP('Données projet'!$B$12,Paramètres!$A$1:$I$89,3,0)*VLOOKUP('Données projet'!$B$12,Paramètres!$A$1:$I$89,5,0)</f>
        <v>418.91199999999952</v>
      </c>
      <c r="CA133" s="14">
        <f t="shared" ref="CA133:CA153" si="147">EXP(-1.0587+0.8836*LN(BZ133)+0.284)</f>
        <v>95.600413777484761</v>
      </c>
      <c r="CB133" s="22">
        <f t="shared" si="118"/>
        <v>896.1091206624518</v>
      </c>
      <c r="CC133" s="62">
        <f t="shared" si="119"/>
        <v>1189.4424539957852</v>
      </c>
      <c r="CD133" s="62">
        <f ca="1">AVERAGE(OFFSET($CC$3,0,0,'Données projet'!$E$12+1,1))-AVERAGE(OFFSET($H$3,0,0,'Données projet'!$E$12+1,1))</f>
        <v>426.64691649521097</v>
      </c>
      <c r="CE133" s="62">
        <f t="shared" ref="CE133:CE196" si="148">$CE$3</f>
        <v>71.485487617222645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100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73.228999999999843</v>
      </c>
      <c r="D134" s="12">
        <f t="shared" si="140"/>
        <v>20.473215374663191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723.31534675178489</v>
      </c>
      <c r="H134" s="70">
        <f t="shared" si="110"/>
        <v>456.53135844420478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293.33333333333491</v>
      </c>
      <c r="S134" s="62">
        <f ca="1">AVERAGE(OFFSET($R$3,0,0,'Données projet'!$E$9+1,1))-AVERAGE(OFFSET($H$3,0,0,'Données projet'!$E$9+1,1))</f>
        <v>165.12229410621887</v>
      </c>
      <c r="T134" s="62">
        <f t="shared" si="142"/>
        <v>148.17171564653341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1.9895196601282805E-13</v>
      </c>
      <c r="AJ134" s="14">
        <f>AI134*VLOOKUP('Données projet'!$B$10,Paramètres!$A$1:$I$89,3,0)*VLOOKUP('Données projet'!$B$10,Paramètres!$A$1:$I$89,5,0)</f>
        <v>1.8001173884840681E-13</v>
      </c>
      <c r="AK134" s="14">
        <f t="shared" si="143"/>
        <v>2.5254331426407198E-12</v>
      </c>
      <c r="AL134" s="22">
        <f t="shared" si="112"/>
        <v>4.7119831685935622E-12</v>
      </c>
      <c r="AM134" s="62">
        <f t="shared" si="113"/>
        <v>293.33333333333803</v>
      </c>
      <c r="AN134" s="62">
        <f ca="1">AVERAGE(OFFSET($AM$3,0,0,'Données projet'!$E$10+1,1))-AVERAGE(OFFSET($H$3,0,0,'Données projet'!$E$10+1,1))</f>
        <v>249.03969036629979</v>
      </c>
      <c r="AO134" s="62">
        <f t="shared" si="144"/>
        <v>347.8713931923707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1.1280648960671169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1.1280648960671169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280.57175994295949</v>
      </c>
      <c r="BJ134" s="62">
        <f t="shared" si="146"/>
        <v>216.69635818716841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0.14698615395387837</v>
      </c>
      <c r="BR134" s="23">
        <f>EXP(-LN(2)/2)*BR133+(1-EXP(-LN(2)/2))/(LN(2)/2)*BL134*BO134*VLOOKUP('Données projet'!$B$11,Paramètres!$A$1:$I$89,3,0)*0.475*44/12</f>
        <v>1.3269329110001443E-14</v>
      </c>
      <c r="BS134" s="24">
        <f t="shared" si="117"/>
        <v>0.14698615395389164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8.1999999999999993</v>
      </c>
      <c r="BY134" s="13">
        <f>IF('Données projet'!$A$114&gt;35,BY133+BX134-CG133,IF(A134&lt;'Données projet'!$A$114,$BV$205^A134,IF(A134='Données projet'!$A$114,'Données projet'!$B$114,BY133+BX134-CG133)))</f>
        <v>756.19999999999902</v>
      </c>
      <c r="BZ134" s="14">
        <f>BY134*VLOOKUP('Données projet'!$B$12,Paramètres!$A$1:$I$89,3,0)*VLOOKUP('Données projet'!$B$12,Paramètres!$A$1:$I$89,5,0)</f>
        <v>373.56279999999958</v>
      </c>
      <c r="CA134" s="14">
        <f t="shared" si="147"/>
        <v>86.395786233050558</v>
      </c>
      <c r="CB134" s="22">
        <f t="shared" si="118"/>
        <v>801.09453768922901</v>
      </c>
      <c r="CC134" s="62">
        <f t="shared" si="119"/>
        <v>1094.4278710225624</v>
      </c>
      <c r="CD134" s="62">
        <f ca="1">AVERAGE(OFFSET($CC$3,0,0,'Données projet'!$E$12+1,1))-AVERAGE(OFFSET($H$3,0,0,'Données projet'!$E$12+1,1))</f>
        <v>426.64691649521097</v>
      </c>
      <c r="CE134" s="62">
        <f t="shared" si="148"/>
        <v>71.485487617222645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73.78799999999984</v>
      </c>
      <c r="D135" s="12">
        <f t="shared" si="140"/>
        <v>20.611246816293903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728.69594033630256</v>
      </c>
      <c r="H135" s="70">
        <f t="shared" si="110"/>
        <v>457.74535487171158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293.33333333333491</v>
      </c>
      <c r="S135" s="62">
        <f ca="1">AVERAGE(OFFSET($R$3,0,0,'Données projet'!$E$9+1,1))-AVERAGE(OFFSET($H$3,0,0,'Données projet'!$E$9+1,1))</f>
        <v>165.12229410621887</v>
      </c>
      <c r="T135" s="62">
        <f t="shared" si="142"/>
        <v>148.17171564653341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1.9895196601282805E-13</v>
      </c>
      <c r="AJ135" s="14">
        <f>AI135*VLOOKUP('Données projet'!$B$10,Paramètres!$A$1:$I$89,3,0)*VLOOKUP('Données projet'!$B$10,Paramètres!$A$1:$I$89,5,0)</f>
        <v>1.8001173884840681E-13</v>
      </c>
      <c r="AK135" s="14">
        <f t="shared" si="143"/>
        <v>2.5254331426407198E-12</v>
      </c>
      <c r="AL135" s="22">
        <f t="shared" si="112"/>
        <v>4.7119831685935622E-12</v>
      </c>
      <c r="AM135" s="62">
        <f t="shared" si="113"/>
        <v>293.33333333333803</v>
      </c>
      <c r="AN135" s="62">
        <f ca="1">AVERAGE(OFFSET($AM$3,0,0,'Données projet'!$E$10+1,1))-AVERAGE(OFFSET($H$3,0,0,'Données projet'!$E$10+1,1))</f>
        <v>249.03969036629979</v>
      </c>
      <c r="AO135" s="62">
        <f t="shared" si="144"/>
        <v>347.8713931923707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1.1059442315068879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1.1059442315068879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280.57175994295949</v>
      </c>
      <c r="BJ135" s="62">
        <f t="shared" si="146"/>
        <v>216.69635818716841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0.14296680984434368</v>
      </c>
      <c r="BR135" s="23">
        <f>EXP(-LN(2)/2)*BR134+(1-EXP(-LN(2)/2))/(LN(2)/2)*BL135*BO135*VLOOKUP('Données projet'!$B$11,Paramètres!$A$1:$I$89,3,0)*0.475*44/12</f>
        <v>9.3828325954780755E-15</v>
      </c>
      <c r="BS135" s="24">
        <f t="shared" si="117"/>
        <v>0.14296680984435306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8.1999999999999993</v>
      </c>
      <c r="BY135" s="13">
        <f>IF('Données projet'!$A$114&gt;35,BY134+BX135-CG134,IF(A135&lt;'Données projet'!$A$114,$BV$205^A135,IF(A135='Données projet'!$A$114,'Données projet'!$B$114,BY134+BX135-CG134)))</f>
        <v>764.39999999999907</v>
      </c>
      <c r="BZ135" s="14">
        <f>BY135*VLOOKUP('Données projet'!$B$12,Paramètres!$A$1:$I$89,3,0)*VLOOKUP('Données projet'!$B$12,Paramètres!$A$1:$I$89,5,0)</f>
        <v>377.61359999999956</v>
      </c>
      <c r="CA135" s="14">
        <f t="shared" si="147"/>
        <v>87.223065951206138</v>
      </c>
      <c r="CB135" s="22">
        <f t="shared" si="118"/>
        <v>809.59052653168317</v>
      </c>
      <c r="CC135" s="62">
        <f t="shared" si="119"/>
        <v>1102.9238598650165</v>
      </c>
      <c r="CD135" s="62">
        <f ca="1">AVERAGE(OFFSET($CC$3,0,0,'Données projet'!$E$12+1,1))-AVERAGE(OFFSET($H$3,0,0,'Données projet'!$E$12+1,1))</f>
        <v>426.64691649521097</v>
      </c>
      <c r="CE135" s="62">
        <f t="shared" si="148"/>
        <v>71.485487617222645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74.346999999999838</v>
      </c>
      <c r="D136" s="12">
        <f t="shared" si="140"/>
        <v>20.749156591709802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734.07559474302195</v>
      </c>
      <c r="H136" s="70">
        <f t="shared" si="110"/>
        <v>458.9591393972276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293.33333333333491</v>
      </c>
      <c r="S136" s="62">
        <f ca="1">AVERAGE(OFFSET($R$3,0,0,'Données projet'!$E$9+1,1))-AVERAGE(OFFSET($H$3,0,0,'Données projet'!$E$9+1,1))</f>
        <v>165.12229410621887</v>
      </c>
      <c r="T136" s="62">
        <f t="shared" si="142"/>
        <v>148.17171564653341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1.9895196601282805E-13</v>
      </c>
      <c r="AJ136" s="14">
        <f>AI136*VLOOKUP('Données projet'!$B$10,Paramètres!$A$1:$I$89,3,0)*VLOOKUP('Données projet'!$B$10,Paramètres!$A$1:$I$89,5,0)</f>
        <v>1.8001173884840681E-13</v>
      </c>
      <c r="AK136" s="14">
        <f t="shared" si="143"/>
        <v>2.5254331426407198E-12</v>
      </c>
      <c r="AL136" s="22">
        <f t="shared" si="112"/>
        <v>4.7119831685935622E-12</v>
      </c>
      <c r="AM136" s="62">
        <f t="shared" si="113"/>
        <v>293.33333333333803</v>
      </c>
      <c r="AN136" s="62">
        <f ca="1">AVERAGE(OFFSET($AM$3,0,0,'Données projet'!$E$10+1,1))-AVERAGE(OFFSET($H$3,0,0,'Données projet'!$E$10+1,1))</f>
        <v>249.03969036629979</v>
      </c>
      <c r="AO136" s="62">
        <f t="shared" si="144"/>
        <v>347.8713931923707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1.0842573396864119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1.0842573396864119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280.57175994295949</v>
      </c>
      <c r="BJ136" s="62">
        <f t="shared" si="146"/>
        <v>216.69635818716841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0.13905737491085232</v>
      </c>
      <c r="BR136" s="23">
        <f>EXP(-LN(2)/2)*BR135+(1-EXP(-LN(2)/2))/(LN(2)/2)*BL136*BO136*VLOOKUP('Données projet'!$B$11,Paramètres!$A$1:$I$89,3,0)*0.475*44/12</f>
        <v>6.6346645550007214E-15</v>
      </c>
      <c r="BS136" s="24">
        <f t="shared" si="117"/>
        <v>0.13905737491085896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8.1999999999999993</v>
      </c>
      <c r="BY136" s="13">
        <f>IF('Données projet'!$A$114&gt;35,BY135+BX136-CG135,IF(A136&lt;'Données projet'!$A$114,$BV$205^A136,IF(A136='Données projet'!$A$114,'Données projet'!$B$114,BY135+BX136-CG135)))</f>
        <v>772.59999999999911</v>
      </c>
      <c r="BZ136" s="14">
        <f>BY136*VLOOKUP('Données projet'!$B$12,Paramètres!$A$1:$I$89,3,0)*VLOOKUP('Données projet'!$B$12,Paramètres!$A$1:$I$89,5,0)</f>
        <v>381.6643999999996</v>
      </c>
      <c r="CA136" s="14">
        <f t="shared" si="147"/>
        <v>88.049313297344142</v>
      </c>
      <c r="CB136" s="22">
        <f t="shared" si="118"/>
        <v>818.08471732620694</v>
      </c>
      <c r="CC136" s="62">
        <f t="shared" si="119"/>
        <v>1111.4180506595403</v>
      </c>
      <c r="CD136" s="62">
        <f ca="1">AVERAGE(OFFSET($CC$3,0,0,'Données projet'!$E$12+1,1))-AVERAGE(OFFSET($H$3,0,0,'Données projet'!$E$12+1,1))</f>
        <v>426.64691649521097</v>
      </c>
      <c r="CE136" s="62">
        <f t="shared" si="148"/>
        <v>71.485487617222645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74.905999999999835</v>
      </c>
      <c r="D137" s="12">
        <f t="shared" si="140"/>
        <v>20.886945721747846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739.45431785208746</v>
      </c>
      <c r="H137" s="70">
        <f t="shared" si="110"/>
        <v>460.17271379871056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293.33333333333491</v>
      </c>
      <c r="S137" s="62">
        <f ca="1">AVERAGE(OFFSET($R$3,0,0,'Données projet'!$E$9+1,1))-AVERAGE(OFFSET($H$3,0,0,'Données projet'!$E$9+1,1))</f>
        <v>165.12229410621887</v>
      </c>
      <c r="T137" s="62">
        <f t="shared" si="142"/>
        <v>148.17171564653341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1.9895196601282805E-13</v>
      </c>
      <c r="AJ137" s="14">
        <f>AI137*VLOOKUP('Données projet'!$B$10,Paramètres!$A$1:$I$89,3,0)*VLOOKUP('Données projet'!$B$10,Paramètres!$A$1:$I$89,5,0)</f>
        <v>1.8001173884840681E-13</v>
      </c>
      <c r="AK137" s="14">
        <f t="shared" si="143"/>
        <v>2.5254331426407198E-12</v>
      </c>
      <c r="AL137" s="22">
        <f t="shared" si="112"/>
        <v>4.7119831685935622E-12</v>
      </c>
      <c r="AM137" s="62">
        <f t="shared" si="113"/>
        <v>293.33333333333803</v>
      </c>
      <c r="AN137" s="62">
        <f ca="1">AVERAGE(OFFSET($AM$3,0,0,'Données projet'!$E$10+1,1))-AVERAGE(OFFSET($H$3,0,0,'Données projet'!$E$10+1,1))</f>
        <v>249.03969036629979</v>
      </c>
      <c r="AO137" s="62">
        <f t="shared" si="144"/>
        <v>347.8713931923707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1.0629957145868376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1.0629957145868376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280.57175994295949</v>
      </c>
      <c r="BJ137" s="62">
        <f t="shared" si="146"/>
        <v>216.69635818716841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0.13525484368120555</v>
      </c>
      <c r="BR137" s="23">
        <f>EXP(-LN(2)/2)*BR136+(1-EXP(-LN(2)/2))/(LN(2)/2)*BL137*BO137*VLOOKUP('Données projet'!$B$11,Paramètres!$A$1:$I$89,3,0)*0.475*44/12</f>
        <v>4.6914162977390378E-15</v>
      </c>
      <c r="BS137" s="24">
        <f t="shared" si="117"/>
        <v>0.13525484368121024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8.1999999999999993</v>
      </c>
      <c r="BY137" s="13">
        <f>IF('Données projet'!$A$114&gt;35,BY136+BX137-CG136,IF(A137&lt;'Données projet'!$A$114,$BV$205^A137,IF(A137='Données projet'!$A$114,'Données projet'!$B$114,BY136+BX137-CG136)))</f>
        <v>780.79999999999916</v>
      </c>
      <c r="BZ137" s="14">
        <f>BY137*VLOOKUP('Données projet'!$B$12,Paramètres!$A$1:$I$89,3,0)*VLOOKUP('Données projet'!$B$12,Paramètres!$A$1:$I$89,5,0)</f>
        <v>385.71519999999958</v>
      </c>
      <c r="CA137" s="14">
        <f t="shared" si="147"/>
        <v>88.874540496872115</v>
      </c>
      <c r="CB137" s="22">
        <f t="shared" si="118"/>
        <v>826.57713136538484</v>
      </c>
      <c r="CC137" s="62">
        <f t="shared" si="119"/>
        <v>1119.9104646987182</v>
      </c>
      <c r="CD137" s="62">
        <f ca="1">AVERAGE(OFFSET($CC$3,0,0,'Données projet'!$E$12+1,1))-AVERAGE(OFFSET($H$3,0,0,'Données projet'!$E$12+1,1))</f>
        <v>426.64691649521097</v>
      </c>
      <c r="CE137" s="62">
        <f t="shared" si="148"/>
        <v>71.485487617222645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75.464999999999833</v>
      </c>
      <c r="D138" s="12">
        <f t="shared" si="140"/>
        <v>21.02461521112831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744.83211741923481</v>
      </c>
      <c r="H138" s="70">
        <f t="shared" si="110"/>
        <v>461.3860798260481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293.33333333333491</v>
      </c>
      <c r="S138" s="62">
        <f ca="1">AVERAGE(OFFSET($R$3,0,0,'Données projet'!$E$9+1,1))-AVERAGE(OFFSET($H$3,0,0,'Données projet'!$E$9+1,1))</f>
        <v>165.12229410621887</v>
      </c>
      <c r="T138" s="62">
        <f t="shared" si="142"/>
        <v>148.17171564653341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1.9895196601282805E-13</v>
      </c>
      <c r="AJ138" s="14">
        <f>AI138*VLOOKUP('Données projet'!$B$10,Paramètres!$A$1:$I$89,3,0)*VLOOKUP('Données projet'!$B$10,Paramètres!$A$1:$I$89,5,0)</f>
        <v>1.8001173884840681E-13</v>
      </c>
      <c r="AK138" s="14">
        <f t="shared" si="143"/>
        <v>2.5254331426407198E-12</v>
      </c>
      <c r="AL138" s="22">
        <f t="shared" si="112"/>
        <v>4.7119831685935622E-12</v>
      </c>
      <c r="AM138" s="62">
        <f t="shared" si="113"/>
        <v>293.33333333333803</v>
      </c>
      <c r="AN138" s="62">
        <f ca="1">AVERAGE(OFFSET($AM$3,0,0,'Données projet'!$E$10+1,1))-AVERAGE(OFFSET($H$3,0,0,'Données projet'!$E$10+1,1))</f>
        <v>249.03969036629979</v>
      </c>
      <c r="AO138" s="62">
        <f t="shared" si="144"/>
        <v>347.8713931923707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1.0421510169871551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1.0421510169871551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280.57175994295949</v>
      </c>
      <c r="BJ138" s="62">
        <f t="shared" si="146"/>
        <v>216.69635818716841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0.13155629286799989</v>
      </c>
      <c r="BR138" s="23">
        <f>EXP(-LN(2)/2)*BR137+(1-EXP(-LN(2)/2))/(LN(2)/2)*BL138*BO138*VLOOKUP('Données projet'!$B$11,Paramètres!$A$1:$I$89,3,0)*0.475*44/12</f>
        <v>3.3173322775003607E-15</v>
      </c>
      <c r="BS138" s="24">
        <f t="shared" si="117"/>
        <v>0.13155629286800322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8.1999999999999993</v>
      </c>
      <c r="BY138" s="13">
        <f>IF('Données projet'!$A$114&gt;35,BY137+BX138-CG137,IF(A138&lt;'Données projet'!$A$114,$BV$205^A138,IF(A138='Données projet'!$A$114,'Données projet'!$B$114,BY137+BX138-CG137)))</f>
        <v>788.9999999999992</v>
      </c>
      <c r="BZ138" s="14">
        <f>BY138*VLOOKUP('Données projet'!$B$12,Paramètres!$A$1:$I$89,3,0)*VLOOKUP('Données projet'!$B$12,Paramètres!$A$1:$I$89,5,0)</f>
        <v>389.76599999999962</v>
      </c>
      <c r="CA138" s="14">
        <f t="shared" si="147"/>
        <v>89.698759503620323</v>
      </c>
      <c r="CB138" s="22">
        <f t="shared" si="118"/>
        <v>835.06778946880468</v>
      </c>
      <c r="CC138" s="62">
        <f t="shared" si="119"/>
        <v>1128.4011228021379</v>
      </c>
      <c r="CD138" s="62">
        <f ca="1">AVERAGE(OFFSET($CC$3,0,0,'Données projet'!$E$12+1,1))-AVERAGE(OFFSET($H$3,0,0,'Données projet'!$E$12+1,1))</f>
        <v>426.64691649521097</v>
      </c>
      <c r="CE138" s="62">
        <f t="shared" si="148"/>
        <v>71.485487617222645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76.02399999999983</v>
      </c>
      <c r="D139" s="12">
        <f t="shared" si="140"/>
        <v>21.162166048826901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750.20900107866248</v>
      </c>
      <c r="H139" s="70">
        <f t="shared" si="110"/>
        <v>462.59923920170655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293.33333333333491</v>
      </c>
      <c r="S139" s="62">
        <f ca="1">AVERAGE(OFFSET($R$3,0,0,'Données projet'!$E$9+1,1))-AVERAGE(OFFSET($H$3,0,0,'Données projet'!$E$9+1,1))</f>
        <v>165.12229410621887</v>
      </c>
      <c r="T139" s="62">
        <f t="shared" si="142"/>
        <v>148.17171564653341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1.9895196601282805E-13</v>
      </c>
      <c r="AJ139" s="14">
        <f>AI139*VLOOKUP('Données projet'!$B$10,Paramètres!$A$1:$I$89,3,0)*VLOOKUP('Données projet'!$B$10,Paramètres!$A$1:$I$89,5,0)</f>
        <v>1.8001173884840681E-13</v>
      </c>
      <c r="AK139" s="14">
        <f t="shared" si="143"/>
        <v>2.5254331426407198E-12</v>
      </c>
      <c r="AL139" s="22">
        <f t="shared" si="112"/>
        <v>4.7119831685935622E-12</v>
      </c>
      <c r="AM139" s="62">
        <f t="shared" si="113"/>
        <v>293.33333333333803</v>
      </c>
      <c r="AN139" s="62">
        <f ca="1">AVERAGE(OFFSET($AM$3,0,0,'Données projet'!$E$10+1,1))-AVERAGE(OFFSET($H$3,0,0,'Données projet'!$E$10+1,1))</f>
        <v>249.03969036629979</v>
      </c>
      <c r="AO139" s="62">
        <f t="shared" si="144"/>
        <v>347.8713931923707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1.0217150711933922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1.0217150711933922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280.57175994295949</v>
      </c>
      <c r="BJ139" s="62">
        <f t="shared" si="146"/>
        <v>216.69635818716841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0.12795887912127965</v>
      </c>
      <c r="BR139" s="23">
        <f>EXP(-LN(2)/2)*BR138+(1-EXP(-LN(2)/2))/(LN(2)/2)*BL139*BO139*VLOOKUP('Données projet'!$B$11,Paramètres!$A$1:$I$89,3,0)*0.475*44/12</f>
        <v>2.3457081488695189E-15</v>
      </c>
      <c r="BS139" s="24">
        <f t="shared" si="117"/>
        <v>0.12795887912128201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8.1999999999999993</v>
      </c>
      <c r="BY139" s="13">
        <f>IF('Données projet'!$A$114&gt;35,BY138+BX139-CG138,IF(A139&lt;'Données projet'!$A$114,$BV$205^A139,IF(A139='Données projet'!$A$114,'Données projet'!$B$114,BY138+BX139-CG138)))</f>
        <v>797.19999999999925</v>
      </c>
      <c r="BZ139" s="14">
        <f>BY139*VLOOKUP('Données projet'!$B$12,Paramètres!$A$1:$I$89,3,0)*VLOOKUP('Données projet'!$B$12,Paramètres!$A$1:$I$89,5,0)</f>
        <v>393.8167999999996</v>
      </c>
      <c r="CA139" s="14">
        <f t="shared" si="147"/>
        <v>90.521982008633046</v>
      </c>
      <c r="CB139" s="22">
        <f t="shared" si="118"/>
        <v>843.55671199836843</v>
      </c>
      <c r="CC139" s="62">
        <f t="shared" si="119"/>
        <v>1136.8900453317017</v>
      </c>
      <c r="CD139" s="62">
        <f ca="1">AVERAGE(OFFSET($CC$3,0,0,'Données projet'!$E$12+1,1))-AVERAGE(OFFSET($H$3,0,0,'Données projet'!$E$12+1,1))</f>
        <v>426.64691649521097</v>
      </c>
      <c r="CE139" s="62">
        <f t="shared" si="148"/>
        <v>71.485487617222645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76.582999999999828</v>
      </c>
      <c r="D140" s="12">
        <f t="shared" si="140"/>
        <v>21.299599208435229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755.58497634581454</v>
      </c>
      <c r="H140" s="70">
        <f t="shared" si="110"/>
        <v>463.81219362135766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293.33333333333491</v>
      </c>
      <c r="S140" s="62">
        <f ca="1">AVERAGE(OFFSET($R$3,0,0,'Données projet'!$E$9+1,1))-AVERAGE(OFFSET($H$3,0,0,'Données projet'!$E$9+1,1))</f>
        <v>165.12229410621887</v>
      </c>
      <c r="T140" s="62">
        <f t="shared" si="142"/>
        <v>148.17171564653341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1.9895196601282805E-13</v>
      </c>
      <c r="AJ140" s="14">
        <f>AI140*VLOOKUP('Données projet'!$B$10,Paramètres!$A$1:$I$89,3,0)*VLOOKUP('Données projet'!$B$10,Paramètres!$A$1:$I$89,5,0)</f>
        <v>1.8001173884840681E-13</v>
      </c>
      <c r="AK140" s="14">
        <f t="shared" si="143"/>
        <v>2.5254331426407198E-12</v>
      </c>
      <c r="AL140" s="22">
        <f t="shared" si="112"/>
        <v>4.7119831685935622E-12</v>
      </c>
      <c r="AM140" s="62">
        <f t="shared" si="113"/>
        <v>293.33333333333803</v>
      </c>
      <c r="AN140" s="62">
        <f ca="1">AVERAGE(OFFSET($AM$3,0,0,'Données projet'!$E$10+1,1))-AVERAGE(OFFSET($H$3,0,0,'Données projet'!$E$10+1,1))</f>
        <v>249.03969036629979</v>
      </c>
      <c r="AO140" s="62">
        <f t="shared" si="144"/>
        <v>347.8713931923707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1.0016798618319489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1.0016798618319489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280.57175994295949</v>
      </c>
      <c r="BJ140" s="62">
        <f t="shared" si="146"/>
        <v>216.69635818716841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0.12445983684264326</v>
      </c>
      <c r="BR140" s="23">
        <f>EXP(-LN(2)/2)*BR139+(1-EXP(-LN(2)/2))/(LN(2)/2)*BL140*BO140*VLOOKUP('Données projet'!$B$11,Paramètres!$A$1:$I$89,3,0)*0.475*44/12</f>
        <v>1.6586661387501803E-15</v>
      </c>
      <c r="BS140" s="24">
        <f t="shared" si="117"/>
        <v>0.12445983684264493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8.1999999999999993</v>
      </c>
      <c r="BY140" s="13">
        <f>IF('Données projet'!$A$114&gt;35,BY139+BX140-CG139,IF(A140&lt;'Données projet'!$A$114,$BV$205^A140,IF(A140='Données projet'!$A$114,'Données projet'!$B$114,BY139+BX140-CG139)))</f>
        <v>805.3999999999993</v>
      </c>
      <c r="BZ140" s="14">
        <f>BY140*VLOOKUP('Données projet'!$B$12,Paramètres!$A$1:$I$89,3,0)*VLOOKUP('Données projet'!$B$12,Paramètres!$A$1:$I$89,5,0)</f>
        <v>397.8675999999997</v>
      </c>
      <c r="CA140" s="14">
        <f t="shared" si="147"/>
        <v>91.344219448587793</v>
      </c>
      <c r="CB140" s="22">
        <f t="shared" si="118"/>
        <v>852.04391887295651</v>
      </c>
      <c r="CC140" s="62">
        <f t="shared" si="119"/>
        <v>1145.3772522062898</v>
      </c>
      <c r="CD140" s="62">
        <f ca="1">AVERAGE(OFFSET($CC$3,0,0,'Données projet'!$E$12+1,1))-AVERAGE(OFFSET($H$3,0,0,'Données projet'!$E$12+1,1))</f>
        <v>426.64691649521097</v>
      </c>
      <c r="CE140" s="62">
        <f t="shared" si="148"/>
        <v>71.485487617222645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77.141999999999825</v>
      </c>
      <c r="D141" s="12">
        <f t="shared" si="140"/>
        <v>21.43691564851072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760.96005062008135</v>
      </c>
      <c r="H141" s="70">
        <f t="shared" si="110"/>
        <v>465.02494475448918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293.33333333333491</v>
      </c>
      <c r="S141" s="62">
        <f ca="1">AVERAGE(OFFSET($R$3,0,0,'Données projet'!$E$9+1,1))-AVERAGE(OFFSET($H$3,0,0,'Données projet'!$E$9+1,1))</f>
        <v>165.12229410621887</v>
      </c>
      <c r="T141" s="62">
        <f t="shared" si="142"/>
        <v>148.17171564653341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1.9895196601282805E-13</v>
      </c>
      <c r="AJ141" s="14">
        <f>AI141*VLOOKUP('Données projet'!$B$10,Paramètres!$A$1:$I$89,3,0)*VLOOKUP('Données projet'!$B$10,Paramètres!$A$1:$I$89,5,0)</f>
        <v>1.8001173884840681E-13</v>
      </c>
      <c r="AK141" s="14">
        <f t="shared" si="143"/>
        <v>2.5254331426407198E-12</v>
      </c>
      <c r="AL141" s="22">
        <f t="shared" si="112"/>
        <v>4.7119831685935622E-12</v>
      </c>
      <c r="AM141" s="62">
        <f t="shared" si="113"/>
        <v>293.33333333333803</v>
      </c>
      <c r="AN141" s="62">
        <f ca="1">AVERAGE(OFFSET($AM$3,0,0,'Données projet'!$E$10+1,1))-AVERAGE(OFFSET($H$3,0,0,'Données projet'!$E$10+1,1))</f>
        <v>249.03969036629979</v>
      </c>
      <c r="AO141" s="62">
        <f t="shared" si="144"/>
        <v>347.8713931923707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0.98203753070581234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0.98203753070581234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280.57175994295949</v>
      </c>
      <c r="BJ141" s="62">
        <f t="shared" si="146"/>
        <v>216.69635818716841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0.12105647605912283</v>
      </c>
      <c r="BR141" s="23">
        <f>EXP(-LN(2)/2)*BR140+(1-EXP(-LN(2)/2))/(LN(2)/2)*BL141*BO141*VLOOKUP('Données projet'!$B$11,Paramètres!$A$1:$I$89,3,0)*0.475*44/12</f>
        <v>1.1728540744347594E-15</v>
      </c>
      <c r="BS141" s="24">
        <f t="shared" si="117"/>
        <v>0.12105647605912401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8.1999999999999993</v>
      </c>
      <c r="BY141" s="13">
        <f>IF('Données projet'!$A$114&gt;35,BY140+BX141-CG140,IF(A141&lt;'Données projet'!$A$114,$BV$205^A141,IF(A141='Données projet'!$A$114,'Données projet'!$B$114,BY140+BX141-CG140)))</f>
        <v>813.59999999999934</v>
      </c>
      <c r="BZ141" s="14">
        <f>BY141*VLOOKUP('Données projet'!$B$12,Paramètres!$A$1:$I$89,3,0)*VLOOKUP('Données projet'!$B$12,Paramètres!$A$1:$I$89,5,0)</f>
        <v>401.91839999999974</v>
      </c>
      <c r="CA141" s="14">
        <f t="shared" si="147"/>
        <v>92.165483013861945</v>
      </c>
      <c r="CB141" s="22">
        <f t="shared" si="118"/>
        <v>860.5294295824757</v>
      </c>
      <c r="CC141" s="62">
        <f t="shared" si="119"/>
        <v>1153.8627629158091</v>
      </c>
      <c r="CD141" s="62">
        <f ca="1">AVERAGE(OFFSET($CC$3,0,0,'Données projet'!$E$12+1,1))-AVERAGE(OFFSET($H$3,0,0,'Données projet'!$E$12+1,1))</f>
        <v>426.64691649521097</v>
      </c>
      <c r="CE141" s="62">
        <f t="shared" si="148"/>
        <v>71.485487617222645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77.700999999999823</v>
      </c>
      <c r="D142" s="12">
        <f t="shared" si="140"/>
        <v>21.574116312915926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766.33423118741973</v>
      </c>
      <c r="H142" s="70">
        <f t="shared" si="110"/>
        <v>466.23749424499488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293.33333333333491</v>
      </c>
      <c r="S142" s="62">
        <f ca="1">AVERAGE(OFFSET($R$3,0,0,'Données projet'!$E$9+1,1))-AVERAGE(OFFSET($H$3,0,0,'Données projet'!$E$9+1,1))</f>
        <v>165.12229410621887</v>
      </c>
      <c r="T142" s="62">
        <f t="shared" si="142"/>
        <v>148.17171564653341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1.9895196601282805E-13</v>
      </c>
      <c r="AJ142" s="14">
        <f>AI142*VLOOKUP('Données projet'!$B$10,Paramètres!$A$1:$I$89,3,0)*VLOOKUP('Données projet'!$B$10,Paramètres!$A$1:$I$89,5,0)</f>
        <v>1.8001173884840681E-13</v>
      </c>
      <c r="AK142" s="14">
        <f t="shared" si="143"/>
        <v>2.5254331426407198E-12</v>
      </c>
      <c r="AL142" s="22">
        <f t="shared" si="112"/>
        <v>4.7119831685935622E-12</v>
      </c>
      <c r="AM142" s="62">
        <f t="shared" si="113"/>
        <v>293.33333333333803</v>
      </c>
      <c r="AN142" s="62">
        <f ca="1">AVERAGE(OFFSET($AM$3,0,0,'Données projet'!$E$10+1,1))-AVERAGE(OFFSET($H$3,0,0,'Données projet'!$E$10+1,1))</f>
        <v>249.03969036629979</v>
      </c>
      <c r="AO142" s="62">
        <f t="shared" si="144"/>
        <v>347.8713931923707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0.96278037371242031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0.96278037371242031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280.57175994295949</v>
      </c>
      <c r="BJ142" s="62">
        <f t="shared" si="146"/>
        <v>216.69635818716841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0.11774618035520272</v>
      </c>
      <c r="BR142" s="23">
        <f>EXP(-LN(2)/2)*BR141+(1-EXP(-LN(2)/2))/(LN(2)/2)*BL142*BO142*VLOOKUP('Données projet'!$B$11,Paramètres!$A$1:$I$89,3,0)*0.475*44/12</f>
        <v>8.2933306937509017E-16</v>
      </c>
      <c r="BS142" s="24">
        <f t="shared" si="117"/>
        <v>0.11774618035520355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8.1999999999999993</v>
      </c>
      <c r="BY142" s="13">
        <f>IF('Données projet'!$A$114&gt;35,BY141+BX142-CG141,IF(A142&lt;'Données projet'!$A$114,$BV$205^A142,IF(A142='Données projet'!$A$114,'Données projet'!$B$114,BY141+BX142-CG141)))</f>
        <v>821.79999999999939</v>
      </c>
      <c r="BZ142" s="14">
        <f>BY142*VLOOKUP('Données projet'!$B$12,Paramètres!$A$1:$I$89,3,0)*VLOOKUP('Données projet'!$B$12,Paramètres!$A$1:$I$89,5,0)</f>
        <v>405.96919999999972</v>
      </c>
      <c r="CA142" s="14">
        <f t="shared" si="147"/>
        <v>92.985783656264317</v>
      </c>
      <c r="CB142" s="22">
        <f t="shared" si="118"/>
        <v>869.01326320132659</v>
      </c>
      <c r="CC142" s="62">
        <f t="shared" si="119"/>
        <v>1162.34659653466</v>
      </c>
      <c r="CD142" s="62">
        <f ca="1">AVERAGE(OFFSET($CC$3,0,0,'Données projet'!$E$12+1,1))-AVERAGE(OFFSET($H$3,0,0,'Données projet'!$E$12+1,1))</f>
        <v>426.64691649521097</v>
      </c>
      <c r="CE142" s="62">
        <f t="shared" si="148"/>
        <v>71.485487617222645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78.25999999999982</v>
      </c>
      <c r="D143" s="12">
        <f t="shared" si="140"/>
        <v>21.7112021311479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771.70752522289467</v>
      </c>
      <c r="H143" s="70">
        <f t="shared" si="110"/>
        <v>467.44984371174894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293.33333333333491</v>
      </c>
      <c r="S143" s="62">
        <f ca="1">AVERAGE(OFFSET($R$3,0,0,'Données projet'!$E$9+1,1))-AVERAGE(OFFSET($H$3,0,0,'Données projet'!$E$9+1,1))</f>
        <v>165.12229410621887</v>
      </c>
      <c r="T143" s="62">
        <f t="shared" si="142"/>
        <v>148.17171564653341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1.9895196601282805E-13</v>
      </c>
      <c r="AJ143" s="14">
        <f>AI143*VLOOKUP('Données projet'!$B$10,Paramètres!$A$1:$I$89,3,0)*VLOOKUP('Données projet'!$B$10,Paramètres!$A$1:$I$89,5,0)</f>
        <v>1.8001173884840681E-13</v>
      </c>
      <c r="AK143" s="14">
        <f t="shared" si="143"/>
        <v>2.5254331426407198E-12</v>
      </c>
      <c r="AL143" s="22">
        <f t="shared" si="112"/>
        <v>4.7119831685935622E-12</v>
      </c>
      <c r="AM143" s="62">
        <f t="shared" si="113"/>
        <v>293.33333333333803</v>
      </c>
      <c r="AN143" s="62">
        <f ca="1">AVERAGE(OFFSET($AM$3,0,0,'Données projet'!$E$10+1,1))-AVERAGE(OFFSET($H$3,0,0,'Données projet'!$E$10+1,1))</f>
        <v>249.03969036629979</v>
      </c>
      <c r="AO143" s="62">
        <f t="shared" si="144"/>
        <v>347.8713931923707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0.94390083782196277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0.94390083782196277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280.57175994295949</v>
      </c>
      <c r="BJ143" s="62">
        <f t="shared" si="146"/>
        <v>216.69635818716841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0.1145264048613872</v>
      </c>
      <c r="BR143" s="23">
        <f>EXP(-LN(2)/2)*BR142+(1-EXP(-LN(2)/2))/(LN(2)/2)*BL143*BO143*VLOOKUP('Données projet'!$B$11,Paramètres!$A$1:$I$89,3,0)*0.475*44/12</f>
        <v>5.8642703721737972E-16</v>
      </c>
      <c r="BS143" s="24">
        <f t="shared" si="117"/>
        <v>0.11452640486138778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830</v>
      </c>
      <c r="BW143" s="13">
        <f>VLOOKUP(A143,'Données projet'!$A$113:$I$133,9,0)</f>
        <v>8.1999999999999993</v>
      </c>
      <c r="BX143" s="13">
        <f t="array" ref="BX143">INDEX(BW:BW,MIN(IF(ISNUMBER(BW143:BW339),ROW(BW143:BW339),"")))</f>
        <v>8.1999999999999993</v>
      </c>
      <c r="BY143" s="13">
        <f>IF('Données projet'!$A$114&gt;35,BY142+BX143-CG142,IF(A143&lt;'Données projet'!$A$114,$BV$205^A143,IF(A143='Données projet'!$A$114,'Données projet'!$B$114,BY142+BX143-CG142)))</f>
        <v>829.99999999999943</v>
      </c>
      <c r="BZ143" s="14">
        <f>BY143*VLOOKUP('Données projet'!$B$12,Paramètres!$A$1:$I$89,3,0)*VLOOKUP('Données projet'!$B$12,Paramètres!$A$1:$I$89,5,0)</f>
        <v>410.01999999999975</v>
      </c>
      <c r="CA143" s="14">
        <f t="shared" si="147"/>
        <v>93.805132096450706</v>
      </c>
      <c r="CB143" s="22">
        <f t="shared" si="118"/>
        <v>877.49543840131776</v>
      </c>
      <c r="CC143" s="62">
        <f t="shared" si="119"/>
        <v>1170.8287717346511</v>
      </c>
      <c r="CD143" s="62">
        <f ca="1">AVERAGE(OFFSET($CC$3,0,0,'Données projet'!$E$12+1,1))-AVERAGE(OFFSET($H$3,0,0,'Données projet'!$E$12+1,1))</f>
        <v>426.64691649521097</v>
      </c>
      <c r="CE143" s="62">
        <f t="shared" si="148"/>
        <v>71.485487617222645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830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78.818999999999818</v>
      </c>
      <c r="D144" s="12">
        <f t="shared" si="140"/>
        <v>21.848174018657858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777.07993979314699</v>
      </c>
      <c r="H144" s="70">
        <f t="shared" si="110"/>
        <v>468.66199474916209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293.33333333333491</v>
      </c>
      <c r="S144" s="62">
        <f ca="1">AVERAGE(OFFSET($R$3,0,0,'Données projet'!$E$9+1,1))-AVERAGE(OFFSET($H$3,0,0,'Données projet'!$E$9+1,1))</f>
        <v>165.12229410621887</v>
      </c>
      <c r="T144" s="62">
        <f t="shared" si="142"/>
        <v>148.17171564653341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1.9895196601282805E-13</v>
      </c>
      <c r="AJ144" s="14">
        <f>AI144*VLOOKUP('Données projet'!$B$10,Paramètres!$A$1:$I$89,3,0)*VLOOKUP('Données projet'!$B$10,Paramètres!$A$1:$I$89,5,0)</f>
        <v>1.8001173884840681E-13</v>
      </c>
      <c r="AK144" s="14">
        <f t="shared" si="143"/>
        <v>2.5254331426407198E-12</v>
      </c>
      <c r="AL144" s="22">
        <f t="shared" si="112"/>
        <v>4.7119831685935622E-12</v>
      </c>
      <c r="AM144" s="62">
        <f t="shared" si="113"/>
        <v>293.33333333333803</v>
      </c>
      <c r="AN144" s="62">
        <f ca="1">AVERAGE(OFFSET($AM$3,0,0,'Données projet'!$E$10+1,1))-AVERAGE(OFFSET($H$3,0,0,'Données projet'!$E$10+1,1))</f>
        <v>249.03969036629979</v>
      </c>
      <c r="AO144" s="62">
        <f t="shared" si="144"/>
        <v>347.8713931923707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0.92539151811493725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0.92539151811493725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280.57175994295949</v>
      </c>
      <c r="BJ144" s="62">
        <f t="shared" si="146"/>
        <v>216.69635818716841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0.11139467429777068</v>
      </c>
      <c r="BR144" s="23">
        <f>EXP(-LN(2)/2)*BR143+(1-EXP(-LN(2)/2))/(LN(2)/2)*BL144*BO144*VLOOKUP('Données projet'!$B$11,Paramètres!$A$1:$I$89,3,0)*0.475*44/12</f>
        <v>4.1466653468754509E-16</v>
      </c>
      <c r="BS144" s="24">
        <f t="shared" si="117"/>
        <v>0.1113946742977711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-5.6843418860808015E-13</v>
      </c>
      <c r="BZ144" s="14">
        <f>BY144*VLOOKUP('Données projet'!$B$12,Paramètres!$A$1:$I$89,3,0)*VLOOKUP('Données projet'!$B$12,Paramètres!$A$1:$I$89,5,0)</f>
        <v>-2.8080648917239157E-13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426.64691649521097</v>
      </c>
      <c r="CE144" s="62">
        <f t="shared" si="148"/>
        <v>71.485487617222645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79.377999999999815</v>
      </c>
      <c r="D145" s="12">
        <f t="shared" si="140"/>
        <v>21.985032877161469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782.45148185878895</v>
      </c>
      <c r="H145" s="70">
        <f t="shared" si="110"/>
        <v>469.87394892772255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293.33333333333491</v>
      </c>
      <c r="S145" s="62">
        <f ca="1">AVERAGE(OFFSET($R$3,0,0,'Données projet'!$E$9+1,1))-AVERAGE(OFFSET($H$3,0,0,'Données projet'!$E$9+1,1))</f>
        <v>165.12229410621887</v>
      </c>
      <c r="T145" s="62">
        <f t="shared" si="142"/>
        <v>148.17171564653341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1.9895196601282805E-13</v>
      </c>
      <c r="AJ145" s="14">
        <f>AI145*VLOOKUP('Données projet'!$B$10,Paramètres!$A$1:$I$89,3,0)*VLOOKUP('Données projet'!$B$10,Paramètres!$A$1:$I$89,5,0)</f>
        <v>1.8001173884840681E-13</v>
      </c>
      <c r="AK145" s="14">
        <f t="shared" si="143"/>
        <v>2.5254331426407198E-12</v>
      </c>
      <c r="AL145" s="22">
        <f t="shared" si="112"/>
        <v>4.7119831685935622E-12</v>
      </c>
      <c r="AM145" s="62">
        <f t="shared" si="113"/>
        <v>293.33333333333803</v>
      </c>
      <c r="AN145" s="62">
        <f ca="1">AVERAGE(OFFSET($AM$3,0,0,'Données projet'!$E$10+1,1))-AVERAGE(OFFSET($H$3,0,0,'Données projet'!$E$10+1,1))</f>
        <v>249.03969036629979</v>
      </c>
      <c r="AO145" s="62">
        <f t="shared" si="144"/>
        <v>347.8713931923707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0.90724515487779622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0.90724515487779622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280.57175994295949</v>
      </c>
      <c r="BJ145" s="62">
        <f t="shared" si="146"/>
        <v>216.69635818716841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0.10834858107110681</v>
      </c>
      <c r="BR145" s="23">
        <f>EXP(-LN(2)/2)*BR144+(1-EXP(-LN(2)/2))/(LN(2)/2)*BL145*BO145*VLOOKUP('Données projet'!$B$11,Paramètres!$A$1:$I$89,3,0)*0.475*44/12</f>
        <v>2.9321351860868986E-16</v>
      </c>
      <c r="BS145" s="24">
        <f t="shared" si="117"/>
        <v>0.10834858107110711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-5.6843418860808015E-13</v>
      </c>
      <c r="BZ145" s="14">
        <f>BY145*VLOOKUP('Données projet'!$B$12,Paramètres!$A$1:$I$89,3,0)*VLOOKUP('Données projet'!$B$12,Paramètres!$A$1:$I$89,5,0)</f>
        <v>-2.8080648917239157E-13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426.64691649521097</v>
      </c>
      <c r="CE145" s="62">
        <f t="shared" si="148"/>
        <v>71.485487617222645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79.936999999999813</v>
      </c>
      <c r="D146" s="12">
        <f t="shared" si="140"/>
        <v>22.121779594940222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787.82215827673008</v>
      </c>
      <c r="H146" s="70">
        <f t="shared" si="110"/>
        <v>471.08570779452054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293.33333333333491</v>
      </c>
      <c r="S146" s="62">
        <f ca="1">AVERAGE(OFFSET($R$3,0,0,'Données projet'!$E$9+1,1))-AVERAGE(OFFSET($H$3,0,0,'Données projet'!$E$9+1,1))</f>
        <v>165.12229410621887</v>
      </c>
      <c r="T146" s="62">
        <f t="shared" si="142"/>
        <v>148.17171564653341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1.9895196601282805E-13</v>
      </c>
      <c r="AJ146" s="14">
        <f>AI146*VLOOKUP('Données projet'!$B$10,Paramètres!$A$1:$I$89,3,0)*VLOOKUP('Données projet'!$B$10,Paramètres!$A$1:$I$89,5,0)</f>
        <v>1.8001173884840681E-13</v>
      </c>
      <c r="AK146" s="14">
        <f t="shared" si="143"/>
        <v>2.5254331426407198E-12</v>
      </c>
      <c r="AL146" s="22">
        <f t="shared" si="112"/>
        <v>4.7119831685935622E-12</v>
      </c>
      <c r="AM146" s="62">
        <f t="shared" si="113"/>
        <v>293.33333333333803</v>
      </c>
      <c r="AN146" s="62">
        <f ca="1">AVERAGE(OFFSET($AM$3,0,0,'Données projet'!$E$10+1,1))-AVERAGE(OFFSET($H$3,0,0,'Données projet'!$E$10+1,1))</f>
        <v>249.03969036629979</v>
      </c>
      <c r="AO146" s="62">
        <f t="shared" si="144"/>
        <v>347.8713931923707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0.88945463075554687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0.88945463075554687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280.57175994295949</v>
      </c>
      <c r="BJ146" s="62">
        <f t="shared" si="146"/>
        <v>216.69635818716841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0.10538578342391315</v>
      </c>
      <c r="BR146" s="23">
        <f>EXP(-LN(2)/2)*BR145+(1-EXP(-LN(2)/2))/(LN(2)/2)*BL146*BO146*VLOOKUP('Données projet'!$B$11,Paramètres!$A$1:$I$89,3,0)*0.475*44/12</f>
        <v>2.0733326734377254E-16</v>
      </c>
      <c r="BS146" s="24">
        <f t="shared" si="117"/>
        <v>0.10538578342391336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-5.6843418860808015E-13</v>
      </c>
      <c r="BZ146" s="14">
        <f>BY146*VLOOKUP('Données projet'!$B$12,Paramètres!$A$1:$I$89,3,0)*VLOOKUP('Données projet'!$B$12,Paramètres!$A$1:$I$89,5,0)</f>
        <v>-2.8080648917239157E-13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426.64691649521097</v>
      </c>
      <c r="CE146" s="62">
        <f t="shared" si="148"/>
        <v>71.485487617222645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80.49599999999981</v>
      </c>
      <c r="D147" s="12">
        <f t="shared" si="140"/>
        <v>22.258415047134058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793.1919758024369</v>
      </c>
      <c r="H147" s="70">
        <f t="shared" si="110"/>
        <v>472.29727287375817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293.33333333333491</v>
      </c>
      <c r="S147" s="62">
        <f ca="1">AVERAGE(OFFSET($R$3,0,0,'Données projet'!$E$9+1,1))-AVERAGE(OFFSET($H$3,0,0,'Données projet'!$E$9+1,1))</f>
        <v>165.12229410621887</v>
      </c>
      <c r="T147" s="62">
        <f t="shared" si="142"/>
        <v>148.17171564653341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1.9895196601282805E-13</v>
      </c>
      <c r="AJ147" s="14">
        <f>AI147*VLOOKUP('Données projet'!$B$10,Paramètres!$A$1:$I$89,3,0)*VLOOKUP('Données projet'!$B$10,Paramètres!$A$1:$I$89,5,0)</f>
        <v>1.8001173884840681E-13</v>
      </c>
      <c r="AK147" s="14">
        <f t="shared" si="143"/>
        <v>2.5254331426407198E-12</v>
      </c>
      <c r="AL147" s="22">
        <f t="shared" si="112"/>
        <v>4.7119831685935622E-12</v>
      </c>
      <c r="AM147" s="62">
        <f t="shared" si="113"/>
        <v>293.33333333333803</v>
      </c>
      <c r="AN147" s="62">
        <f ca="1">AVERAGE(OFFSET($AM$3,0,0,'Données projet'!$E$10+1,1))-AVERAGE(OFFSET($H$3,0,0,'Données projet'!$E$10+1,1))</f>
        <v>249.03969036629979</v>
      </c>
      <c r="AO147" s="62">
        <f t="shared" si="144"/>
        <v>347.8713931923707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0.87201296796018657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0.87201296796018657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280.57175994295949</v>
      </c>
      <c r="BJ147" s="62">
        <f t="shared" si="146"/>
        <v>216.69635818716841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0.10250400363418875</v>
      </c>
      <c r="BR147" s="23">
        <f>EXP(-LN(2)/2)*BR146+(1-EXP(-LN(2)/2))/(LN(2)/2)*BL147*BO147*VLOOKUP('Données projet'!$B$11,Paramètres!$A$1:$I$89,3,0)*0.475*44/12</f>
        <v>1.4660675930434493E-16</v>
      </c>
      <c r="BS147" s="24">
        <f t="shared" si="117"/>
        <v>0.10250400363418891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-5.6843418860808015E-13</v>
      </c>
      <c r="BZ147" s="14">
        <f>BY147*VLOOKUP('Données projet'!$B$12,Paramètres!$A$1:$I$89,3,0)*VLOOKUP('Données projet'!$B$12,Paramètres!$A$1:$I$89,5,0)</f>
        <v>-2.8080648917239157E-13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426.64691649521097</v>
      </c>
      <c r="CE147" s="62">
        <f t="shared" si="148"/>
        <v>71.485487617222645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81.054999999999808</v>
      </c>
      <c r="D148" s="12">
        <f t="shared" si="140"/>
        <v>22.394940096025689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798.56094109212665</v>
      </c>
      <c r="H148" s="70">
        <f t="shared" si="110"/>
        <v>473.50864566724437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293.33333333333491</v>
      </c>
      <c r="S148" s="62">
        <f ca="1">AVERAGE(OFFSET($R$3,0,0,'Données projet'!$E$9+1,1))-AVERAGE(OFFSET($H$3,0,0,'Données projet'!$E$9+1,1))</f>
        <v>165.12229410621887</v>
      </c>
      <c r="T148" s="62">
        <f t="shared" si="142"/>
        <v>148.17171564653341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1.9895196601282805E-13</v>
      </c>
      <c r="AJ148" s="14">
        <f>AI148*VLOOKUP('Données projet'!$B$10,Paramètres!$A$1:$I$89,3,0)*VLOOKUP('Données projet'!$B$10,Paramètres!$A$1:$I$89,5,0)</f>
        <v>1.8001173884840681E-13</v>
      </c>
      <c r="AK148" s="14">
        <f t="shared" si="143"/>
        <v>2.5254331426407198E-12</v>
      </c>
      <c r="AL148" s="22">
        <f t="shared" si="112"/>
        <v>4.7119831685935622E-12</v>
      </c>
      <c r="AM148" s="62">
        <f t="shared" si="113"/>
        <v>293.33333333333803</v>
      </c>
      <c r="AN148" s="62">
        <f ca="1">AVERAGE(OFFSET($AM$3,0,0,'Données projet'!$E$10+1,1))-AVERAGE(OFFSET($H$3,0,0,'Données projet'!$E$10+1,1))</f>
        <v>249.03969036629979</v>
      </c>
      <c r="AO148" s="62">
        <f t="shared" si="144"/>
        <v>347.8713931923707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0.85491332553387944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0.85491332553387944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280.57175994295949</v>
      </c>
      <c r="BJ148" s="62">
        <f t="shared" si="146"/>
        <v>216.69635818716841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9.9701026264360587E-2</v>
      </c>
      <c r="BR148" s="23">
        <f>EXP(-LN(2)/2)*BR147+(1-EXP(-LN(2)/2))/(LN(2)/2)*BL148*BO148*VLOOKUP('Données projet'!$B$11,Paramètres!$A$1:$I$89,3,0)*0.475*44/12</f>
        <v>1.0366663367188627E-16</v>
      </c>
      <c r="BS148" s="24">
        <f t="shared" si="117"/>
        <v>9.9701026264360684E-2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-5.6843418860808015E-13</v>
      </c>
      <c r="BZ148" s="14">
        <f>BY148*VLOOKUP('Données projet'!$B$12,Paramètres!$A$1:$I$89,3,0)*VLOOKUP('Données projet'!$B$12,Paramètres!$A$1:$I$89,5,0)</f>
        <v>-2.8080648917239157E-13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426.64691649521097</v>
      </c>
      <c r="CE148" s="62">
        <f t="shared" si="148"/>
        <v>71.485487617222645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81.613999999999805</v>
      </c>
      <c r="D149" s="12">
        <f t="shared" si="140"/>
        <v>22.531355591316824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803.92906070490028</v>
      </c>
      <c r="H149" s="70">
        <f t="shared" si="110"/>
        <v>474.71982765487644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293.33333333333491</v>
      </c>
      <c r="S149" s="62">
        <f ca="1">AVERAGE(OFFSET($R$3,0,0,'Données projet'!$E$9+1,1))-AVERAGE(OFFSET($H$3,0,0,'Données projet'!$E$9+1,1))</f>
        <v>165.12229410621887</v>
      </c>
      <c r="T149" s="62">
        <f t="shared" si="142"/>
        <v>148.17171564653341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1.9895196601282805E-13</v>
      </c>
      <c r="AJ149" s="14">
        <f>AI149*VLOOKUP('Données projet'!$B$10,Paramètres!$A$1:$I$89,3,0)*VLOOKUP('Données projet'!$B$10,Paramètres!$A$1:$I$89,5,0)</f>
        <v>1.8001173884840681E-13</v>
      </c>
      <c r="AK149" s="14">
        <f t="shared" si="143"/>
        <v>2.5254331426407198E-12</v>
      </c>
      <c r="AL149" s="22">
        <f t="shared" si="112"/>
        <v>4.7119831685935622E-12</v>
      </c>
      <c r="AM149" s="62">
        <f t="shared" si="113"/>
        <v>293.33333333333803</v>
      </c>
      <c r="AN149" s="62">
        <f ca="1">AVERAGE(OFFSET($AM$3,0,0,'Données projet'!$E$10+1,1))-AVERAGE(OFFSET($H$3,0,0,'Données projet'!$E$10+1,1))</f>
        <v>249.03969036629979</v>
      </c>
      <c r="AO149" s="62">
        <f t="shared" si="144"/>
        <v>347.8713931923707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0.83814899666580012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0.83814899666580012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280.57175994295949</v>
      </c>
      <c r="BJ149" s="62">
        <f t="shared" si="146"/>
        <v>216.69635818716841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9.6974696458112547E-2</v>
      </c>
      <c r="BR149" s="23">
        <f>EXP(-LN(2)/2)*BR148+(1-EXP(-LN(2)/2))/(LN(2)/2)*BL149*BO149*VLOOKUP('Données projet'!$B$11,Paramètres!$A$1:$I$89,3,0)*0.475*44/12</f>
        <v>7.3303379652172465E-17</v>
      </c>
      <c r="BS149" s="24">
        <f t="shared" si="117"/>
        <v>9.6974696458112616E-2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-5.6843418860808015E-13</v>
      </c>
      <c r="BZ149" s="14">
        <f>BY149*VLOOKUP('Données projet'!$B$12,Paramètres!$A$1:$I$89,3,0)*VLOOKUP('Données projet'!$B$12,Paramètres!$A$1:$I$89,5,0)</f>
        <v>-2.8080648917239157E-13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426.64691649521097</v>
      </c>
      <c r="CE149" s="62">
        <f t="shared" si="148"/>
        <v>71.485487617222645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82.172999999999803</v>
      </c>
      <c r="D150" s="12">
        <f t="shared" si="140"/>
        <v>22.667662370396606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809.29634110481447</v>
      </c>
      <c r="H150" s="70">
        <f t="shared" si="110"/>
        <v>475.93082029510708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293.33333333333491</v>
      </c>
      <c r="S150" s="62">
        <f ca="1">AVERAGE(OFFSET($R$3,0,0,'Données projet'!$E$9+1,1))-AVERAGE(OFFSET($H$3,0,0,'Données projet'!$E$9+1,1))</f>
        <v>165.12229410621887</v>
      </c>
      <c r="T150" s="62">
        <f t="shared" si="142"/>
        <v>148.17171564653341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1.9895196601282805E-13</v>
      </c>
      <c r="AJ150" s="14">
        <f>AI150*VLOOKUP('Données projet'!$B$10,Paramètres!$A$1:$I$89,3,0)*VLOOKUP('Données projet'!$B$10,Paramètres!$A$1:$I$89,5,0)</f>
        <v>1.8001173884840681E-13</v>
      </c>
      <c r="AK150" s="14">
        <f t="shared" si="143"/>
        <v>2.5254331426407198E-12</v>
      </c>
      <c r="AL150" s="22">
        <f t="shared" si="112"/>
        <v>4.7119831685935622E-12</v>
      </c>
      <c r="AM150" s="62">
        <f t="shared" si="113"/>
        <v>293.33333333333803</v>
      </c>
      <c r="AN150" s="62">
        <f ca="1">AVERAGE(OFFSET($AM$3,0,0,'Données projet'!$E$10+1,1))-AVERAGE(OFFSET($H$3,0,0,'Données projet'!$E$10+1,1))</f>
        <v>249.03969036629979</v>
      </c>
      <c r="AO150" s="62">
        <f t="shared" si="144"/>
        <v>347.8713931923707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0.82171340606159293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0.82171340606159293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280.57175994295949</v>
      </c>
      <c r="BJ150" s="62">
        <f t="shared" si="146"/>
        <v>216.69635818716841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9.4322918283787818E-2</v>
      </c>
      <c r="BR150" s="23">
        <f>EXP(-LN(2)/2)*BR149+(1-EXP(-LN(2)/2))/(LN(2)/2)*BL150*BO150*VLOOKUP('Données projet'!$B$11,Paramètres!$A$1:$I$89,3,0)*0.475*44/12</f>
        <v>5.1833316835943136E-17</v>
      </c>
      <c r="BS150" s="24">
        <f t="shared" si="117"/>
        <v>9.4322918283787874E-2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-5.6843418860808015E-13</v>
      </c>
      <c r="BZ150" s="14">
        <f>BY150*VLOOKUP('Données projet'!$B$12,Paramètres!$A$1:$I$89,3,0)*VLOOKUP('Données projet'!$B$12,Paramètres!$A$1:$I$89,5,0)</f>
        <v>-2.8080648917239157E-13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426.64691649521097</v>
      </c>
      <c r="CE150" s="62">
        <f t="shared" si="148"/>
        <v>71.485487617222645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82.7319999999998</v>
      </c>
      <c r="D151" s="12">
        <f t="shared" si="140"/>
        <v>22.803861258602545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814.66278866289542</v>
      </c>
      <c r="H151" s="70">
        <f t="shared" si="110"/>
        <v>477.14162502539909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293.33333333333491</v>
      </c>
      <c r="S151" s="62">
        <f ca="1">AVERAGE(OFFSET($R$3,0,0,'Données projet'!$E$9+1,1))-AVERAGE(OFFSET($H$3,0,0,'Données projet'!$E$9+1,1))</f>
        <v>165.12229410621887</v>
      </c>
      <c r="T151" s="62">
        <f t="shared" si="142"/>
        <v>148.17171564653341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1.9895196601282805E-13</v>
      </c>
      <c r="AJ151" s="14">
        <f>AI151*VLOOKUP('Données projet'!$B$10,Paramètres!$A$1:$I$89,3,0)*VLOOKUP('Données projet'!$B$10,Paramètres!$A$1:$I$89,5,0)</f>
        <v>1.8001173884840681E-13</v>
      </c>
      <c r="AK151" s="14">
        <f t="shared" si="143"/>
        <v>2.5254331426407198E-12</v>
      </c>
      <c r="AL151" s="22">
        <f t="shared" si="112"/>
        <v>4.7119831685935622E-12</v>
      </c>
      <c r="AM151" s="62">
        <f t="shared" si="113"/>
        <v>293.33333333333803</v>
      </c>
      <c r="AN151" s="62">
        <f ca="1">AVERAGE(OFFSET($AM$3,0,0,'Données projet'!$E$10+1,1))-AVERAGE(OFFSET($H$3,0,0,'Données projet'!$E$10+1,1))</f>
        <v>249.03969036629979</v>
      </c>
      <c r="AO151" s="62">
        <f t="shared" si="144"/>
        <v>347.8713931923707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0.80560010736441379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0.80560010736441379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280.57175994295949</v>
      </c>
      <c r="BJ151" s="62">
        <f t="shared" si="146"/>
        <v>216.69635818716841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9.1743653123090949E-2</v>
      </c>
      <c r="BR151" s="23">
        <f>EXP(-LN(2)/2)*BR150+(1-EXP(-LN(2)/2))/(LN(2)/2)*BL151*BO151*VLOOKUP('Données projet'!$B$11,Paramètres!$A$1:$I$89,3,0)*0.475*44/12</f>
        <v>3.6651689826086233E-17</v>
      </c>
      <c r="BS151" s="24">
        <f t="shared" si="117"/>
        <v>9.174365312309099E-2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-5.6843418860808015E-13</v>
      </c>
      <c r="BZ151" s="14">
        <f>BY151*VLOOKUP('Données projet'!$B$12,Paramètres!$A$1:$I$89,3,0)*VLOOKUP('Données projet'!$B$12,Paramètres!$A$1:$I$89,5,0)</f>
        <v>-2.8080648917239157E-13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426.64691649521097</v>
      </c>
      <c r="CE151" s="62">
        <f t="shared" si="148"/>
        <v>71.485487617222645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83.290999999999798</v>
      </c>
      <c r="D152" s="12">
        <f t="shared" si="140"/>
        <v>22.939953069474232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820.02840965909775</v>
      </c>
      <c r="H152" s="70">
        <f t="shared" si="110"/>
        <v>478.35224326266723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293.33333333333491</v>
      </c>
      <c r="S152" s="62">
        <f ca="1">AVERAGE(OFFSET($R$3,0,0,'Données projet'!$E$9+1,1))-AVERAGE(OFFSET($H$3,0,0,'Données projet'!$E$9+1,1))</f>
        <v>165.12229410621887</v>
      </c>
      <c r="T152" s="62">
        <f t="shared" si="142"/>
        <v>148.17171564653341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1.9895196601282805E-13</v>
      </c>
      <c r="AJ152" s="14">
        <f>AI152*VLOOKUP('Données projet'!$B$10,Paramètres!$A$1:$I$89,3,0)*VLOOKUP('Données projet'!$B$10,Paramètres!$A$1:$I$89,5,0)</f>
        <v>1.8001173884840681E-13</v>
      </c>
      <c r="AK152" s="14">
        <f t="shared" si="143"/>
        <v>2.5254331426407198E-12</v>
      </c>
      <c r="AL152" s="22">
        <f t="shared" si="112"/>
        <v>4.7119831685935622E-12</v>
      </c>
      <c r="AM152" s="62">
        <f t="shared" si="113"/>
        <v>293.33333333333803</v>
      </c>
      <c r="AN152" s="62">
        <f ca="1">AVERAGE(OFFSET($AM$3,0,0,'Données projet'!$E$10+1,1))-AVERAGE(OFFSET($H$3,0,0,'Données projet'!$E$10+1,1))</f>
        <v>249.03969036629979</v>
      </c>
      <c r="AO152" s="62">
        <f t="shared" si="144"/>
        <v>347.8713931923707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0.78980278062654463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0.78980278062654463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280.57175994295949</v>
      </c>
      <c r="BJ152" s="62">
        <f t="shared" si="146"/>
        <v>216.69635818716841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8.9234918103850994E-2</v>
      </c>
      <c r="BR152" s="23">
        <f>EXP(-LN(2)/2)*BR151+(1-EXP(-LN(2)/2))/(LN(2)/2)*BL152*BO152*VLOOKUP('Données projet'!$B$11,Paramètres!$A$1:$I$89,3,0)*0.475*44/12</f>
        <v>2.5916658417971568E-17</v>
      </c>
      <c r="BS152" s="24">
        <f t="shared" si="117"/>
        <v>8.9234918103851021E-2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-5.6843418860808015E-13</v>
      </c>
      <c r="BZ152" s="14">
        <f>BY152*VLOOKUP('Données projet'!$B$12,Paramètres!$A$1:$I$89,3,0)*VLOOKUP('Données projet'!$B$12,Paramètres!$A$1:$I$89,5,0)</f>
        <v>-2.8080648917239157E-13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426.64691649521097</v>
      </c>
      <c r="CE152" s="62">
        <f t="shared" si="148"/>
        <v>71.485487617222645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83.849999999999795</v>
      </c>
      <c r="D153" s="12">
        <f t="shared" si="140"/>
        <v>23.075938604999934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825.39321028420852</v>
      </c>
      <c r="H153" s="70">
        <f t="shared" si="110"/>
        <v>479.56267640370783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293.33333333333491</v>
      </c>
      <c r="S153" s="62">
        <f ca="1">AVERAGE(OFFSET($R$3,0,0,'Données projet'!$E$9+1,1))-AVERAGE(OFFSET($H$3,0,0,'Données projet'!$E$9+1,1))</f>
        <v>165.12229410621887</v>
      </c>
      <c r="T153" s="62">
        <f t="shared" si="142"/>
        <v>148.17171564653341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1.9895196601282805E-13</v>
      </c>
      <c r="AJ153" s="14">
        <f>AI153*VLOOKUP('Données projet'!$B$10,Paramètres!$A$1:$I$89,3,0)*VLOOKUP('Données projet'!$B$10,Paramètres!$A$1:$I$89,5,0)</f>
        <v>1.8001173884840681E-13</v>
      </c>
      <c r="AK153" s="14">
        <f t="shared" si="143"/>
        <v>2.5254331426407198E-12</v>
      </c>
      <c r="AL153" s="22">
        <f t="shared" si="112"/>
        <v>4.7119831685935622E-12</v>
      </c>
      <c r="AM153" s="62">
        <f t="shared" si="113"/>
        <v>293.33333333333803</v>
      </c>
      <c r="AN153" s="62">
        <f ca="1">AVERAGE(OFFSET($AM$3,0,0,'Données projet'!$E$10+1,1))-AVERAGE(OFFSET($H$3,0,0,'Données projet'!$E$10+1,1))</f>
        <v>249.03969036629979</v>
      </c>
      <c r="AO153" s="62">
        <f t="shared" si="144"/>
        <v>347.8713931923707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0.7743152298305872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0.7743152298305872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280.57175994295949</v>
      </c>
      <c r="BJ153" s="62">
        <f t="shared" si="146"/>
        <v>216.69635818716841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8.6794784575640799E-2</v>
      </c>
      <c r="BR153" s="23">
        <f>EXP(-LN(2)/2)*BR152+(1-EXP(-LN(2)/2))/(LN(2)/2)*BL153*BO153*VLOOKUP('Données projet'!$B$11,Paramètres!$A$1:$I$89,3,0)*0.475*44/12</f>
        <v>1.8325844913043116E-17</v>
      </c>
      <c r="BS153" s="24">
        <f t="shared" si="117"/>
        <v>8.6794784575640813E-2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-5.6843418860808015E-13</v>
      </c>
      <c r="BZ153" s="14">
        <f>BY153*VLOOKUP('Données projet'!$B$12,Paramètres!$A$1:$I$89,3,0)*VLOOKUP('Données projet'!$B$12,Paramètres!$A$1:$I$89,5,0)</f>
        <v>-2.8080648917239157E-13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426.64691649521097</v>
      </c>
      <c r="CE153" s="62">
        <f t="shared" si="148"/>
        <v>71.485487617222645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84.408999999999793</v>
      </c>
      <c r="D154" s="12">
        <f t="shared" si="140"/>
        <v>23.211818655856568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830.75719664169821</v>
      </c>
      <c r="H154" s="70">
        <f t="shared" si="110"/>
        <v>480.77292582561648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293.33333333333491</v>
      </c>
      <c r="S154" s="62">
        <f ca="1">AVERAGE(OFFSET($R$3,0,0,'Données projet'!$E$9+1,1))-AVERAGE(OFFSET($H$3,0,0,'Données projet'!$E$9+1,1))</f>
        <v>165.12229410621887</v>
      </c>
      <c r="T154" s="62">
        <f t="shared" si="142"/>
        <v>148.17171564653341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1.9895196601282805E-13</v>
      </c>
      <c r="AJ154" s="14">
        <f>AI154*VLOOKUP('Données projet'!$B$10,Paramètres!$A$1:$I$89,3,0)*VLOOKUP('Données projet'!$B$10,Paramètres!$A$1:$I$89,5,0)</f>
        <v>1.8001173884840681E-13</v>
      </c>
      <c r="AK154" s="14">
        <f t="shared" ref="AK154:AK203" si="164">EXP(-1.0587+0.8836*LN(AJ154)+0.284)</f>
        <v>2.5254331426407198E-12</v>
      </c>
      <c r="AL154" s="22">
        <f t="shared" ref="AL154:AL203" si="165">(AJ154+AK154)*0.475*44/12</f>
        <v>4.7119831685935622E-12</v>
      </c>
      <c r="AM154" s="62">
        <f t="shared" si="113"/>
        <v>293.33333333333803</v>
      </c>
      <c r="AN154" s="62">
        <f ca="1">AVERAGE(OFFSET($AM$3,0,0,'Données projet'!$E$10+1,1))-AVERAGE(OFFSET($H$3,0,0,'Données projet'!$E$10+1,1))</f>
        <v>249.03969036629979</v>
      </c>
      <c r="AO154" s="62">
        <f t="shared" si="144"/>
        <v>347.8713931923707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0.7591313804592652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0.7591313804592652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280.57175994295949</v>
      </c>
      <c r="BJ154" s="62">
        <f t="shared" si="146"/>
        <v>216.69635818716841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8.4421376627080547E-2</v>
      </c>
      <c r="BR154" s="23">
        <f>EXP(-LN(2)/2)*BR153+(1-EXP(-LN(2)/2))/(LN(2)/2)*BL154*BO154*VLOOKUP('Données projet'!$B$11,Paramètres!$A$1:$I$89,3,0)*0.475*44/12</f>
        <v>1.2958329208985784E-17</v>
      </c>
      <c r="BS154" s="24">
        <f t="shared" ref="BS154:BS203" si="169">SUM(BP154:BR154)</f>
        <v>8.442137662708056E-2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-5.6843418860808015E-13</v>
      </c>
      <c r="BZ154" s="14">
        <f>BY154*VLOOKUP('Données projet'!$B$12,Paramètres!$A$1:$I$89,3,0)*VLOOKUP('Données projet'!$B$12,Paramètres!$A$1:$I$89,5,0)</f>
        <v>-2.8080648917239157E-13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426.64691649521097</v>
      </c>
      <c r="CE154" s="62">
        <f t="shared" si="148"/>
        <v>71.485487617222645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84.96799999999979</v>
      </c>
      <c r="D155" s="12">
        <f t="shared" si="140"/>
        <v>23.347594001643007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836.12037474952342</v>
      </c>
      <c r="H155" s="70">
        <f t="shared" si="110"/>
        <v>481.98299288619449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293.33333333333491</v>
      </c>
      <c r="S155" s="62">
        <f ca="1">AVERAGE(OFFSET($R$3,0,0,'Données projet'!$E$9+1,1))-AVERAGE(OFFSET($H$3,0,0,'Données projet'!$E$9+1,1))</f>
        <v>165.12229410621887</v>
      </c>
      <c r="T155" s="62">
        <f t="shared" si="142"/>
        <v>148.17171564653341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1.9895196601282805E-13</v>
      </c>
      <c r="AJ155" s="14">
        <f>AI155*VLOOKUP('Données projet'!$B$10,Paramètres!$A$1:$I$89,3,0)*VLOOKUP('Données projet'!$B$10,Paramètres!$A$1:$I$89,5,0)</f>
        <v>1.8001173884840681E-13</v>
      </c>
      <c r="AK155" s="14">
        <f t="shared" si="164"/>
        <v>2.5254331426407198E-12</v>
      </c>
      <c r="AL155" s="22">
        <f t="shared" si="165"/>
        <v>4.7119831685935622E-12</v>
      </c>
      <c r="AM155" s="62">
        <f t="shared" si="113"/>
        <v>293.33333333333803</v>
      </c>
      <c r="AN155" s="62">
        <f ca="1">AVERAGE(OFFSET($AM$3,0,0,'Données projet'!$E$10+1,1))-AVERAGE(OFFSET($H$3,0,0,'Données projet'!$E$10+1,1))</f>
        <v>249.03969036629979</v>
      </c>
      <c r="AO155" s="62">
        <f t="shared" si="144"/>
        <v>347.8713931923707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0.74424527711288124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0.74424527711288124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280.57175994295949</v>
      </c>
      <c r="BJ155" s="62">
        <f t="shared" si="146"/>
        <v>216.69635818716841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8.2112869643685776E-2</v>
      </c>
      <c r="BR155" s="23">
        <f>EXP(-LN(2)/2)*BR154+(1-EXP(-LN(2)/2))/(LN(2)/2)*BL155*BO155*VLOOKUP('Données projet'!$B$11,Paramètres!$A$1:$I$89,3,0)*0.475*44/12</f>
        <v>9.1629224565215581E-18</v>
      </c>
      <c r="BS155" s="24">
        <f t="shared" si="169"/>
        <v>8.211286964368579E-2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-5.6843418860808015E-13</v>
      </c>
      <c r="BZ155" s="14">
        <f>BY155*VLOOKUP('Données projet'!$B$12,Paramètres!$A$1:$I$89,3,0)*VLOOKUP('Données projet'!$B$12,Paramètres!$A$1:$I$89,5,0)</f>
        <v>-2.8080648917239157E-13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426.64691649521097</v>
      </c>
      <c r="CE155" s="62">
        <f t="shared" si="148"/>
        <v>71.485487617222645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85.526999999999788</v>
      </c>
      <c r="D156" s="12">
        <f t="shared" si="140"/>
        <v>23.483265411107197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841.48275054187854</v>
      </c>
      <c r="H156" s="70">
        <f t="shared" si="110"/>
        <v>483.19287892434465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293.33333333333491</v>
      </c>
      <c r="S156" s="62">
        <f ca="1">AVERAGE(OFFSET($R$3,0,0,'Données projet'!$E$9+1,1))-AVERAGE(OFFSET($H$3,0,0,'Données projet'!$E$9+1,1))</f>
        <v>165.12229410621887</v>
      </c>
      <c r="T156" s="62">
        <f t="shared" si="142"/>
        <v>148.17171564653341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1.9895196601282805E-13</v>
      </c>
      <c r="AJ156" s="14">
        <f>AI156*VLOOKUP('Données projet'!$B$10,Paramètres!$A$1:$I$89,3,0)*VLOOKUP('Données projet'!$B$10,Paramètres!$A$1:$I$89,5,0)</f>
        <v>1.8001173884840681E-13</v>
      </c>
      <c r="AK156" s="14">
        <f t="shared" si="164"/>
        <v>2.5254331426407198E-12</v>
      </c>
      <c r="AL156" s="22">
        <f t="shared" si="165"/>
        <v>4.7119831685935622E-12</v>
      </c>
      <c r="AM156" s="62">
        <f t="shared" si="113"/>
        <v>293.33333333333803</v>
      </c>
      <c r="AN156" s="62">
        <f ca="1">AVERAGE(OFFSET($AM$3,0,0,'Données projet'!$E$10+1,1))-AVERAGE(OFFSET($H$3,0,0,'Données projet'!$E$10+1,1))</f>
        <v>249.03969036629979</v>
      </c>
      <c r="AO156" s="62">
        <f t="shared" si="144"/>
        <v>347.8713931923707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0.72965108117349331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0.72965108117349331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280.57175994295949</v>
      </c>
      <c r="BJ156" s="62">
        <f t="shared" si="146"/>
        <v>216.69635818716841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7.9867488905151052E-2</v>
      </c>
      <c r="BR156" s="23">
        <f>EXP(-LN(2)/2)*BR155+(1-EXP(-LN(2)/2))/(LN(2)/2)*BL156*BO156*VLOOKUP('Données projet'!$B$11,Paramètres!$A$1:$I$89,3,0)*0.475*44/12</f>
        <v>6.479164604492892E-18</v>
      </c>
      <c r="BS156" s="24">
        <f t="shared" si="169"/>
        <v>7.9867488905151052E-2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-5.6843418860808015E-13</v>
      </c>
      <c r="BZ156" s="14">
        <f>BY156*VLOOKUP('Données projet'!$B$12,Paramètres!$A$1:$I$89,3,0)*VLOOKUP('Données projet'!$B$12,Paramètres!$A$1:$I$89,5,0)</f>
        <v>-2.8080648917239157E-13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426.64691649521097</v>
      </c>
      <c r="CE156" s="62">
        <f t="shared" si="148"/>
        <v>71.485487617222645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86.085999999999785</v>
      </c>
      <c r="D157" s="12">
        <f t="shared" si="140"/>
        <v>23.618833642367036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846.84432987090179</v>
      </c>
      <c r="H157" s="70">
        <f t="shared" si="110"/>
        <v>484.40258526045551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293.33333333333491</v>
      </c>
      <c r="S157" s="62">
        <f ca="1">AVERAGE(OFFSET($R$3,0,0,'Données projet'!$E$9+1,1))-AVERAGE(OFFSET($H$3,0,0,'Données projet'!$E$9+1,1))</f>
        <v>165.12229410621887</v>
      </c>
      <c r="T157" s="62">
        <f t="shared" si="142"/>
        <v>148.17171564653341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1.9895196601282805E-13</v>
      </c>
      <c r="AJ157" s="14">
        <f>AI157*VLOOKUP('Données projet'!$B$10,Paramètres!$A$1:$I$89,3,0)*VLOOKUP('Données projet'!$B$10,Paramètres!$A$1:$I$89,5,0)</f>
        <v>1.8001173884840681E-13</v>
      </c>
      <c r="AK157" s="14">
        <f t="shared" si="164"/>
        <v>2.5254331426407198E-12</v>
      </c>
      <c r="AL157" s="22">
        <f t="shared" si="165"/>
        <v>4.7119831685935622E-12</v>
      </c>
      <c r="AM157" s="62">
        <f t="shared" si="113"/>
        <v>293.33333333333803</v>
      </c>
      <c r="AN157" s="62">
        <f ca="1">AVERAGE(OFFSET($AM$3,0,0,'Données projet'!$E$10+1,1))-AVERAGE(OFFSET($H$3,0,0,'Données projet'!$E$10+1,1))</f>
        <v>249.03969036629979</v>
      </c>
      <c r="AO157" s="62">
        <f t="shared" si="144"/>
        <v>347.8713931923707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0.71534306851489626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0.71534306851489626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280.57175994295949</v>
      </c>
      <c r="BJ157" s="62">
        <f t="shared" si="146"/>
        <v>216.69635818716841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7.7683508220990988E-2</v>
      </c>
      <c r="BR157" s="23">
        <f>EXP(-LN(2)/2)*BR156+(1-EXP(-LN(2)/2))/(LN(2)/2)*BL157*BO157*VLOOKUP('Données projet'!$B$11,Paramètres!$A$1:$I$89,3,0)*0.475*44/12</f>
        <v>4.5814612282607791E-18</v>
      </c>
      <c r="BS157" s="24">
        <f t="shared" si="169"/>
        <v>7.7683508220990988E-2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-5.6843418860808015E-13</v>
      </c>
      <c r="BZ157" s="14">
        <f>BY157*VLOOKUP('Données projet'!$B$12,Paramètres!$A$1:$I$89,3,0)*VLOOKUP('Données projet'!$B$12,Paramètres!$A$1:$I$89,5,0)</f>
        <v>-2.8080648917239157E-13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426.64691649521097</v>
      </c>
      <c r="CE157" s="62">
        <f t="shared" si="148"/>
        <v>71.485487617222645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86.644999999999783</v>
      </c>
      <c r="D158" s="12">
        <f t="shared" si="140"/>
        <v>23.75429944312544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852.20511850833509</v>
      </c>
      <c r="H158" s="70">
        <f t="shared" si="110"/>
        <v>485.61211319677642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293.33333333333491</v>
      </c>
      <c r="S158" s="62">
        <f ca="1">AVERAGE(OFFSET($R$3,0,0,'Données projet'!$E$9+1,1))-AVERAGE(OFFSET($H$3,0,0,'Données projet'!$E$9+1,1))</f>
        <v>165.12229410621887</v>
      </c>
      <c r="T158" s="62">
        <f t="shared" si="142"/>
        <v>148.17171564653341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1.9895196601282805E-13</v>
      </c>
      <c r="AJ158" s="14">
        <f>AI158*VLOOKUP('Données projet'!$B$10,Paramètres!$A$1:$I$89,3,0)*VLOOKUP('Données projet'!$B$10,Paramètres!$A$1:$I$89,5,0)</f>
        <v>1.8001173884840681E-13</v>
      </c>
      <c r="AK158" s="14">
        <f t="shared" si="164"/>
        <v>2.5254331426407198E-12</v>
      </c>
      <c r="AL158" s="22">
        <f t="shared" si="165"/>
        <v>4.7119831685935622E-12</v>
      </c>
      <c r="AM158" s="62">
        <f t="shared" si="113"/>
        <v>293.33333333333803</v>
      </c>
      <c r="AN158" s="62">
        <f ca="1">AVERAGE(OFFSET($AM$3,0,0,'Données projet'!$E$10+1,1))-AVERAGE(OFFSET($H$3,0,0,'Données projet'!$E$10+1,1))</f>
        <v>249.03969036629979</v>
      </c>
      <c r="AO158" s="62">
        <f t="shared" si="144"/>
        <v>347.8713931923707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0.70131562725750829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0.70131562725750829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280.57175994295949</v>
      </c>
      <c r="BJ158" s="62">
        <f t="shared" si="146"/>
        <v>216.69635818716841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7.5559248603489837E-2</v>
      </c>
      <c r="BR158" s="23">
        <f>EXP(-LN(2)/2)*BR157+(1-EXP(-LN(2)/2))/(LN(2)/2)*BL158*BO158*VLOOKUP('Données projet'!$B$11,Paramètres!$A$1:$I$89,3,0)*0.475*44/12</f>
        <v>3.239582302246446E-18</v>
      </c>
      <c r="BS158" s="24">
        <f t="shared" si="169"/>
        <v>7.5559248603489837E-2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-5.6843418860808015E-13</v>
      </c>
      <c r="BZ158" s="14">
        <f>BY158*VLOOKUP('Données projet'!$B$12,Paramètres!$A$1:$I$89,3,0)*VLOOKUP('Données projet'!$B$12,Paramètres!$A$1:$I$89,5,0)</f>
        <v>-2.8080648917239157E-13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426.64691649521097</v>
      </c>
      <c r="CE158" s="62">
        <f t="shared" si="148"/>
        <v>71.485487617222645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87.20399999999978</v>
      </c>
      <c r="D159" s="12">
        <f t="shared" si="140"/>
        <v>23.889663550879664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857.5651221471395</v>
      </c>
      <c r="H159" s="70">
        <f t="shared" si="110"/>
        <v>486.82146401778164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293.33333333333491</v>
      </c>
      <c r="S159" s="62">
        <f ca="1">AVERAGE(OFFSET($R$3,0,0,'Données projet'!$E$9+1,1))-AVERAGE(OFFSET($H$3,0,0,'Données projet'!$E$9+1,1))</f>
        <v>165.12229410621887</v>
      </c>
      <c r="T159" s="62">
        <f t="shared" si="142"/>
        <v>148.17171564653341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1.9895196601282805E-13</v>
      </c>
      <c r="AJ159" s="14">
        <f>AI159*VLOOKUP('Données projet'!$B$10,Paramètres!$A$1:$I$89,3,0)*VLOOKUP('Données projet'!$B$10,Paramètres!$A$1:$I$89,5,0)</f>
        <v>1.8001173884840681E-13</v>
      </c>
      <c r="AK159" s="14">
        <f t="shared" si="164"/>
        <v>2.5254331426407198E-12</v>
      </c>
      <c r="AL159" s="22">
        <f t="shared" si="165"/>
        <v>4.7119831685935622E-12</v>
      </c>
      <c r="AM159" s="62">
        <f t="shared" si="113"/>
        <v>293.33333333333803</v>
      </c>
      <c r="AN159" s="62">
        <f ca="1">AVERAGE(OFFSET($AM$3,0,0,'Données projet'!$E$10+1,1))-AVERAGE(OFFSET($H$3,0,0,'Données projet'!$E$10+1,1))</f>
        <v>249.03969036629979</v>
      </c>
      <c r="AO159" s="62">
        <f t="shared" si="144"/>
        <v>347.8713931923707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0.68756325556728337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0.68756325556728337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280.57175994295949</v>
      </c>
      <c r="BJ159" s="62">
        <f t="shared" si="146"/>
        <v>216.69635818716841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7.3493076976939214E-2</v>
      </c>
      <c r="BR159" s="23">
        <f>EXP(-LN(2)/2)*BR158+(1-EXP(-LN(2)/2))/(LN(2)/2)*BL159*BO159*VLOOKUP('Données projet'!$B$11,Paramètres!$A$1:$I$89,3,0)*0.475*44/12</f>
        <v>2.2907306141303895E-18</v>
      </c>
      <c r="BS159" s="24">
        <f t="shared" si="169"/>
        <v>7.3493076976939214E-2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-5.6843418860808015E-13</v>
      </c>
      <c r="BZ159" s="14">
        <f>BY159*VLOOKUP('Données projet'!$B$12,Paramètres!$A$1:$I$89,3,0)*VLOOKUP('Données projet'!$B$12,Paramètres!$A$1:$I$89,5,0)</f>
        <v>-2.8080648917239157E-13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426.64691649521097</v>
      </c>
      <c r="CE159" s="62">
        <f t="shared" si="148"/>
        <v>71.485487617222645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87.762999999999778</v>
      </c>
      <c r="D160" s="12">
        <f t="shared" si="140"/>
        <v>24.024926693125117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862.92434640306931</v>
      </c>
      <c r="H160" s="70">
        <f t="shared" si="110"/>
        <v>488.03063899052586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293.33333333333491</v>
      </c>
      <c r="S160" s="62">
        <f ca="1">AVERAGE(OFFSET($R$3,0,0,'Données projet'!$E$9+1,1))-AVERAGE(OFFSET($H$3,0,0,'Données projet'!$E$9+1,1))</f>
        <v>165.12229410621887</v>
      </c>
      <c r="T160" s="62">
        <f t="shared" si="142"/>
        <v>148.17171564653341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1.9895196601282805E-13</v>
      </c>
      <c r="AJ160" s="14">
        <f>AI160*VLOOKUP('Données projet'!$B$10,Paramètres!$A$1:$I$89,3,0)*VLOOKUP('Données projet'!$B$10,Paramètres!$A$1:$I$89,5,0)</f>
        <v>1.8001173884840681E-13</v>
      </c>
      <c r="AK160" s="14">
        <f t="shared" si="164"/>
        <v>2.5254331426407198E-12</v>
      </c>
      <c r="AL160" s="22">
        <f t="shared" si="165"/>
        <v>4.7119831685935622E-12</v>
      </c>
      <c r="AM160" s="62">
        <f t="shared" si="113"/>
        <v>293.33333333333803</v>
      </c>
      <c r="AN160" s="62">
        <f ca="1">AVERAGE(OFFSET($AM$3,0,0,'Données projet'!$E$10+1,1))-AVERAGE(OFFSET($H$3,0,0,'Données projet'!$E$10+1,1))</f>
        <v>249.03969036629979</v>
      </c>
      <c r="AO160" s="62">
        <f t="shared" si="144"/>
        <v>347.8713931923707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0.67408055949778523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0.67408055949778523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280.57175994295949</v>
      </c>
      <c r="BJ160" s="62">
        <f t="shared" si="146"/>
        <v>216.69635818716841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7.1483404922171867E-2</v>
      </c>
      <c r="BR160" s="23">
        <f>EXP(-LN(2)/2)*BR159+(1-EXP(-LN(2)/2))/(LN(2)/2)*BL160*BO160*VLOOKUP('Données projet'!$B$11,Paramètres!$A$1:$I$89,3,0)*0.475*44/12</f>
        <v>1.619791151123223E-18</v>
      </c>
      <c r="BS160" s="24">
        <f t="shared" si="169"/>
        <v>7.1483404922171867E-2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-5.6843418860808015E-13</v>
      </c>
      <c r="BZ160" s="14">
        <f>BY160*VLOOKUP('Données projet'!$B$12,Paramètres!$A$1:$I$89,3,0)*VLOOKUP('Données projet'!$B$12,Paramètres!$A$1:$I$89,5,0)</f>
        <v>-2.8080648917239157E-13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426.64691649521097</v>
      </c>
      <c r="CE160" s="62">
        <f t="shared" si="148"/>
        <v>71.485487617222645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88.321999999999775</v>
      </c>
      <c r="D161" s="12">
        <f t="shared" si="140"/>
        <v>24.160089587553845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868.28279681620336</v>
      </c>
      <c r="H161" s="70">
        <f t="shared" si="110"/>
        <v>489.23963936498916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293.33333333333491</v>
      </c>
      <c r="S161" s="62">
        <f ca="1">AVERAGE(OFFSET($R$3,0,0,'Données projet'!$E$9+1,1))-AVERAGE(OFFSET($H$3,0,0,'Données projet'!$E$9+1,1))</f>
        <v>165.12229410621887</v>
      </c>
      <c r="T161" s="62">
        <f t="shared" si="142"/>
        <v>148.17171564653341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1.9895196601282805E-13</v>
      </c>
      <c r="AJ161" s="14">
        <f>AI161*VLOOKUP('Données projet'!$B$10,Paramètres!$A$1:$I$89,3,0)*VLOOKUP('Données projet'!$B$10,Paramètres!$A$1:$I$89,5,0)</f>
        <v>1.8001173884840681E-13</v>
      </c>
      <c r="AK161" s="14">
        <f t="shared" si="164"/>
        <v>2.5254331426407198E-12</v>
      </c>
      <c r="AL161" s="22">
        <f t="shared" si="165"/>
        <v>4.7119831685935622E-12</v>
      </c>
      <c r="AM161" s="62">
        <f t="shared" si="113"/>
        <v>293.33333333333803</v>
      </c>
      <c r="AN161" s="62">
        <f ca="1">AVERAGE(OFFSET($AM$3,0,0,'Données projet'!$E$10+1,1))-AVERAGE(OFFSET($H$3,0,0,'Données projet'!$E$10+1,1))</f>
        <v>249.03969036629979</v>
      </c>
      <c r="AO161" s="62">
        <f t="shared" si="144"/>
        <v>347.8713931923707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0.66086225087457739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0.66086225087457739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280.57175994295949</v>
      </c>
      <c r="BJ161" s="62">
        <f t="shared" si="146"/>
        <v>216.69635818716841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6.9528687455426189E-2</v>
      </c>
      <c r="BR161" s="23">
        <f>EXP(-LN(2)/2)*BR160+(1-EXP(-LN(2)/2))/(LN(2)/2)*BL161*BO161*VLOOKUP('Données projet'!$B$11,Paramètres!$A$1:$I$89,3,0)*0.475*44/12</f>
        <v>1.1453653070651948E-18</v>
      </c>
      <c r="BS161" s="24">
        <f t="shared" si="169"/>
        <v>6.9528687455426189E-2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-5.6843418860808015E-13</v>
      </c>
      <c r="BZ161" s="14">
        <f>BY161*VLOOKUP('Données projet'!$B$12,Paramètres!$A$1:$I$89,3,0)*VLOOKUP('Données projet'!$B$12,Paramètres!$A$1:$I$89,5,0)</f>
        <v>-2.8080648917239157E-13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426.64691649521097</v>
      </c>
      <c r="CE161" s="62">
        <f t="shared" si="148"/>
        <v>71.485487617222645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88.880999999999773</v>
      </c>
      <c r="D162" s="12">
        <f t="shared" si="140"/>
        <v>24.295152942247746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873.64047885243701</v>
      </c>
      <c r="H162" s="70">
        <f t="shared" si="110"/>
        <v>490.44846637441435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293.33333333333491</v>
      </c>
      <c r="S162" s="62">
        <f ca="1">AVERAGE(OFFSET($R$3,0,0,'Données projet'!$E$9+1,1))-AVERAGE(OFFSET($H$3,0,0,'Données projet'!$E$9+1,1))</f>
        <v>165.12229410621887</v>
      </c>
      <c r="T162" s="62">
        <f t="shared" si="142"/>
        <v>148.17171564653341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1.9895196601282805E-13</v>
      </c>
      <c r="AJ162" s="14">
        <f>AI162*VLOOKUP('Données projet'!$B$10,Paramètres!$A$1:$I$89,3,0)*VLOOKUP('Données projet'!$B$10,Paramètres!$A$1:$I$89,5,0)</f>
        <v>1.8001173884840681E-13</v>
      </c>
      <c r="AK162" s="14">
        <f t="shared" si="164"/>
        <v>2.5254331426407198E-12</v>
      </c>
      <c r="AL162" s="22">
        <f t="shared" si="165"/>
        <v>4.7119831685935622E-12</v>
      </c>
      <c r="AM162" s="62">
        <f t="shared" si="113"/>
        <v>293.33333333333803</v>
      </c>
      <c r="AN162" s="62">
        <f ca="1">AVERAGE(OFFSET($AM$3,0,0,'Données projet'!$E$10+1,1))-AVERAGE(OFFSET($H$3,0,0,'Données projet'!$E$10+1,1))</f>
        <v>249.03969036629979</v>
      </c>
      <c r="AO162" s="62">
        <f t="shared" si="144"/>
        <v>347.8713931923707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0.64790314522109849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0.64790314522109849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280.57175994295949</v>
      </c>
      <c r="BJ162" s="62">
        <f t="shared" si="146"/>
        <v>216.69635818716841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6.7627421840602803E-2</v>
      </c>
      <c r="BR162" s="23">
        <f>EXP(-LN(2)/2)*BR161+(1-EXP(-LN(2)/2))/(LN(2)/2)*BL162*BO162*VLOOKUP('Données projet'!$B$11,Paramètres!$A$1:$I$89,3,0)*0.475*44/12</f>
        <v>8.098955755616115E-19</v>
      </c>
      <c r="BS162" s="24">
        <f t="shared" si="169"/>
        <v>6.7627421840602803E-2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-5.6843418860808015E-13</v>
      </c>
      <c r="BZ162" s="14">
        <f>BY162*VLOOKUP('Données projet'!$B$12,Paramètres!$A$1:$I$89,3,0)*VLOOKUP('Données projet'!$B$12,Paramètres!$A$1:$I$89,5,0)</f>
        <v>-2.8080648917239157E-13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426.64691649521097</v>
      </c>
      <c r="CE162" s="62">
        <f t="shared" si="148"/>
        <v>71.485487617222645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89.43999999999977</v>
      </c>
      <c r="D163" s="12">
        <f t="shared" si="140"/>
        <v>24.430117455866995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878.99739790493641</v>
      </c>
      <c r="H163" s="70">
        <f t="shared" si="110"/>
        <v>491.65712123563458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293.33333333333491</v>
      </c>
      <c r="S163" s="62">
        <f ca="1">AVERAGE(OFFSET($R$3,0,0,'Données projet'!$E$9+1,1))-AVERAGE(OFFSET($H$3,0,0,'Données projet'!$E$9+1,1))</f>
        <v>165.12229410621887</v>
      </c>
      <c r="T163" s="62">
        <f t="shared" si="142"/>
        <v>148.17171564653341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1.9895196601282805E-13</v>
      </c>
      <c r="AJ163" s="14">
        <f>AI163*VLOOKUP('Données projet'!$B$10,Paramètres!$A$1:$I$89,3,0)*VLOOKUP('Données projet'!$B$10,Paramètres!$A$1:$I$89,5,0)</f>
        <v>1.8001173884840681E-13</v>
      </c>
      <c r="AK163" s="14">
        <f t="shared" si="164"/>
        <v>2.5254331426407198E-12</v>
      </c>
      <c r="AL163" s="22">
        <f t="shared" si="165"/>
        <v>4.7119831685935622E-12</v>
      </c>
      <c r="AM163" s="62">
        <f t="shared" si="113"/>
        <v>293.33333333333803</v>
      </c>
      <c r="AN163" s="62">
        <f ca="1">AVERAGE(OFFSET($AM$3,0,0,'Données projet'!$E$10+1,1))-AVERAGE(OFFSET($H$3,0,0,'Données projet'!$E$10+1,1))</f>
        <v>249.03969036629979</v>
      </c>
      <c r="AO163" s="62">
        <f t="shared" si="144"/>
        <v>347.8713931923707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0.63519815972521032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0.63519815972521032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280.57175994295949</v>
      </c>
      <c r="BJ163" s="62">
        <f t="shared" si="146"/>
        <v>216.69635818716841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6.5778146433999971E-2</v>
      </c>
      <c r="BR163" s="23">
        <f>EXP(-LN(2)/2)*BR162+(1-EXP(-LN(2)/2))/(LN(2)/2)*BL163*BO163*VLOOKUP('Données projet'!$B$11,Paramètres!$A$1:$I$89,3,0)*0.475*44/12</f>
        <v>5.7268265353259738E-19</v>
      </c>
      <c r="BS163" s="24">
        <f t="shared" si="169"/>
        <v>6.5778146433999971E-2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-5.6843418860808015E-13</v>
      </c>
      <c r="BZ163" s="14">
        <f>BY163*VLOOKUP('Données projet'!$B$12,Paramètres!$A$1:$I$89,3,0)*VLOOKUP('Données projet'!$B$12,Paramètres!$A$1:$I$89,5,0)</f>
        <v>-2.8080648917239157E-13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426.64691649521097</v>
      </c>
      <c r="CE163" s="62">
        <f t="shared" si="148"/>
        <v>71.485487617222645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89.998999999999768</v>
      </c>
      <c r="D164" s="12">
        <f t="shared" si="140"/>
        <v>24.564983817833372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884.35355929555408</v>
      </c>
      <c r="H164" s="70">
        <f t="shared" si="110"/>
        <v>492.86560514939265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293.33333333333491</v>
      </c>
      <c r="S164" s="62">
        <f ca="1">AVERAGE(OFFSET($R$3,0,0,'Données projet'!$E$9+1,1))-AVERAGE(OFFSET($H$3,0,0,'Données projet'!$E$9+1,1))</f>
        <v>165.12229410621887</v>
      </c>
      <c r="T164" s="62">
        <f t="shared" si="142"/>
        <v>148.17171564653341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1.9895196601282805E-13</v>
      </c>
      <c r="AJ164" s="14">
        <f>AI164*VLOOKUP('Données projet'!$B$10,Paramètres!$A$1:$I$89,3,0)*VLOOKUP('Données projet'!$B$10,Paramètres!$A$1:$I$89,5,0)</f>
        <v>1.8001173884840681E-13</v>
      </c>
      <c r="AK164" s="14">
        <f t="shared" si="164"/>
        <v>2.5254331426407198E-12</v>
      </c>
      <c r="AL164" s="22">
        <f t="shared" si="165"/>
        <v>4.7119831685935622E-12</v>
      </c>
      <c r="AM164" s="62">
        <f t="shared" si="113"/>
        <v>293.33333333333803</v>
      </c>
      <c r="AN164" s="62">
        <f ca="1">AVERAGE(OFFSET($AM$3,0,0,'Données projet'!$E$10+1,1))-AVERAGE(OFFSET($H$3,0,0,'Données projet'!$E$10+1,1))</f>
        <v>249.03969036629979</v>
      </c>
      <c r="AO164" s="62">
        <f t="shared" si="144"/>
        <v>347.8713931923707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0.62274231124562063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0.62274231124562063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280.57175994295949</v>
      </c>
      <c r="BJ164" s="62">
        <f t="shared" si="146"/>
        <v>216.69635818716841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6.3979439560639853E-2</v>
      </c>
      <c r="BR164" s="23">
        <f>EXP(-LN(2)/2)*BR163+(1-EXP(-LN(2)/2))/(LN(2)/2)*BL164*BO164*VLOOKUP('Données projet'!$B$11,Paramètres!$A$1:$I$89,3,0)*0.475*44/12</f>
        <v>4.0494778778080575E-19</v>
      </c>
      <c r="BS164" s="24">
        <f t="shared" si="169"/>
        <v>6.3979439560639853E-2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-5.6843418860808015E-13</v>
      </c>
      <c r="BZ164" s="14">
        <f>BY164*VLOOKUP('Données projet'!$B$12,Paramètres!$A$1:$I$89,3,0)*VLOOKUP('Données projet'!$B$12,Paramètres!$A$1:$I$89,5,0)</f>
        <v>-2.8080648917239157E-13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426.64691649521097</v>
      </c>
      <c r="CE164" s="62">
        <f t="shared" si="148"/>
        <v>71.485487617222645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90.557999999999765</v>
      </c>
      <c r="D165" s="12">
        <f t="shared" si="140"/>
        <v>24.699752708509081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889.70896827620857</v>
      </c>
      <c r="H165" s="70">
        <f t="shared" si="110"/>
        <v>494.0739193006529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293.33333333333491</v>
      </c>
      <c r="S165" s="62">
        <f ca="1">AVERAGE(OFFSET($R$3,0,0,'Données projet'!$E$9+1,1))-AVERAGE(OFFSET($H$3,0,0,'Données projet'!$E$9+1,1))</f>
        <v>165.12229410621887</v>
      </c>
      <c r="T165" s="62">
        <f t="shared" si="142"/>
        <v>148.17171564653341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1.9895196601282805E-13</v>
      </c>
      <c r="AJ165" s="14">
        <f>AI165*VLOOKUP('Données projet'!$B$10,Paramètres!$A$1:$I$89,3,0)*VLOOKUP('Données projet'!$B$10,Paramètres!$A$1:$I$89,5,0)</f>
        <v>1.8001173884840681E-13</v>
      </c>
      <c r="AK165" s="14">
        <f t="shared" si="164"/>
        <v>2.5254331426407198E-12</v>
      </c>
      <c r="AL165" s="22">
        <f t="shared" si="165"/>
        <v>4.7119831685935622E-12</v>
      </c>
      <c r="AM165" s="62">
        <f t="shared" si="113"/>
        <v>293.33333333333803</v>
      </c>
      <c r="AN165" s="62">
        <f ca="1">AVERAGE(OFFSET($AM$3,0,0,'Données projet'!$E$10+1,1))-AVERAGE(OFFSET($H$3,0,0,'Données projet'!$E$10+1,1))</f>
        <v>249.03969036629979</v>
      </c>
      <c r="AO165" s="62">
        <f t="shared" si="144"/>
        <v>347.8713931923707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0.61053071435739825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0.61053071435739825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280.57175994295949</v>
      </c>
      <c r="BJ165" s="62">
        <f t="shared" si="146"/>
        <v>216.69635818716841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6.2229918421321653E-2</v>
      </c>
      <c r="BR165" s="23">
        <f>EXP(-LN(2)/2)*BR164+(1-EXP(-LN(2)/2))/(LN(2)/2)*BL165*BO165*VLOOKUP('Données projet'!$B$11,Paramètres!$A$1:$I$89,3,0)*0.475*44/12</f>
        <v>2.8634132676629869E-19</v>
      </c>
      <c r="BS165" s="24">
        <f t="shared" si="169"/>
        <v>6.2229918421321653E-2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-5.6843418860808015E-13</v>
      </c>
      <c r="BZ165" s="14">
        <f>BY165*VLOOKUP('Données projet'!$B$12,Paramètres!$A$1:$I$89,3,0)*VLOOKUP('Données projet'!$B$12,Paramètres!$A$1:$I$89,5,0)</f>
        <v>-2.8080648917239157E-13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426.64691649521097</v>
      </c>
      <c r="CE165" s="62">
        <f t="shared" si="148"/>
        <v>71.485487617222645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91.116999999999763</v>
      </c>
      <c r="D166" s="12">
        <f t="shared" si="140"/>
        <v>24.834424799371007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895.06363003023068</v>
      </c>
      <c r="H166" s="70">
        <f t="shared" si="110"/>
        <v>495.28206485890405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293.33333333333491</v>
      </c>
      <c r="S166" s="62">
        <f ca="1">AVERAGE(OFFSET($R$3,0,0,'Données projet'!$E$9+1,1))-AVERAGE(OFFSET($H$3,0,0,'Données projet'!$E$9+1,1))</f>
        <v>165.12229410621887</v>
      </c>
      <c r="T166" s="62">
        <f t="shared" si="142"/>
        <v>148.17171564653341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1.9895196601282805E-13</v>
      </c>
      <c r="AJ166" s="14">
        <f>AI166*VLOOKUP('Données projet'!$B$10,Paramètres!$A$1:$I$89,3,0)*VLOOKUP('Données projet'!$B$10,Paramètres!$A$1:$I$89,5,0)</f>
        <v>1.8001173884840681E-13</v>
      </c>
      <c r="AK166" s="14">
        <f t="shared" si="164"/>
        <v>2.5254331426407198E-12</v>
      </c>
      <c r="AL166" s="22">
        <f t="shared" si="165"/>
        <v>4.7119831685935622E-12</v>
      </c>
      <c r="AM166" s="62">
        <f t="shared" si="113"/>
        <v>293.33333333333803</v>
      </c>
      <c r="AN166" s="62">
        <f ca="1">AVERAGE(OFFSET($AM$3,0,0,'Données projet'!$E$10+1,1))-AVERAGE(OFFSET($H$3,0,0,'Données projet'!$E$10+1,1))</f>
        <v>249.03969036629979</v>
      </c>
      <c r="AO166" s="62">
        <f t="shared" si="144"/>
        <v>347.8713931923707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0.59855857943581525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0.59855857943581525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280.57175994295949</v>
      </c>
      <c r="BJ166" s="62">
        <f t="shared" si="146"/>
        <v>216.69635818716841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6.0528238029561435E-2</v>
      </c>
      <c r="BR166" s="23">
        <f>EXP(-LN(2)/2)*BR165+(1-EXP(-LN(2)/2))/(LN(2)/2)*BL166*BO166*VLOOKUP('Données projet'!$B$11,Paramètres!$A$1:$I$89,3,0)*0.475*44/12</f>
        <v>2.0247389389040287E-19</v>
      </c>
      <c r="BS166" s="24">
        <f t="shared" si="169"/>
        <v>6.0528238029561435E-2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-5.6843418860808015E-13</v>
      </c>
      <c r="BZ166" s="14">
        <f>BY166*VLOOKUP('Données projet'!$B$12,Paramètres!$A$1:$I$89,3,0)*VLOOKUP('Données projet'!$B$12,Paramètres!$A$1:$I$89,5,0)</f>
        <v>-2.8080648917239157E-13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426.64691649521097</v>
      </c>
      <c r="CE166" s="62">
        <f t="shared" si="148"/>
        <v>71.485487617222645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91.67599999999976</v>
      </c>
      <c r="D167" s="12">
        <f t="shared" si="140"/>
        <v>24.969000753180424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900.4175496736716</v>
      </c>
      <c r="H167" s="70">
        <f t="shared" si="110"/>
        <v>496.49004297845545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293.33333333333491</v>
      </c>
      <c r="S167" s="62">
        <f ca="1">AVERAGE(OFFSET($R$3,0,0,'Données projet'!$E$9+1,1))-AVERAGE(OFFSET($H$3,0,0,'Données projet'!$E$9+1,1))</f>
        <v>165.12229410621887</v>
      </c>
      <c r="T167" s="62">
        <f t="shared" si="142"/>
        <v>148.17171564653341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1.9895196601282805E-13</v>
      </c>
      <c r="AJ167" s="14">
        <f>AI167*VLOOKUP('Données projet'!$B$10,Paramètres!$A$1:$I$89,3,0)*VLOOKUP('Données projet'!$B$10,Paramètres!$A$1:$I$89,5,0)</f>
        <v>1.8001173884840681E-13</v>
      </c>
      <c r="AK167" s="14">
        <f t="shared" si="164"/>
        <v>2.5254331426407198E-12</v>
      </c>
      <c r="AL167" s="22">
        <f t="shared" si="165"/>
        <v>4.7119831685935622E-12</v>
      </c>
      <c r="AM167" s="62">
        <f t="shared" si="113"/>
        <v>293.33333333333803</v>
      </c>
      <c r="AN167" s="62">
        <f ca="1">AVERAGE(OFFSET($AM$3,0,0,'Données projet'!$E$10+1,1))-AVERAGE(OFFSET($H$3,0,0,'Données projet'!$E$10+1,1))</f>
        <v>249.03969036629979</v>
      </c>
      <c r="AO167" s="62">
        <f t="shared" si="144"/>
        <v>347.8713931923707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0.58682121077776328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0.58682121077776328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280.57175994295949</v>
      </c>
      <c r="BJ167" s="62">
        <f t="shared" si="146"/>
        <v>216.69635818716841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5.8873090177601381E-2</v>
      </c>
      <c r="BR167" s="23">
        <f>EXP(-LN(2)/2)*BR166+(1-EXP(-LN(2)/2))/(LN(2)/2)*BL167*BO167*VLOOKUP('Données projet'!$B$11,Paramètres!$A$1:$I$89,3,0)*0.475*44/12</f>
        <v>1.4317066338314935E-19</v>
      </c>
      <c r="BS167" s="24">
        <f t="shared" si="169"/>
        <v>5.8873090177601381E-2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-5.6843418860808015E-13</v>
      </c>
      <c r="BZ167" s="14">
        <f>BY167*VLOOKUP('Données projet'!$B$12,Paramètres!$A$1:$I$89,3,0)*VLOOKUP('Données projet'!$B$12,Paramètres!$A$1:$I$89,5,0)</f>
        <v>-2.8080648917239157E-13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426.64691649521097</v>
      </c>
      <c r="CE167" s="62">
        <f t="shared" si="148"/>
        <v>71.485487617222645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92.234999999999758</v>
      </c>
      <c r="D168" s="12">
        <f t="shared" si="140"/>
        <v>25.103481224148709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905.77073225658467</v>
      </c>
      <c r="H168" s="70">
        <f t="shared" si="110"/>
        <v>497.69785479872519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293.33333333333491</v>
      </c>
      <c r="S168" s="62">
        <f ca="1">AVERAGE(OFFSET($R$3,0,0,'Données projet'!$E$9+1,1))-AVERAGE(OFFSET($H$3,0,0,'Données projet'!$E$9+1,1))</f>
        <v>165.12229410621887</v>
      </c>
      <c r="T168" s="62">
        <f t="shared" si="142"/>
        <v>148.17171564653341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1.9895196601282805E-13</v>
      </c>
      <c r="AJ168" s="14">
        <f>AI168*VLOOKUP('Données projet'!$B$10,Paramètres!$A$1:$I$89,3,0)*VLOOKUP('Données projet'!$B$10,Paramètres!$A$1:$I$89,5,0)</f>
        <v>1.8001173884840681E-13</v>
      </c>
      <c r="AK168" s="14">
        <f t="shared" si="164"/>
        <v>2.5254331426407198E-12</v>
      </c>
      <c r="AL168" s="22">
        <f t="shared" si="165"/>
        <v>4.7119831685935622E-12</v>
      </c>
      <c r="AM168" s="62">
        <f t="shared" si="113"/>
        <v>293.33333333333803</v>
      </c>
      <c r="AN168" s="62">
        <f ca="1">AVERAGE(OFFSET($AM$3,0,0,'Données projet'!$E$10+1,1))-AVERAGE(OFFSET($H$3,0,0,'Données projet'!$E$10+1,1))</f>
        <v>249.03969036629979</v>
      </c>
      <c r="AO168" s="62">
        <f t="shared" si="144"/>
        <v>347.8713931923707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0.57531400476000771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0.57531400476000771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280.57175994295949</v>
      </c>
      <c r="BJ168" s="62">
        <f t="shared" si="146"/>
        <v>216.69635818716841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5.7263202430693612E-2</v>
      </c>
      <c r="BR168" s="23">
        <f>EXP(-LN(2)/2)*BR167+(1-EXP(-LN(2)/2))/(LN(2)/2)*BL168*BO168*VLOOKUP('Données projet'!$B$11,Paramètres!$A$1:$I$89,3,0)*0.475*44/12</f>
        <v>1.0123694694520144E-19</v>
      </c>
      <c r="BS168" s="24">
        <f t="shared" si="169"/>
        <v>5.7263202430693612E-2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-5.6843418860808015E-13</v>
      </c>
      <c r="BZ168" s="14">
        <f>BY168*VLOOKUP('Données projet'!$B$12,Paramètres!$A$1:$I$89,3,0)*VLOOKUP('Données projet'!$B$12,Paramètres!$A$1:$I$89,5,0)</f>
        <v>-2.8080648917239157E-13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426.64691649521097</v>
      </c>
      <c r="CE168" s="62">
        <f t="shared" si="148"/>
        <v>71.485487617222645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92.793999999999755</v>
      </c>
      <c r="D169" s="12">
        <f t="shared" si="140"/>
        <v>25.237866858098624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911.12318276426822</v>
      </c>
      <c r="H169" s="70">
        <f t="shared" si="110"/>
        <v>498.90550144452129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293.33333333333491</v>
      </c>
      <c r="S169" s="62">
        <f ca="1">AVERAGE(OFFSET($R$3,0,0,'Données projet'!$E$9+1,1))-AVERAGE(OFFSET($H$3,0,0,'Données projet'!$E$9+1,1))</f>
        <v>165.12229410621887</v>
      </c>
      <c r="T169" s="62">
        <f t="shared" si="142"/>
        <v>148.17171564653341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1.9895196601282805E-13</v>
      </c>
      <c r="AJ169" s="14">
        <f>AI169*VLOOKUP('Données projet'!$B$10,Paramètres!$A$1:$I$89,3,0)*VLOOKUP('Données projet'!$B$10,Paramètres!$A$1:$I$89,5,0)</f>
        <v>1.8001173884840681E-13</v>
      </c>
      <c r="AK169" s="14">
        <f t="shared" si="164"/>
        <v>2.5254331426407198E-12</v>
      </c>
      <c r="AL169" s="22">
        <f t="shared" si="165"/>
        <v>4.7119831685935622E-12</v>
      </c>
      <c r="AM169" s="62">
        <f t="shared" si="113"/>
        <v>293.33333333333803</v>
      </c>
      <c r="AN169" s="62">
        <f ca="1">AVERAGE(OFFSET($AM$3,0,0,'Données projet'!$E$10+1,1))-AVERAGE(OFFSET($H$3,0,0,'Données projet'!$E$10+1,1))</f>
        <v>249.03969036629979</v>
      </c>
      <c r="AO169" s="62">
        <f t="shared" si="144"/>
        <v>347.8713931923707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0.56403244803355768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0.56403244803355768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280.57175994295949</v>
      </c>
      <c r="BJ169" s="62">
        <f t="shared" si="146"/>
        <v>216.69635818716841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5.5697337148885355E-2</v>
      </c>
      <c r="BR169" s="23">
        <f>EXP(-LN(2)/2)*BR168+(1-EXP(-LN(2)/2))/(LN(2)/2)*BL169*BO169*VLOOKUP('Données projet'!$B$11,Paramètres!$A$1:$I$89,3,0)*0.475*44/12</f>
        <v>7.1585331691574673E-20</v>
      </c>
      <c r="BS169" s="24">
        <f t="shared" si="169"/>
        <v>5.5697337148885355E-2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-5.6843418860808015E-13</v>
      </c>
      <c r="BZ169" s="14">
        <f>BY169*VLOOKUP('Données projet'!$B$12,Paramètres!$A$1:$I$89,3,0)*VLOOKUP('Données projet'!$B$12,Paramètres!$A$1:$I$89,5,0)</f>
        <v>-2.8080648917239157E-13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426.64691649521097</v>
      </c>
      <c r="CE169" s="62">
        <f t="shared" si="148"/>
        <v>71.485487617222645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93.352999999999753</v>
      </c>
      <c r="D170" s="12">
        <f t="shared" si="140"/>
        <v>25.372158292621872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916.47490611848286</v>
      </c>
      <c r="H170" s="70">
        <f t="shared" si="110"/>
        <v>500.11298402631598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293.33333333333491</v>
      </c>
      <c r="S170" s="62">
        <f ca="1">AVERAGE(OFFSET($R$3,0,0,'Données projet'!$E$9+1,1))-AVERAGE(OFFSET($H$3,0,0,'Données projet'!$E$9+1,1))</f>
        <v>165.12229410621887</v>
      </c>
      <c r="T170" s="62">
        <f t="shared" si="142"/>
        <v>148.17171564653341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1.9895196601282805E-13</v>
      </c>
      <c r="AJ170" s="14">
        <f>AI170*VLOOKUP('Données projet'!$B$10,Paramètres!$A$1:$I$89,3,0)*VLOOKUP('Données projet'!$B$10,Paramètres!$A$1:$I$89,5,0)</f>
        <v>1.8001173884840681E-13</v>
      </c>
      <c r="AK170" s="14">
        <f t="shared" si="164"/>
        <v>2.5254331426407198E-12</v>
      </c>
      <c r="AL170" s="22">
        <f t="shared" si="165"/>
        <v>4.7119831685935622E-12</v>
      </c>
      <c r="AM170" s="62">
        <f t="shared" si="113"/>
        <v>293.33333333333803</v>
      </c>
      <c r="AN170" s="62">
        <f ca="1">AVERAGE(OFFSET($AM$3,0,0,'Données projet'!$E$10+1,1))-AVERAGE(OFFSET($H$3,0,0,'Données projet'!$E$10+1,1))</f>
        <v>249.03969036629979</v>
      </c>
      <c r="AO170" s="62">
        <f t="shared" si="144"/>
        <v>347.8713931923707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0.55297211575344318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0.55297211575344318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280.57175994295949</v>
      </c>
      <c r="BJ170" s="62">
        <f t="shared" si="146"/>
        <v>216.69635818716841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5.4174290535553421E-2</v>
      </c>
      <c r="BR170" s="23">
        <f>EXP(-LN(2)/2)*BR169+(1-EXP(-LN(2)/2))/(LN(2)/2)*BL170*BO170*VLOOKUP('Données projet'!$B$11,Paramètres!$A$1:$I$89,3,0)*0.475*44/12</f>
        <v>5.0618473472600719E-20</v>
      </c>
      <c r="BS170" s="24">
        <f t="shared" si="169"/>
        <v>5.4174290535553421E-2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-5.6843418860808015E-13</v>
      </c>
      <c r="BZ170" s="14">
        <f>BY170*VLOOKUP('Données projet'!$B$12,Paramètres!$A$1:$I$89,3,0)*VLOOKUP('Données projet'!$B$12,Paramètres!$A$1:$I$89,5,0)</f>
        <v>-2.8080648917239157E-13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426.64691649521097</v>
      </c>
      <c r="CE170" s="62">
        <f t="shared" si="148"/>
        <v>71.485487617222645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93.91199999999975</v>
      </c>
      <c r="D171" s="12">
        <f t="shared" si="140"/>
        <v>25.506356157232599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921.8259071786357</v>
      </c>
      <c r="H171" s="70">
        <f t="shared" si="110"/>
        <v>501.32030364051298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293.33333333333491</v>
      </c>
      <c r="S171" s="62">
        <f ca="1">AVERAGE(OFFSET($R$3,0,0,'Données projet'!$E$9+1,1))-AVERAGE(OFFSET($H$3,0,0,'Données projet'!$E$9+1,1))</f>
        <v>165.12229410621887</v>
      </c>
      <c r="T171" s="62">
        <f t="shared" si="142"/>
        <v>148.17171564653341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1.9895196601282805E-13</v>
      </c>
      <c r="AJ171" s="14">
        <f>AI171*VLOOKUP('Données projet'!$B$10,Paramètres!$A$1:$I$89,3,0)*VLOOKUP('Données projet'!$B$10,Paramètres!$A$1:$I$89,5,0)</f>
        <v>1.8001173884840681E-13</v>
      </c>
      <c r="AK171" s="14">
        <f t="shared" si="164"/>
        <v>2.5254331426407198E-12</v>
      </c>
      <c r="AL171" s="22">
        <f t="shared" si="165"/>
        <v>4.7119831685935622E-12</v>
      </c>
      <c r="AM171" s="62">
        <f t="shared" si="113"/>
        <v>293.33333333333803</v>
      </c>
      <c r="AN171" s="62">
        <f ca="1">AVERAGE(OFFSET($AM$3,0,0,'Données projet'!$E$10+1,1))-AVERAGE(OFFSET($H$3,0,0,'Données projet'!$E$10+1,1))</f>
        <v>249.03969036629979</v>
      </c>
      <c r="AO171" s="62">
        <f t="shared" si="144"/>
        <v>347.8713931923707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0.54212866984320518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0.54212866984320518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280.57175994295949</v>
      </c>
      <c r="BJ171" s="62">
        <f t="shared" si="146"/>
        <v>216.69635818716841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5.269289171195659E-2</v>
      </c>
      <c r="BR171" s="23">
        <f>EXP(-LN(2)/2)*BR170+(1-EXP(-LN(2)/2))/(LN(2)/2)*BL171*BO171*VLOOKUP('Données projet'!$B$11,Paramètres!$A$1:$I$89,3,0)*0.475*44/12</f>
        <v>3.5792665845787336E-20</v>
      </c>
      <c r="BS171" s="24">
        <f t="shared" si="169"/>
        <v>5.269289171195659E-2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-5.6843418860808015E-13</v>
      </c>
      <c r="BZ171" s="14">
        <f>BY171*VLOOKUP('Données projet'!$B$12,Paramètres!$A$1:$I$89,3,0)*VLOOKUP('Données projet'!$B$12,Paramètres!$A$1:$I$89,5,0)</f>
        <v>-2.8080648917239157E-13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426.64691649521097</v>
      </c>
      <c r="CE171" s="62">
        <f t="shared" si="148"/>
        <v>71.485487617222645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94.470999999999748</v>
      </c>
      <c r="D172" s="12">
        <f t="shared" si="140"/>
        <v>25.640461073517091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927.17619074293691</v>
      </c>
      <c r="H172" s="70">
        <f t="shared" si="110"/>
        <v>502.52746136970848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293.33333333333491</v>
      </c>
      <c r="S172" s="62">
        <f ca="1">AVERAGE(OFFSET($R$3,0,0,'Données projet'!$E$9+1,1))-AVERAGE(OFFSET($H$3,0,0,'Données projet'!$E$9+1,1))</f>
        <v>165.12229410621887</v>
      </c>
      <c r="T172" s="62">
        <f t="shared" si="142"/>
        <v>148.17171564653341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1.9895196601282805E-13</v>
      </c>
      <c r="AJ172" s="14">
        <f>AI172*VLOOKUP('Données projet'!$B$10,Paramètres!$A$1:$I$89,3,0)*VLOOKUP('Données projet'!$B$10,Paramètres!$A$1:$I$89,5,0)</f>
        <v>1.8001173884840681E-13</v>
      </c>
      <c r="AK172" s="14">
        <f t="shared" si="164"/>
        <v>2.5254331426407198E-12</v>
      </c>
      <c r="AL172" s="22">
        <f t="shared" si="165"/>
        <v>4.7119831685935622E-12</v>
      </c>
      <c r="AM172" s="62">
        <f t="shared" si="113"/>
        <v>293.33333333333803</v>
      </c>
      <c r="AN172" s="62">
        <f ca="1">AVERAGE(OFFSET($AM$3,0,0,'Données projet'!$E$10+1,1))-AVERAGE(OFFSET($H$3,0,0,'Données projet'!$E$10+1,1))</f>
        <v>249.03969036629979</v>
      </c>
      <c r="AO172" s="62">
        <f t="shared" si="144"/>
        <v>347.8713931923707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0.53149785729341803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0.53149785729341803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280.57175994295949</v>
      </c>
      <c r="BJ172" s="62">
        <f t="shared" si="146"/>
        <v>216.69635818716841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5.1252001817094391E-2</v>
      </c>
      <c r="BR172" s="23">
        <f>EXP(-LN(2)/2)*BR171+(1-EXP(-LN(2)/2))/(LN(2)/2)*BL172*BO172*VLOOKUP('Données projet'!$B$11,Paramètres!$A$1:$I$89,3,0)*0.475*44/12</f>
        <v>2.5309236736300359E-20</v>
      </c>
      <c r="BS172" s="24">
        <f t="shared" si="169"/>
        <v>5.1252001817094391E-2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-5.6843418860808015E-13</v>
      </c>
      <c r="BZ172" s="14">
        <f>BY172*VLOOKUP('Données projet'!$B$12,Paramètres!$A$1:$I$89,3,0)*VLOOKUP('Données projet'!$B$12,Paramètres!$A$1:$I$89,5,0)</f>
        <v>-2.8080648917239157E-13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426.64691649521097</v>
      </c>
      <c r="CE172" s="62">
        <f t="shared" si="148"/>
        <v>71.485487617222645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95.029999999999745</v>
      </c>
      <c r="D173" s="12">
        <f t="shared" si="140"/>
        <v>25.774473655280115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932.52576154952885</v>
      </c>
      <c r="H173" s="70">
        <f t="shared" si="110"/>
        <v>503.73445828294575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293.33333333333491</v>
      </c>
      <c r="S173" s="62">
        <f ca="1">AVERAGE(OFFSET($R$3,0,0,'Données projet'!$E$9+1,1))-AVERAGE(OFFSET($H$3,0,0,'Données projet'!$E$9+1,1))</f>
        <v>165.12229410621887</v>
      </c>
      <c r="T173" s="62">
        <f t="shared" si="142"/>
        <v>148.17171564653341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1.9895196601282805E-13</v>
      </c>
      <c r="AJ173" s="14">
        <f>AI173*VLOOKUP('Données projet'!$B$10,Paramètres!$A$1:$I$89,3,0)*VLOOKUP('Données projet'!$B$10,Paramètres!$A$1:$I$89,5,0)</f>
        <v>1.8001173884840681E-13</v>
      </c>
      <c r="AK173" s="14">
        <f t="shared" si="164"/>
        <v>2.5254331426407198E-12</v>
      </c>
      <c r="AL173" s="22">
        <f t="shared" si="165"/>
        <v>4.7119831685935622E-12</v>
      </c>
      <c r="AM173" s="62">
        <f t="shared" si="113"/>
        <v>293.33333333333803</v>
      </c>
      <c r="AN173" s="62">
        <f ca="1">AVERAGE(OFFSET($AM$3,0,0,'Données projet'!$E$10+1,1))-AVERAGE(OFFSET($H$3,0,0,'Données projet'!$E$10+1,1))</f>
        <v>249.03969036629979</v>
      </c>
      <c r="AO173" s="62">
        <f t="shared" si="144"/>
        <v>347.8713931923707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0.52107550849357676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0.52107550849357676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280.57175994295949</v>
      </c>
      <c r="BJ173" s="62">
        <f t="shared" si="146"/>
        <v>216.69635818716841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4.9850513132180307E-2</v>
      </c>
      <c r="BR173" s="23">
        <f>EXP(-LN(2)/2)*BR172+(1-EXP(-LN(2)/2))/(LN(2)/2)*BL173*BO173*VLOOKUP('Données projet'!$B$11,Paramètres!$A$1:$I$89,3,0)*0.475*44/12</f>
        <v>1.7896332922893668E-20</v>
      </c>
      <c r="BS173" s="24">
        <f t="shared" si="169"/>
        <v>4.9850513132180307E-2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-5.6843418860808015E-13</v>
      </c>
      <c r="BZ173" s="14">
        <f>BY173*VLOOKUP('Données projet'!$B$12,Paramètres!$A$1:$I$89,3,0)*VLOOKUP('Données projet'!$B$12,Paramètres!$A$1:$I$89,5,0)</f>
        <v>-2.8080648917239157E-13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426.64691649521097</v>
      </c>
      <c r="CE173" s="62">
        <f t="shared" si="148"/>
        <v>71.485487617222645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95.588999999999743</v>
      </c>
      <c r="D174" s="12">
        <f t="shared" si="140"/>
        <v>25.908394508687365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937.87462427758476</v>
      </c>
      <c r="H174" s="70">
        <f t="shared" si="110"/>
        <v>504.94129543596335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293.33333333333491</v>
      </c>
      <c r="S174" s="62">
        <f ca="1">AVERAGE(OFFSET($R$3,0,0,'Données projet'!$E$9+1,1))-AVERAGE(OFFSET($H$3,0,0,'Données projet'!$E$9+1,1))</f>
        <v>165.12229410621887</v>
      </c>
      <c r="T174" s="62">
        <f t="shared" si="142"/>
        <v>148.17171564653341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1.9895196601282805E-13</v>
      </c>
      <c r="AJ174" s="14">
        <f>AI174*VLOOKUP('Données projet'!$B$10,Paramètres!$A$1:$I$89,3,0)*VLOOKUP('Données projet'!$B$10,Paramètres!$A$1:$I$89,5,0)</f>
        <v>1.8001173884840681E-13</v>
      </c>
      <c r="AK174" s="14">
        <f t="shared" si="164"/>
        <v>2.5254331426407198E-12</v>
      </c>
      <c r="AL174" s="22">
        <f t="shared" si="165"/>
        <v>4.7119831685935622E-12</v>
      </c>
      <c r="AM174" s="62">
        <f t="shared" si="113"/>
        <v>293.33333333333803</v>
      </c>
      <c r="AN174" s="62">
        <f ca="1">AVERAGE(OFFSET($AM$3,0,0,'Données projet'!$E$10+1,1))-AVERAGE(OFFSET($H$3,0,0,'Données projet'!$E$10+1,1))</f>
        <v>249.03969036629979</v>
      </c>
      <c r="AO174" s="62">
        <f t="shared" si="144"/>
        <v>347.8713931923707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0.51085753559669533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0.51085753559669533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280.57175994295949</v>
      </c>
      <c r="BJ174" s="62">
        <f t="shared" si="146"/>
        <v>216.69635818716841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4.8487348229056287E-2</v>
      </c>
      <c r="BR174" s="23">
        <f>EXP(-LN(2)/2)*BR173+(1-EXP(-LN(2)/2))/(LN(2)/2)*BL174*BO174*VLOOKUP('Données projet'!$B$11,Paramètres!$A$1:$I$89,3,0)*0.475*44/12</f>
        <v>1.265461836815018E-20</v>
      </c>
      <c r="BS174" s="24">
        <f t="shared" si="169"/>
        <v>4.8487348229056287E-2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-5.6843418860808015E-13</v>
      </c>
      <c r="BZ174" s="14">
        <f>BY174*VLOOKUP('Données projet'!$B$12,Paramètres!$A$1:$I$89,3,0)*VLOOKUP('Données projet'!$B$12,Paramètres!$A$1:$I$89,5,0)</f>
        <v>-2.8080648917239157E-13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426.64691649521097</v>
      </c>
      <c r="CE174" s="62">
        <f t="shared" si="148"/>
        <v>71.485487617222645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96.14799999999974</v>
      </c>
      <c r="D175" s="12">
        <f t="shared" si="140"/>
        <v>26.042224232404703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943.22278354838511</v>
      </c>
      <c r="H175" s="70">
        <f t="shared" si="110"/>
        <v>506.14797387143773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293.33333333333491</v>
      </c>
      <c r="S175" s="62">
        <f ca="1">AVERAGE(OFFSET($R$3,0,0,'Données projet'!$E$9+1,1))-AVERAGE(OFFSET($H$3,0,0,'Données projet'!$E$9+1,1))</f>
        <v>165.12229410621887</v>
      </c>
      <c r="T175" s="62">
        <f t="shared" si="142"/>
        <v>148.17171564653341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1.9895196601282805E-13</v>
      </c>
      <c r="AJ175" s="14">
        <f>AI175*VLOOKUP('Données projet'!$B$10,Paramètres!$A$1:$I$89,3,0)*VLOOKUP('Données projet'!$B$10,Paramètres!$A$1:$I$89,5,0)</f>
        <v>1.8001173884840681E-13</v>
      </c>
      <c r="AK175" s="14">
        <f t="shared" si="164"/>
        <v>2.5254331426407198E-12</v>
      </c>
      <c r="AL175" s="22">
        <f t="shared" si="165"/>
        <v>4.7119831685935622E-12</v>
      </c>
      <c r="AM175" s="62">
        <f t="shared" si="113"/>
        <v>293.33333333333803</v>
      </c>
      <c r="AN175" s="62">
        <f ca="1">AVERAGE(OFFSET($AM$3,0,0,'Données projet'!$E$10+1,1))-AVERAGE(OFFSET($H$3,0,0,'Données projet'!$E$10+1,1))</f>
        <v>249.03969036629979</v>
      </c>
      <c r="AO175" s="62">
        <f t="shared" si="144"/>
        <v>347.8713931923707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0.50083993091597367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0.50083993091597367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280.57175994295949</v>
      </c>
      <c r="BJ175" s="62">
        <f t="shared" si="146"/>
        <v>216.69635818716841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4.7161459141893916E-2</v>
      </c>
      <c r="BR175" s="23">
        <f>EXP(-LN(2)/2)*BR174+(1-EXP(-LN(2)/2))/(LN(2)/2)*BL175*BO175*VLOOKUP('Données projet'!$B$11,Paramètres!$A$1:$I$89,3,0)*0.475*44/12</f>
        <v>8.9481664614468341E-21</v>
      </c>
      <c r="BS175" s="24">
        <f t="shared" si="169"/>
        <v>4.7161459141893916E-2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-5.6843418860808015E-13</v>
      </c>
      <c r="BZ175" s="14">
        <f>BY175*VLOOKUP('Données projet'!$B$12,Paramètres!$A$1:$I$89,3,0)*VLOOKUP('Données projet'!$B$12,Paramètres!$A$1:$I$89,5,0)</f>
        <v>-2.8080648917239157E-13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426.64691649521097</v>
      </c>
      <c r="CE175" s="62">
        <f t="shared" si="148"/>
        <v>71.485487617222645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96.706999999999738</v>
      </c>
      <c r="D176" s="12">
        <f t="shared" si="140"/>
        <v>26.175963417733936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948.57024392636515</v>
      </c>
      <c r="H176" s="70">
        <f t="shared" si="110"/>
        <v>507.35449461921945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293.33333333333491</v>
      </c>
      <c r="S176" s="62">
        <f ca="1">AVERAGE(OFFSET($R$3,0,0,'Données projet'!$E$9+1,1))-AVERAGE(OFFSET($H$3,0,0,'Données projet'!$E$9+1,1))</f>
        <v>165.12229410621887</v>
      </c>
      <c r="T176" s="62">
        <f t="shared" si="142"/>
        <v>148.17171564653341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1.9895196601282805E-13</v>
      </c>
      <c r="AJ176" s="14">
        <f>AI176*VLOOKUP('Données projet'!$B$10,Paramètres!$A$1:$I$89,3,0)*VLOOKUP('Données projet'!$B$10,Paramètres!$A$1:$I$89,5,0)</f>
        <v>1.8001173884840681E-13</v>
      </c>
      <c r="AK176" s="14">
        <f t="shared" si="164"/>
        <v>2.5254331426407198E-12</v>
      </c>
      <c r="AL176" s="22">
        <f t="shared" si="165"/>
        <v>4.7119831685935622E-12</v>
      </c>
      <c r="AM176" s="62">
        <f t="shared" si="113"/>
        <v>293.33333333333803</v>
      </c>
      <c r="AN176" s="62">
        <f ca="1">AVERAGE(OFFSET($AM$3,0,0,'Données projet'!$E$10+1,1))-AVERAGE(OFFSET($H$3,0,0,'Données projet'!$E$10+1,1))</f>
        <v>249.03969036629979</v>
      </c>
      <c r="AO176" s="62">
        <f t="shared" si="144"/>
        <v>347.8713931923707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0.49101876535290545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0.49101876535290545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280.57175994295949</v>
      </c>
      <c r="BJ176" s="62">
        <f t="shared" si="146"/>
        <v>216.69635818716841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4.5871826561545481E-2</v>
      </c>
      <c r="BR176" s="23">
        <f>EXP(-LN(2)/2)*BR175+(1-EXP(-LN(2)/2))/(LN(2)/2)*BL176*BO176*VLOOKUP('Données projet'!$B$11,Paramètres!$A$1:$I$89,3,0)*0.475*44/12</f>
        <v>6.3273091840750898E-21</v>
      </c>
      <c r="BS176" s="24">
        <f t="shared" si="169"/>
        <v>4.5871826561545481E-2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-5.6843418860808015E-13</v>
      </c>
      <c r="BZ176" s="14">
        <f>BY176*VLOOKUP('Données projet'!$B$12,Paramètres!$A$1:$I$89,3,0)*VLOOKUP('Données projet'!$B$12,Paramètres!$A$1:$I$89,5,0)</f>
        <v>-2.8080648917239157E-13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426.64691649521097</v>
      </c>
      <c r="CE176" s="62">
        <f t="shared" si="148"/>
        <v>71.485487617222645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97.265999999999735</v>
      </c>
      <c r="D177" s="12">
        <f t="shared" si="140"/>
        <v>26.30961264874556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953.91700992013909</v>
      </c>
      <c r="H177" s="70">
        <f t="shared" si="110"/>
        <v>508.56085869656471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293.33333333333491</v>
      </c>
      <c r="S177" s="62">
        <f ca="1">AVERAGE(OFFSET($R$3,0,0,'Données projet'!$E$9+1,1))-AVERAGE(OFFSET($H$3,0,0,'Données projet'!$E$9+1,1))</f>
        <v>165.12229410621887</v>
      </c>
      <c r="T177" s="62">
        <f t="shared" si="142"/>
        <v>148.17171564653341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1.9895196601282805E-13</v>
      </c>
      <c r="AJ177" s="14">
        <f>AI177*VLOOKUP('Données projet'!$B$10,Paramètres!$A$1:$I$89,3,0)*VLOOKUP('Données projet'!$B$10,Paramètres!$A$1:$I$89,5,0)</f>
        <v>1.8001173884840681E-13</v>
      </c>
      <c r="AK177" s="14">
        <f t="shared" si="164"/>
        <v>2.5254331426407198E-12</v>
      </c>
      <c r="AL177" s="22">
        <f t="shared" si="165"/>
        <v>4.7119831685935622E-12</v>
      </c>
      <c r="AM177" s="62">
        <f t="shared" si="113"/>
        <v>293.33333333333803</v>
      </c>
      <c r="AN177" s="62">
        <f ca="1">AVERAGE(OFFSET($AM$3,0,0,'Données projet'!$E$10+1,1))-AVERAGE(OFFSET($H$3,0,0,'Données projet'!$E$10+1,1))</f>
        <v>249.03969036629979</v>
      </c>
      <c r="AO177" s="62">
        <f t="shared" si="144"/>
        <v>347.8713931923707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0.48139018685620949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0.48139018685620949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280.57175994295949</v>
      </c>
      <c r="BJ177" s="62">
        <f t="shared" si="146"/>
        <v>216.69635818716841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4.4617459051925504E-2</v>
      </c>
      <c r="BR177" s="23">
        <f>EXP(-LN(2)/2)*BR176+(1-EXP(-LN(2)/2))/(LN(2)/2)*BL177*BO177*VLOOKUP('Données projet'!$B$11,Paramètres!$A$1:$I$89,3,0)*0.475*44/12</f>
        <v>4.4740832307234171E-21</v>
      </c>
      <c r="BS177" s="24">
        <f t="shared" si="169"/>
        <v>4.4617459051925504E-2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-5.6843418860808015E-13</v>
      </c>
      <c r="BZ177" s="14">
        <f>BY177*VLOOKUP('Données projet'!$B$12,Paramètres!$A$1:$I$89,3,0)*VLOOKUP('Données projet'!$B$12,Paramètres!$A$1:$I$89,5,0)</f>
        <v>-2.8080648917239157E-13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426.64691649521097</v>
      </c>
      <c r="CE177" s="62">
        <f t="shared" si="148"/>
        <v>71.485487617222645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97.824999999999733</v>
      </c>
      <c r="D178" s="12">
        <f t="shared" si="140"/>
        <v>26.443172502408078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959.26308598349897</v>
      </c>
      <c r="H178" s="70">
        <f t="shared" si="110"/>
        <v>509.76706710836027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293.33333333333491</v>
      </c>
      <c r="S178" s="62">
        <f ca="1">AVERAGE(OFFSET($R$3,0,0,'Données projet'!$E$9+1,1))-AVERAGE(OFFSET($H$3,0,0,'Données projet'!$E$9+1,1))</f>
        <v>165.12229410621887</v>
      </c>
      <c r="T178" s="62">
        <f t="shared" si="142"/>
        <v>148.17171564653341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1.9895196601282805E-13</v>
      </c>
      <c r="AJ178" s="14">
        <f>AI178*VLOOKUP('Données projet'!$B$10,Paramètres!$A$1:$I$89,3,0)*VLOOKUP('Données projet'!$B$10,Paramètres!$A$1:$I$89,5,0)</f>
        <v>1.8001173884840681E-13</v>
      </c>
      <c r="AK178" s="14">
        <f t="shared" si="164"/>
        <v>2.5254331426407198E-12</v>
      </c>
      <c r="AL178" s="22">
        <f t="shared" si="165"/>
        <v>4.7119831685935622E-12</v>
      </c>
      <c r="AM178" s="62">
        <f t="shared" si="113"/>
        <v>293.33333333333803</v>
      </c>
      <c r="AN178" s="62">
        <f ca="1">AVERAGE(OFFSET($AM$3,0,0,'Données projet'!$E$10+1,1))-AVERAGE(OFFSET($H$3,0,0,'Données projet'!$E$10+1,1))</f>
        <v>249.03969036629979</v>
      </c>
      <c r="AO178" s="62">
        <f t="shared" si="144"/>
        <v>347.8713931923707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0.47195041891098072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0.47195041891098072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280.57175994295949</v>
      </c>
      <c r="BJ178" s="62">
        <f t="shared" si="146"/>
        <v>216.69635818716841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4.3397392287820406E-2</v>
      </c>
      <c r="BR178" s="23">
        <f>EXP(-LN(2)/2)*BR177+(1-EXP(-LN(2)/2))/(LN(2)/2)*BL178*BO178*VLOOKUP('Données projet'!$B$11,Paramètres!$A$1:$I$89,3,0)*0.475*44/12</f>
        <v>3.1636545920375449E-21</v>
      </c>
      <c r="BS178" s="24">
        <f t="shared" si="169"/>
        <v>4.3397392287820406E-2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-5.6843418860808015E-13</v>
      </c>
      <c r="BZ178" s="14">
        <f>BY178*VLOOKUP('Données projet'!$B$12,Paramètres!$A$1:$I$89,3,0)*VLOOKUP('Données projet'!$B$12,Paramètres!$A$1:$I$89,5,0)</f>
        <v>-2.8080648917239157E-13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426.64691649521097</v>
      </c>
      <c r="CE178" s="62">
        <f t="shared" si="148"/>
        <v>71.485487617222645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98.38399999999973</v>
      </c>
      <c r="D179" s="12">
        <f t="shared" si="140"/>
        <v>26.576643548714546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964.60847651639085</v>
      </c>
      <c r="H179" s="70">
        <f t="shared" si="110"/>
        <v>510.97312084734403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293.33333333333491</v>
      </c>
      <c r="S179" s="62">
        <f ca="1">AVERAGE(OFFSET($R$3,0,0,'Données projet'!$E$9+1,1))-AVERAGE(OFFSET($H$3,0,0,'Données projet'!$E$9+1,1))</f>
        <v>165.12229410621887</v>
      </c>
      <c r="T179" s="62">
        <f t="shared" si="142"/>
        <v>148.17171564653341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1.9895196601282805E-13</v>
      </c>
      <c r="AJ179" s="14">
        <f>AI179*VLOOKUP('Données projet'!$B$10,Paramètres!$A$1:$I$89,3,0)*VLOOKUP('Données projet'!$B$10,Paramètres!$A$1:$I$89,5,0)</f>
        <v>1.8001173884840681E-13</v>
      </c>
      <c r="AK179" s="14">
        <f t="shared" si="164"/>
        <v>2.5254331426407198E-12</v>
      </c>
      <c r="AL179" s="22">
        <f t="shared" si="165"/>
        <v>4.7119831685935622E-12</v>
      </c>
      <c r="AM179" s="62">
        <f t="shared" si="113"/>
        <v>293.33333333333803</v>
      </c>
      <c r="AN179" s="62">
        <f ca="1">AVERAGE(OFFSET($AM$3,0,0,'Données projet'!$E$10+1,1))-AVERAGE(OFFSET($H$3,0,0,'Données projet'!$E$10+1,1))</f>
        <v>249.03969036629979</v>
      </c>
      <c r="AO179" s="62">
        <f t="shared" si="144"/>
        <v>347.8713931923707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0.46269575905746796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0.46269575905746796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280.57175994295949</v>
      </c>
      <c r="BJ179" s="62">
        <f t="shared" si="146"/>
        <v>216.69635818716841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4.221068831354028E-2</v>
      </c>
      <c r="BR179" s="23">
        <f>EXP(-LN(2)/2)*BR178+(1-EXP(-LN(2)/2))/(LN(2)/2)*BL179*BO179*VLOOKUP('Données projet'!$B$11,Paramètres!$A$1:$I$89,3,0)*0.475*44/12</f>
        <v>2.2370416153617085E-21</v>
      </c>
      <c r="BS179" s="24">
        <f t="shared" si="169"/>
        <v>4.221068831354028E-2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-5.6843418860808015E-13</v>
      </c>
      <c r="BZ179" s="14">
        <f>BY179*VLOOKUP('Données projet'!$B$12,Paramètres!$A$1:$I$89,3,0)*VLOOKUP('Données projet'!$B$12,Paramètres!$A$1:$I$89,5,0)</f>
        <v>-2.8080648917239157E-13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426.64691649521097</v>
      </c>
      <c r="CE179" s="62">
        <f t="shared" si="148"/>
        <v>71.485487617222645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98.942999999999728</v>
      </c>
      <c r="D180" s="12">
        <f t="shared" si="140"/>
        <v>26.71002635080605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969.95318586586916</v>
      </c>
      <c r="H180" s="70">
        <f t="shared" si="110"/>
        <v>512.17902089432005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293.33333333333491</v>
      </c>
      <c r="S180" s="62">
        <f ca="1">AVERAGE(OFFSET($R$3,0,0,'Données projet'!$E$9+1,1))-AVERAGE(OFFSET($H$3,0,0,'Données projet'!$E$9+1,1))</f>
        <v>165.12229410621887</v>
      </c>
      <c r="T180" s="62">
        <f t="shared" si="142"/>
        <v>148.17171564653341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1.9895196601282805E-13</v>
      </c>
      <c r="AJ180" s="14">
        <f>AI180*VLOOKUP('Données projet'!$B$10,Paramètres!$A$1:$I$89,3,0)*VLOOKUP('Données projet'!$B$10,Paramètres!$A$1:$I$89,5,0)</f>
        <v>1.8001173884840681E-13</v>
      </c>
      <c r="AK180" s="14">
        <f t="shared" si="164"/>
        <v>2.5254331426407198E-12</v>
      </c>
      <c r="AL180" s="22">
        <f t="shared" si="165"/>
        <v>4.7119831685935622E-12</v>
      </c>
      <c r="AM180" s="62">
        <f t="shared" si="113"/>
        <v>293.33333333333803</v>
      </c>
      <c r="AN180" s="62">
        <f ca="1">AVERAGE(OFFSET($AM$3,0,0,'Données projet'!$E$10+1,1))-AVERAGE(OFFSET($H$3,0,0,'Données projet'!$E$10+1,1))</f>
        <v>249.03969036629979</v>
      </c>
      <c r="AO180" s="62">
        <f t="shared" si="144"/>
        <v>347.8713931923707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0.45362257743889745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0.45362257743889745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280.57175994295949</v>
      </c>
      <c r="BJ180" s="62">
        <f t="shared" si="146"/>
        <v>216.69635818716841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4.1056434821842895E-2</v>
      </c>
      <c r="BR180" s="23">
        <f>EXP(-LN(2)/2)*BR179+(1-EXP(-LN(2)/2))/(LN(2)/2)*BL180*BO180*VLOOKUP('Données projet'!$B$11,Paramètres!$A$1:$I$89,3,0)*0.475*44/12</f>
        <v>1.5818272960187725E-21</v>
      </c>
      <c r="BS180" s="24">
        <f t="shared" si="169"/>
        <v>4.1056434821842895E-2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-5.6843418860808015E-13</v>
      </c>
      <c r="BZ180" s="14">
        <f>BY180*VLOOKUP('Données projet'!$B$12,Paramètres!$A$1:$I$89,3,0)*VLOOKUP('Données projet'!$B$12,Paramètres!$A$1:$I$89,5,0)</f>
        <v>-2.8080648917239157E-13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426.64691649521097</v>
      </c>
      <c r="CE180" s="62">
        <f t="shared" si="148"/>
        <v>71.485487617222645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99.501999999999725</v>
      </c>
      <c r="D181" s="12">
        <f t="shared" si="140"/>
        <v>26.843321465092171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975.29721832702523</v>
      </c>
      <c r="H181" s="70">
        <f t="shared" si="110"/>
        <v>513.38476821836844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293.33333333333491</v>
      </c>
      <c r="S181" s="62">
        <f ca="1">AVERAGE(OFFSET($R$3,0,0,'Données projet'!$E$9+1,1))-AVERAGE(OFFSET($H$3,0,0,'Données projet'!$E$9+1,1))</f>
        <v>165.12229410621887</v>
      </c>
      <c r="T181" s="62">
        <f t="shared" si="142"/>
        <v>148.17171564653341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1.9895196601282805E-13</v>
      </c>
      <c r="AJ181" s="14">
        <f>AI181*VLOOKUP('Données projet'!$B$10,Paramètres!$A$1:$I$89,3,0)*VLOOKUP('Données projet'!$B$10,Paramètres!$A$1:$I$89,5,0)</f>
        <v>1.8001173884840681E-13</v>
      </c>
      <c r="AK181" s="14">
        <f t="shared" si="164"/>
        <v>2.5254331426407198E-12</v>
      </c>
      <c r="AL181" s="22">
        <f t="shared" si="165"/>
        <v>4.7119831685935622E-12</v>
      </c>
      <c r="AM181" s="62">
        <f t="shared" si="113"/>
        <v>293.33333333333803</v>
      </c>
      <c r="AN181" s="62">
        <f ca="1">AVERAGE(OFFSET($AM$3,0,0,'Données projet'!$E$10+1,1))-AVERAGE(OFFSET($H$3,0,0,'Données projet'!$E$10+1,1))</f>
        <v>249.03969036629979</v>
      </c>
      <c r="AO181" s="62">
        <f t="shared" si="144"/>
        <v>347.8713931923707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0.44472731537777277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0.44472731537777277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280.57175994295949</v>
      </c>
      <c r="BJ181" s="62">
        <f t="shared" si="146"/>
        <v>216.69635818716841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3.9933744452575533E-2</v>
      </c>
      <c r="BR181" s="23">
        <f>EXP(-LN(2)/2)*BR180+(1-EXP(-LN(2)/2))/(LN(2)/2)*BL181*BO181*VLOOKUP('Données projet'!$B$11,Paramètres!$A$1:$I$89,3,0)*0.475*44/12</f>
        <v>1.1185208076808543E-21</v>
      </c>
      <c r="BS181" s="24">
        <f t="shared" si="169"/>
        <v>3.9933744452575533E-2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-5.6843418860808015E-13</v>
      </c>
      <c r="BZ181" s="14">
        <f>BY181*VLOOKUP('Données projet'!$B$12,Paramètres!$A$1:$I$89,3,0)*VLOOKUP('Données projet'!$B$12,Paramètres!$A$1:$I$89,5,0)</f>
        <v>-2.8080648917239157E-13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426.64691649521097</v>
      </c>
      <c r="CE181" s="62">
        <f t="shared" si="148"/>
        <v>71.485487617222645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100.06099999999972</v>
      </c>
      <c r="D182" s="12">
        <f t="shared" si="140"/>
        <v>26.976529441368999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980.64057814389889</v>
      </c>
      <c r="H182" s="70">
        <f t="shared" si="110"/>
        <v>514.59036377705047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293.33333333333491</v>
      </c>
      <c r="S182" s="62">
        <f ca="1">AVERAGE(OFFSET($R$3,0,0,'Données projet'!$E$9+1,1))-AVERAGE(OFFSET($H$3,0,0,'Données projet'!$E$9+1,1))</f>
        <v>165.12229410621887</v>
      </c>
      <c r="T182" s="62">
        <f t="shared" si="142"/>
        <v>148.17171564653341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1.9895196601282805E-13</v>
      </c>
      <c r="AJ182" s="14">
        <f>AI182*VLOOKUP('Données projet'!$B$10,Paramètres!$A$1:$I$89,3,0)*VLOOKUP('Données projet'!$B$10,Paramètres!$A$1:$I$89,5,0)</f>
        <v>1.8001173884840681E-13</v>
      </c>
      <c r="AK182" s="14">
        <f t="shared" si="164"/>
        <v>2.5254331426407198E-12</v>
      </c>
      <c r="AL182" s="22">
        <f t="shared" si="165"/>
        <v>4.7119831685935622E-12</v>
      </c>
      <c r="AM182" s="62">
        <f t="shared" si="113"/>
        <v>293.33333333333803</v>
      </c>
      <c r="AN182" s="62">
        <f ca="1">AVERAGE(OFFSET($AM$3,0,0,'Données projet'!$E$10+1,1))-AVERAGE(OFFSET($H$3,0,0,'Données projet'!$E$10+1,1))</f>
        <v>249.03969036629979</v>
      </c>
      <c r="AO182" s="62">
        <f t="shared" si="144"/>
        <v>347.8713931923707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0.43600648398009262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0.43600648398009262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280.57175994295949</v>
      </c>
      <c r="BJ182" s="62">
        <f t="shared" si="146"/>
        <v>216.69635818716841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3.8841754110495501E-2</v>
      </c>
      <c r="BR182" s="23">
        <f>EXP(-LN(2)/2)*BR181+(1-EXP(-LN(2)/2))/(LN(2)/2)*BL182*BO182*VLOOKUP('Données projet'!$B$11,Paramètres!$A$1:$I$89,3,0)*0.475*44/12</f>
        <v>7.9091364800938623E-22</v>
      </c>
      <c r="BS182" s="24">
        <f t="shared" si="169"/>
        <v>3.8841754110495501E-2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-5.6843418860808015E-13</v>
      </c>
      <c r="BZ182" s="14">
        <f>BY182*VLOOKUP('Données projet'!$B$12,Paramètres!$A$1:$I$89,3,0)*VLOOKUP('Données projet'!$B$12,Paramètres!$A$1:$I$89,5,0)</f>
        <v>-2.8080648917239157E-13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426.64691649521097</v>
      </c>
      <c r="CE182" s="62">
        <f t="shared" si="148"/>
        <v>71.485487617222645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100.61999999999972</v>
      </c>
      <c r="D183" s="12">
        <f t="shared" si="140"/>
        <v>27.109650822934078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985.98326951036631</v>
      </c>
      <c r="H183" s="70">
        <f t="shared" si="110"/>
        <v>515.79580851660967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293.33333333333491</v>
      </c>
      <c r="S183" s="62">
        <f ca="1">AVERAGE(OFFSET($R$3,0,0,'Données projet'!$E$9+1,1))-AVERAGE(OFFSET($H$3,0,0,'Données projet'!$E$9+1,1))</f>
        <v>165.12229410621887</v>
      </c>
      <c r="T183" s="62">
        <f t="shared" si="142"/>
        <v>148.17171564653341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1.9895196601282805E-13</v>
      </c>
      <c r="AJ183" s="14">
        <f>AI183*VLOOKUP('Données projet'!$B$10,Paramètres!$A$1:$I$89,3,0)*VLOOKUP('Données projet'!$B$10,Paramètres!$A$1:$I$89,5,0)</f>
        <v>1.8001173884840681E-13</v>
      </c>
      <c r="AK183" s="14">
        <f t="shared" si="164"/>
        <v>2.5254331426407198E-12</v>
      </c>
      <c r="AL183" s="22">
        <f t="shared" si="165"/>
        <v>4.7119831685935622E-12</v>
      </c>
      <c r="AM183" s="62">
        <f t="shared" si="113"/>
        <v>293.33333333333803</v>
      </c>
      <c r="AN183" s="62">
        <f ca="1">AVERAGE(OFFSET($AM$3,0,0,'Données projet'!$E$10+1,1))-AVERAGE(OFFSET($H$3,0,0,'Données projet'!$E$10+1,1))</f>
        <v>249.03969036629979</v>
      </c>
      <c r="AO183" s="62">
        <f t="shared" si="144"/>
        <v>347.8713931923707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0.42745666276693906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0.42745666276693906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280.57175994295949</v>
      </c>
      <c r="BJ183" s="62">
        <f t="shared" si="146"/>
        <v>216.69635818716841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3.7779624301744925E-2</v>
      </c>
      <c r="BR183" s="23">
        <f>EXP(-LN(2)/2)*BR182+(1-EXP(-LN(2)/2))/(LN(2)/2)*BL183*BO183*VLOOKUP('Données projet'!$B$11,Paramètres!$A$1:$I$89,3,0)*0.475*44/12</f>
        <v>5.5926040384042713E-22</v>
      </c>
      <c r="BS183" s="24">
        <f t="shared" si="169"/>
        <v>3.7779624301744925E-2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-5.6843418860808015E-13</v>
      </c>
      <c r="BZ183" s="14">
        <f>BY183*VLOOKUP('Données projet'!$B$12,Paramètres!$A$1:$I$89,3,0)*VLOOKUP('Données projet'!$B$12,Paramètres!$A$1:$I$89,5,0)</f>
        <v>-2.8080648917239157E-13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426.64691649521097</v>
      </c>
      <c r="CE183" s="62">
        <f t="shared" si="148"/>
        <v>71.485487617222645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101.17899999999972</v>
      </c>
      <c r="D184" s="12">
        <f t="shared" si="140"/>
        <v>27.242686146698961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991.32529657100747</v>
      </c>
      <c r="H184" s="70">
        <f t="shared" si="110"/>
        <v>517.00110337216688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293.33333333333491</v>
      </c>
      <c r="S184" s="62">
        <f ca="1">AVERAGE(OFFSET($R$3,0,0,'Données projet'!$E$9+1,1))-AVERAGE(OFFSET($H$3,0,0,'Données projet'!$E$9+1,1))</f>
        <v>165.12229410621887</v>
      </c>
      <c r="T184" s="62">
        <f t="shared" si="142"/>
        <v>148.17171564653341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1.9895196601282805E-13</v>
      </c>
      <c r="AJ184" s="14">
        <f>AI184*VLOOKUP('Données projet'!$B$10,Paramètres!$A$1:$I$89,3,0)*VLOOKUP('Données projet'!$B$10,Paramètres!$A$1:$I$89,5,0)</f>
        <v>1.8001173884840681E-13</v>
      </c>
      <c r="AK184" s="14">
        <f t="shared" si="164"/>
        <v>2.5254331426407198E-12</v>
      </c>
      <c r="AL184" s="22">
        <f t="shared" si="165"/>
        <v>4.7119831685935622E-12</v>
      </c>
      <c r="AM184" s="62">
        <f t="shared" si="113"/>
        <v>293.33333333333803</v>
      </c>
      <c r="AN184" s="62">
        <f ca="1">AVERAGE(OFFSET($AM$3,0,0,'Données projet'!$E$10+1,1))-AVERAGE(OFFSET($H$3,0,0,'Données projet'!$E$10+1,1))</f>
        <v>249.03969036629979</v>
      </c>
      <c r="AO184" s="62">
        <f t="shared" si="144"/>
        <v>347.8713931923707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0.41907449833289945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0.41907449833289945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280.57175994295949</v>
      </c>
      <c r="BJ184" s="62">
        <f t="shared" si="146"/>
        <v>216.69635818716841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3.6746538488469614E-2</v>
      </c>
      <c r="BR184" s="23">
        <f>EXP(-LN(2)/2)*BR183+(1-EXP(-LN(2)/2))/(LN(2)/2)*BL184*BO184*VLOOKUP('Données projet'!$B$11,Paramètres!$A$1:$I$89,3,0)*0.475*44/12</f>
        <v>3.9545682400469311E-22</v>
      </c>
      <c r="BS184" s="24">
        <f t="shared" si="169"/>
        <v>3.6746538488469614E-2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-5.6843418860808015E-13</v>
      </c>
      <c r="BZ184" s="14">
        <f>BY184*VLOOKUP('Données projet'!$B$12,Paramètres!$A$1:$I$89,3,0)*VLOOKUP('Données projet'!$B$12,Paramètres!$A$1:$I$89,5,0)</f>
        <v>-2.8080648917239157E-13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426.64691649521097</v>
      </c>
      <c r="CE184" s="62">
        <f t="shared" si="148"/>
        <v>71.485487617222645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101.73799999999972</v>
      </c>
      <c r="D185" s="12">
        <f t="shared" si="140"/>
        <v>27.37563594329918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996.66666342195651</v>
      </c>
      <c r="H185" s="70">
        <f t="shared" si="110"/>
        <v>518.2062492679122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293.33333333333491</v>
      </c>
      <c r="S185" s="62">
        <f ca="1">AVERAGE(OFFSET($R$3,0,0,'Données projet'!$E$9+1,1))-AVERAGE(OFFSET($H$3,0,0,'Données projet'!$E$9+1,1))</f>
        <v>165.12229410621887</v>
      </c>
      <c r="T185" s="62">
        <f t="shared" si="142"/>
        <v>148.17171564653341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1.9895196601282805E-13</v>
      </c>
      <c r="AJ185" s="14">
        <f>AI185*VLOOKUP('Données projet'!$B$10,Paramètres!$A$1:$I$89,3,0)*VLOOKUP('Données projet'!$B$10,Paramètres!$A$1:$I$89,5,0)</f>
        <v>1.8001173884840681E-13</v>
      </c>
      <c r="AK185" s="14">
        <f t="shared" si="164"/>
        <v>2.5254331426407198E-12</v>
      </c>
      <c r="AL185" s="22">
        <f t="shared" si="165"/>
        <v>4.7119831685935622E-12</v>
      </c>
      <c r="AM185" s="62">
        <f t="shared" si="113"/>
        <v>293.33333333333803</v>
      </c>
      <c r="AN185" s="62">
        <f ca="1">AVERAGE(OFFSET($AM$3,0,0,'Données projet'!$E$10+1,1))-AVERAGE(OFFSET($H$3,0,0,'Données projet'!$E$10+1,1))</f>
        <v>249.03969036629979</v>
      </c>
      <c r="AO185" s="62">
        <f t="shared" si="144"/>
        <v>347.8713931923707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0.41085670303079586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0.41085670303079586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280.57175994295949</v>
      </c>
      <c r="BJ185" s="62">
        <f t="shared" si="146"/>
        <v>216.69635818716841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3.574170246108594E-2</v>
      </c>
      <c r="BR185" s="23">
        <f>EXP(-LN(2)/2)*BR184+(1-EXP(-LN(2)/2))/(LN(2)/2)*BL185*BO185*VLOOKUP('Données projet'!$B$11,Paramètres!$A$1:$I$89,3,0)*0.475*44/12</f>
        <v>2.7963020192021357E-22</v>
      </c>
      <c r="BS185" s="24">
        <f t="shared" si="169"/>
        <v>3.574170246108594E-2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-5.6843418860808015E-13</v>
      </c>
      <c r="BZ185" s="14">
        <f>BY185*VLOOKUP('Données projet'!$B$12,Paramètres!$A$1:$I$89,3,0)*VLOOKUP('Données projet'!$B$12,Paramètres!$A$1:$I$89,5,0)</f>
        <v>-2.8080648917239157E-13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426.64691649521097</v>
      </c>
      <c r="CE185" s="62">
        <f t="shared" si="148"/>
        <v>71.485487617222645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102.29699999999971</v>
      </c>
      <c r="D186" s="12">
        <f t="shared" si="140"/>
        <v>27.508500737201498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1002.0073741117286</v>
      </c>
      <c r="H186" s="70">
        <f t="shared" si="110"/>
        <v>519.41124711729208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293.33333333333491</v>
      </c>
      <c r="S186" s="62">
        <f ca="1">AVERAGE(OFFSET($R$3,0,0,'Données projet'!$E$9+1,1))-AVERAGE(OFFSET($H$3,0,0,'Données projet'!$E$9+1,1))</f>
        <v>165.12229410621887</v>
      </c>
      <c r="T186" s="62">
        <f t="shared" si="142"/>
        <v>148.17171564653341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1.9895196601282805E-13</v>
      </c>
      <c r="AJ186" s="14">
        <f>AI186*VLOOKUP('Données projet'!$B$10,Paramètres!$A$1:$I$89,3,0)*VLOOKUP('Données projet'!$B$10,Paramètres!$A$1:$I$89,5,0)</f>
        <v>1.8001173884840681E-13</v>
      </c>
      <c r="AK186" s="14">
        <f t="shared" si="164"/>
        <v>2.5254331426407198E-12</v>
      </c>
      <c r="AL186" s="22">
        <f t="shared" si="165"/>
        <v>4.7119831685935622E-12</v>
      </c>
      <c r="AM186" s="62">
        <f t="shared" si="113"/>
        <v>293.33333333333803</v>
      </c>
      <c r="AN186" s="62">
        <f ca="1">AVERAGE(OFFSET($AM$3,0,0,'Données projet'!$E$10+1,1))-AVERAGE(OFFSET($H$3,0,0,'Données projet'!$E$10+1,1))</f>
        <v>249.03969036629979</v>
      </c>
      <c r="AO186" s="62">
        <f t="shared" si="144"/>
        <v>347.8713931923707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0.40280005368220634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0.40280005368220634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280.57175994295949</v>
      </c>
      <c r="BJ186" s="62">
        <f t="shared" si="146"/>
        <v>216.69635818716841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3.4764343727713101E-2</v>
      </c>
      <c r="BR186" s="23">
        <f>EXP(-LN(2)/2)*BR185+(1-EXP(-LN(2)/2))/(LN(2)/2)*BL186*BO186*VLOOKUP('Données projet'!$B$11,Paramètres!$A$1:$I$89,3,0)*0.475*44/12</f>
        <v>1.9772841200234656E-22</v>
      </c>
      <c r="BS186" s="24">
        <f t="shared" si="169"/>
        <v>3.4764343727713101E-2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-5.6843418860808015E-13</v>
      </c>
      <c r="BZ186" s="14">
        <f>BY186*VLOOKUP('Données projet'!$B$12,Paramètres!$A$1:$I$89,3,0)*VLOOKUP('Données projet'!$B$12,Paramètres!$A$1:$I$89,5,0)</f>
        <v>-2.8080648917239157E-13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426.64691649521097</v>
      </c>
      <c r="CE186" s="62">
        <f t="shared" si="148"/>
        <v>71.485487617222645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102.85599999999971</v>
      </c>
      <c r="D187" s="12">
        <f t="shared" si="140"/>
        <v>27.641281046809159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1007.3474326420334</v>
      </c>
      <c r="H187" s="70">
        <f t="shared" si="110"/>
        <v>520.61609782319215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293.33333333333491</v>
      </c>
      <c r="S187" s="62">
        <f ca="1">AVERAGE(OFFSET($R$3,0,0,'Données projet'!$E$9+1,1))-AVERAGE(OFFSET($H$3,0,0,'Données projet'!$E$9+1,1))</f>
        <v>165.12229410621887</v>
      </c>
      <c r="T187" s="62">
        <f t="shared" si="142"/>
        <v>148.17171564653341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1.9895196601282805E-13</v>
      </c>
      <c r="AJ187" s="14">
        <f>AI187*VLOOKUP('Données projet'!$B$10,Paramètres!$A$1:$I$89,3,0)*VLOOKUP('Données projet'!$B$10,Paramètres!$A$1:$I$89,5,0)</f>
        <v>1.8001173884840681E-13</v>
      </c>
      <c r="AK187" s="14">
        <f t="shared" si="164"/>
        <v>2.5254331426407198E-12</v>
      </c>
      <c r="AL187" s="22">
        <f t="shared" si="165"/>
        <v>4.7119831685935622E-12</v>
      </c>
      <c r="AM187" s="62">
        <f t="shared" si="113"/>
        <v>293.33333333333803</v>
      </c>
      <c r="AN187" s="62">
        <f ca="1">AVERAGE(OFFSET($AM$3,0,0,'Données projet'!$E$10+1,1))-AVERAGE(OFFSET($H$3,0,0,'Données projet'!$E$10+1,1))</f>
        <v>249.03969036629979</v>
      </c>
      <c r="AO187" s="62">
        <f t="shared" si="144"/>
        <v>347.8713931923707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0.39490139031327176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0.39490139031327176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280.57175994295949</v>
      </c>
      <c r="BJ187" s="62">
        <f t="shared" si="146"/>
        <v>216.69635818716841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3.3813710920301401E-2</v>
      </c>
      <c r="BR187" s="23">
        <f>EXP(-LN(2)/2)*BR186+(1-EXP(-LN(2)/2))/(LN(2)/2)*BL187*BO187*VLOOKUP('Données projet'!$B$11,Paramètres!$A$1:$I$89,3,0)*0.475*44/12</f>
        <v>1.3981510096010678E-22</v>
      </c>
      <c r="BS187" s="24">
        <f t="shared" si="169"/>
        <v>3.3813710920301401E-2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-5.6843418860808015E-13</v>
      </c>
      <c r="BZ187" s="14">
        <f>BY187*VLOOKUP('Données projet'!$B$12,Paramètres!$A$1:$I$89,3,0)*VLOOKUP('Données projet'!$B$12,Paramètres!$A$1:$I$89,5,0)</f>
        <v>-2.8080648917239157E-13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426.64691649521097</v>
      </c>
      <c r="CE187" s="62">
        <f t="shared" si="148"/>
        <v>71.485487617222645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103.41499999999971</v>
      </c>
      <c r="D188" s="12">
        <f t="shared" si="140"/>
        <v>27.773977384564393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1012.6868429685651</v>
      </c>
      <c r="H188" s="70">
        <f t="shared" si="110"/>
        <v>521.82080227811582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293.33333333333491</v>
      </c>
      <c r="S188" s="62">
        <f ca="1">AVERAGE(OFFSET($R$3,0,0,'Données projet'!$E$9+1,1))-AVERAGE(OFFSET($H$3,0,0,'Données projet'!$E$9+1,1))</f>
        <v>165.12229410621887</v>
      </c>
      <c r="T188" s="62">
        <f t="shared" si="142"/>
        <v>148.17171564653341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1.9895196601282805E-13</v>
      </c>
      <c r="AJ188" s="14">
        <f>AI188*VLOOKUP('Données projet'!$B$10,Paramètres!$A$1:$I$89,3,0)*VLOOKUP('Données projet'!$B$10,Paramètres!$A$1:$I$89,5,0)</f>
        <v>1.8001173884840681E-13</v>
      </c>
      <c r="AK188" s="14">
        <f t="shared" si="164"/>
        <v>2.5254331426407198E-12</v>
      </c>
      <c r="AL188" s="22">
        <f t="shared" si="165"/>
        <v>4.7119831685935622E-12</v>
      </c>
      <c r="AM188" s="62">
        <f t="shared" si="113"/>
        <v>293.33333333333803</v>
      </c>
      <c r="AN188" s="62">
        <f ca="1">AVERAGE(OFFSET($AM$3,0,0,'Données projet'!$E$10+1,1))-AVERAGE(OFFSET($H$3,0,0,'Données projet'!$E$10+1,1))</f>
        <v>249.03969036629979</v>
      </c>
      <c r="AO188" s="62">
        <f t="shared" si="144"/>
        <v>347.8713931923707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0.38715761491529305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0.38715761491529305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280.57175994295949</v>
      </c>
      <c r="BJ188" s="62">
        <f t="shared" si="146"/>
        <v>216.69635818716841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3.2889073216999985E-2</v>
      </c>
      <c r="BR188" s="23">
        <f>EXP(-LN(2)/2)*BR187+(1-EXP(-LN(2)/2))/(LN(2)/2)*BL188*BO188*VLOOKUP('Données projet'!$B$11,Paramètres!$A$1:$I$89,3,0)*0.475*44/12</f>
        <v>9.8864206001173279E-23</v>
      </c>
      <c r="BS188" s="24">
        <f t="shared" si="169"/>
        <v>3.2889073216999985E-2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-5.6843418860808015E-13</v>
      </c>
      <c r="BZ188" s="14">
        <f>BY188*VLOOKUP('Données projet'!$B$12,Paramètres!$A$1:$I$89,3,0)*VLOOKUP('Données projet'!$B$12,Paramètres!$A$1:$I$89,5,0)</f>
        <v>-2.8080648917239157E-13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426.64691649521097</v>
      </c>
      <c r="CE188" s="62">
        <f t="shared" si="148"/>
        <v>71.485487617222645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103.97399999999971</v>
      </c>
      <c r="D189" s="12">
        <f t="shared" si="140"/>
        <v>27.906590257048816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1018.025609001778</v>
      </c>
      <c r="H189" s="70">
        <f t="shared" si="110"/>
        <v>523.02536136435947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293.33333333333491</v>
      </c>
      <c r="S189" s="62">
        <f ca="1">AVERAGE(OFFSET($R$3,0,0,'Données projet'!$E$9+1,1))-AVERAGE(OFFSET($H$3,0,0,'Données projet'!$E$9+1,1))</f>
        <v>165.12229410621887</v>
      </c>
      <c r="T189" s="62">
        <f t="shared" si="142"/>
        <v>148.17171564653341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1.9895196601282805E-13</v>
      </c>
      <c r="AJ189" s="14">
        <f>AI189*VLOOKUP('Données projet'!$B$10,Paramètres!$A$1:$I$89,3,0)*VLOOKUP('Données projet'!$B$10,Paramètres!$A$1:$I$89,5,0)</f>
        <v>1.8001173884840681E-13</v>
      </c>
      <c r="AK189" s="14">
        <f t="shared" si="164"/>
        <v>2.5254331426407198E-12</v>
      </c>
      <c r="AL189" s="22">
        <f t="shared" si="165"/>
        <v>4.7119831685935622E-12</v>
      </c>
      <c r="AM189" s="62">
        <f t="shared" si="113"/>
        <v>293.33333333333803</v>
      </c>
      <c r="AN189" s="62">
        <f ca="1">AVERAGE(OFFSET($AM$3,0,0,'Données projet'!$E$10+1,1))-AVERAGE(OFFSET($H$3,0,0,'Données projet'!$E$10+1,1))</f>
        <v>249.03969036629979</v>
      </c>
      <c r="AO189" s="62">
        <f t="shared" si="144"/>
        <v>347.8713931923707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0.3795656902296321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0.3795656902296321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280.57175994295949</v>
      </c>
      <c r="BJ189" s="62">
        <f t="shared" si="146"/>
        <v>216.69635818716841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3.1989719780319927E-2</v>
      </c>
      <c r="BR189" s="23">
        <f>EXP(-LN(2)/2)*BR188+(1-EXP(-LN(2)/2))/(LN(2)/2)*BL189*BO189*VLOOKUP('Données projet'!$B$11,Paramètres!$A$1:$I$89,3,0)*0.475*44/12</f>
        <v>6.9907550480053392E-23</v>
      </c>
      <c r="BS189" s="24">
        <f t="shared" si="169"/>
        <v>3.1989719780319927E-2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-5.6843418860808015E-13</v>
      </c>
      <c r="BZ189" s="14">
        <f>BY189*VLOOKUP('Données projet'!$B$12,Paramètres!$A$1:$I$89,3,0)*VLOOKUP('Données projet'!$B$12,Paramètres!$A$1:$I$89,5,0)</f>
        <v>-2.8080648917239157E-13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426.64691649521097</v>
      </c>
      <c r="CE189" s="62">
        <f t="shared" si="148"/>
        <v>71.485487617222645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104.5329999999997</v>
      </c>
      <c r="D190" s="12">
        <f t="shared" si="140"/>
        <v>28.039120165081656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1023.3637346076456</v>
      </c>
      <c r="H190" s="70">
        <f t="shared" si="110"/>
        <v>524.22977595418331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293.33333333333491</v>
      </c>
      <c r="S190" s="62">
        <f ca="1">AVERAGE(OFFSET($R$3,0,0,'Données projet'!$E$9+1,1))-AVERAGE(OFFSET($H$3,0,0,'Données projet'!$E$9+1,1))</f>
        <v>165.12229410621887</v>
      </c>
      <c r="T190" s="62">
        <f t="shared" si="142"/>
        <v>148.17171564653341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1.9895196601282805E-13</v>
      </c>
      <c r="AJ190" s="14">
        <f>AI190*VLOOKUP('Données projet'!$B$10,Paramètres!$A$1:$I$89,3,0)*VLOOKUP('Données projet'!$B$10,Paramètres!$A$1:$I$89,5,0)</f>
        <v>1.8001173884840681E-13</v>
      </c>
      <c r="AK190" s="14">
        <f t="shared" si="164"/>
        <v>2.5254331426407198E-12</v>
      </c>
      <c r="AL190" s="22">
        <f t="shared" si="165"/>
        <v>4.7119831685935622E-12</v>
      </c>
      <c r="AM190" s="62">
        <f t="shared" si="113"/>
        <v>293.33333333333803</v>
      </c>
      <c r="AN190" s="62">
        <f ca="1">AVERAGE(OFFSET($AM$3,0,0,'Données projet'!$E$10+1,1))-AVERAGE(OFFSET($H$3,0,0,'Données projet'!$E$10+1,1))</f>
        <v>249.03969036629979</v>
      </c>
      <c r="AO190" s="62">
        <f t="shared" si="144"/>
        <v>347.8713931923707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0.37212263855644012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0.37212263855644012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280.57175994295949</v>
      </c>
      <c r="BJ190" s="62">
        <f t="shared" si="146"/>
        <v>216.69635818716841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3.1114959210660827E-2</v>
      </c>
      <c r="BR190" s="23">
        <f>EXP(-LN(2)/2)*BR189+(1-EXP(-LN(2)/2))/(LN(2)/2)*BL190*BO190*VLOOKUP('Données projet'!$B$11,Paramètres!$A$1:$I$89,3,0)*0.475*44/12</f>
        <v>4.9432103000586639E-23</v>
      </c>
      <c r="BS190" s="24">
        <f t="shared" si="169"/>
        <v>3.1114959210660827E-2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-5.6843418860808015E-13</v>
      </c>
      <c r="BZ190" s="14">
        <f>BY190*VLOOKUP('Données projet'!$B$12,Paramètres!$A$1:$I$89,3,0)*VLOOKUP('Données projet'!$B$12,Paramètres!$A$1:$I$89,5,0)</f>
        <v>-2.8080648917239157E-13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426.64691649521097</v>
      </c>
      <c r="CE190" s="62">
        <f t="shared" si="148"/>
        <v>71.485487617222645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105.0919999999997</v>
      </c>
      <c r="D191" s="12">
        <f t="shared" si="140"/>
        <v>28.171567603815788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1028.7012236084001</v>
      </c>
      <c r="H191" s="70">
        <f t="shared" si="110"/>
        <v>525.43404690997863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293.33333333333491</v>
      </c>
      <c r="S191" s="62">
        <f ca="1">AVERAGE(OFFSET($R$3,0,0,'Données projet'!$E$9+1,1))-AVERAGE(OFFSET($H$3,0,0,'Données projet'!$E$9+1,1))</f>
        <v>165.12229410621887</v>
      </c>
      <c r="T191" s="62">
        <f t="shared" si="142"/>
        <v>148.17171564653341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1.9895196601282805E-13</v>
      </c>
      <c r="AJ191" s="14">
        <f>AI191*VLOOKUP('Données projet'!$B$10,Paramètres!$A$1:$I$89,3,0)*VLOOKUP('Données projet'!$B$10,Paramètres!$A$1:$I$89,5,0)</f>
        <v>1.8001173884840681E-13</v>
      </c>
      <c r="AK191" s="14">
        <f t="shared" si="164"/>
        <v>2.5254331426407198E-12</v>
      </c>
      <c r="AL191" s="22">
        <f t="shared" si="165"/>
        <v>4.7119831685935622E-12</v>
      </c>
      <c r="AM191" s="62">
        <f t="shared" si="113"/>
        <v>293.33333333333803</v>
      </c>
      <c r="AN191" s="62">
        <f ca="1">AVERAGE(OFFSET($AM$3,0,0,'Données projet'!$E$10+1,1))-AVERAGE(OFFSET($H$3,0,0,'Données projet'!$E$10+1,1))</f>
        <v>249.03969036629979</v>
      </c>
      <c r="AO191" s="62">
        <f t="shared" si="144"/>
        <v>347.8713931923707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0.36482554058674621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0.36482554058674621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280.57175994295949</v>
      </c>
      <c r="BJ191" s="62">
        <f t="shared" si="146"/>
        <v>216.69635818716841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3.0264119014780717E-2</v>
      </c>
      <c r="BR191" s="23">
        <f>EXP(-LN(2)/2)*BR190+(1-EXP(-LN(2)/2))/(LN(2)/2)*BL191*BO191*VLOOKUP('Données projet'!$B$11,Paramètres!$A$1:$I$89,3,0)*0.475*44/12</f>
        <v>3.4953775240026696E-23</v>
      </c>
      <c r="BS191" s="24">
        <f t="shared" si="169"/>
        <v>3.0264119014780717E-2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-5.6843418860808015E-13</v>
      </c>
      <c r="BZ191" s="14">
        <f>BY191*VLOOKUP('Données projet'!$B$12,Paramètres!$A$1:$I$89,3,0)*VLOOKUP('Données projet'!$B$12,Paramètres!$A$1:$I$89,5,0)</f>
        <v>-2.8080648917239157E-13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426.64691649521097</v>
      </c>
      <c r="CE191" s="62">
        <f t="shared" si="148"/>
        <v>71.485487617222645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105.6509999999997</v>
      </c>
      <c r="D192" s="12">
        <f t="shared" si="140"/>
        <v>28.303933062831472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1034.0380797832584</v>
      </c>
      <c r="H192" s="70">
        <f t="shared" si="110"/>
        <v>526.63817508443094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293.33333333333491</v>
      </c>
      <c r="S192" s="62">
        <f ca="1">AVERAGE(OFFSET($R$3,0,0,'Données projet'!$E$9+1,1))-AVERAGE(OFFSET($H$3,0,0,'Données projet'!$E$9+1,1))</f>
        <v>165.12229410621887</v>
      </c>
      <c r="T192" s="62">
        <f t="shared" si="142"/>
        <v>148.17171564653341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1.9895196601282805E-13</v>
      </c>
      <c r="AJ192" s="14">
        <f>AI192*VLOOKUP('Données projet'!$B$10,Paramètres!$A$1:$I$89,3,0)*VLOOKUP('Données projet'!$B$10,Paramètres!$A$1:$I$89,5,0)</f>
        <v>1.8001173884840681E-13</v>
      </c>
      <c r="AK192" s="14">
        <f t="shared" si="164"/>
        <v>2.5254331426407198E-12</v>
      </c>
      <c r="AL192" s="22">
        <f t="shared" si="165"/>
        <v>4.7119831685935622E-12</v>
      </c>
      <c r="AM192" s="62">
        <f t="shared" si="113"/>
        <v>293.33333333333803</v>
      </c>
      <c r="AN192" s="62">
        <f ca="1">AVERAGE(OFFSET($AM$3,0,0,'Données projet'!$E$10+1,1))-AVERAGE(OFFSET($H$3,0,0,'Données projet'!$E$10+1,1))</f>
        <v>249.03969036629979</v>
      </c>
      <c r="AO192" s="62">
        <f t="shared" si="144"/>
        <v>347.8713931923707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0.35767153425744769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0.35767153425744769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280.57175994295949</v>
      </c>
      <c r="BJ192" s="62">
        <f t="shared" si="146"/>
        <v>216.69635818716841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2.943654508880069E-2</v>
      </c>
      <c r="BR192" s="23">
        <f>EXP(-LN(2)/2)*BR191+(1-EXP(-LN(2)/2))/(LN(2)/2)*BL192*BO192*VLOOKUP('Données projet'!$B$11,Paramètres!$A$1:$I$89,3,0)*0.475*44/12</f>
        <v>2.471605150029332E-23</v>
      </c>
      <c r="BS192" s="24">
        <f t="shared" si="169"/>
        <v>2.943654508880069E-2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-5.6843418860808015E-13</v>
      </c>
      <c r="BZ192" s="14">
        <f>BY192*VLOOKUP('Données projet'!$B$12,Paramètres!$A$1:$I$89,3,0)*VLOOKUP('Données projet'!$B$12,Paramètres!$A$1:$I$89,5,0)</f>
        <v>-2.8080648917239157E-13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426.64691649521097</v>
      </c>
      <c r="CE192" s="62">
        <f t="shared" si="148"/>
        <v>71.485487617222645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106.2099999999997</v>
      </c>
      <c r="D193" s="12">
        <f t="shared" si="140"/>
        <v>28.436217026228405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1039.3743068691292</v>
      </c>
      <c r="H193" s="70">
        <f t="shared" si="110"/>
        <v>527.84216132068059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293.33333333333491</v>
      </c>
      <c r="S193" s="62">
        <f ca="1">AVERAGE(OFFSET($R$3,0,0,'Données projet'!$E$9+1,1))-AVERAGE(OFFSET($H$3,0,0,'Données projet'!$E$9+1,1))</f>
        <v>165.12229410621887</v>
      </c>
      <c r="T193" s="62">
        <f t="shared" si="142"/>
        <v>148.17171564653341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1.9895196601282805E-13</v>
      </c>
      <c r="AJ193" s="14">
        <f>AI193*VLOOKUP('Données projet'!$B$10,Paramètres!$A$1:$I$89,3,0)*VLOOKUP('Données projet'!$B$10,Paramètres!$A$1:$I$89,5,0)</f>
        <v>1.8001173884840681E-13</v>
      </c>
      <c r="AK193" s="14">
        <f t="shared" si="164"/>
        <v>2.5254331426407198E-12</v>
      </c>
      <c r="AL193" s="22">
        <f t="shared" si="165"/>
        <v>4.7119831685935622E-12</v>
      </c>
      <c r="AM193" s="62">
        <f t="shared" si="113"/>
        <v>293.33333333333803</v>
      </c>
      <c r="AN193" s="62">
        <f ca="1">AVERAGE(OFFSET($AM$3,0,0,'Données projet'!$E$10+1,1))-AVERAGE(OFFSET($H$3,0,0,'Données projet'!$E$10+1,1))</f>
        <v>249.03969036629979</v>
      </c>
      <c r="AO193" s="62">
        <f t="shared" si="144"/>
        <v>347.8713931923707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0.3506578136287537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0.3506578136287537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280.57175994295949</v>
      </c>
      <c r="BJ193" s="62">
        <f t="shared" si="146"/>
        <v>216.69635818716841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2.8631601215346806E-2</v>
      </c>
      <c r="BR193" s="23">
        <f>EXP(-LN(2)/2)*BR192+(1-EXP(-LN(2)/2))/(LN(2)/2)*BL193*BO193*VLOOKUP('Données projet'!$B$11,Paramètres!$A$1:$I$89,3,0)*0.475*44/12</f>
        <v>1.7476887620013348E-23</v>
      </c>
      <c r="BS193" s="24">
        <f t="shared" si="169"/>
        <v>2.8631601215346806E-2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-5.6843418860808015E-13</v>
      </c>
      <c r="BZ193" s="14">
        <f>BY193*VLOOKUP('Données projet'!$B$12,Paramètres!$A$1:$I$89,3,0)*VLOOKUP('Données projet'!$B$12,Paramètres!$A$1:$I$89,5,0)</f>
        <v>-2.8080648917239157E-13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426.64691649521097</v>
      </c>
      <c r="CE193" s="62">
        <f t="shared" si="148"/>
        <v>71.485487617222645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106.76899999999969</v>
      </c>
      <c r="D194" s="12">
        <f t="shared" si="140"/>
        <v>28.568419972715443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1044.7099085613097</v>
      </c>
      <c r="H194" s="70">
        <f t="shared" si="110"/>
        <v>529.04600645247888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293.33333333333491</v>
      </c>
      <c r="S194" s="62">
        <f ca="1">AVERAGE(OFFSET($R$3,0,0,'Données projet'!$E$9+1,1))-AVERAGE(OFFSET($H$3,0,0,'Données projet'!$E$9+1,1))</f>
        <v>165.12229410621887</v>
      </c>
      <c r="T194" s="62">
        <f t="shared" si="142"/>
        <v>148.17171564653341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1.9895196601282805E-13</v>
      </c>
      <c r="AJ194" s="14">
        <f>AI194*VLOOKUP('Données projet'!$B$10,Paramètres!$A$1:$I$89,3,0)*VLOOKUP('Données projet'!$B$10,Paramètres!$A$1:$I$89,5,0)</f>
        <v>1.8001173884840681E-13</v>
      </c>
      <c r="AK194" s="14">
        <f t="shared" si="164"/>
        <v>2.5254331426407198E-12</v>
      </c>
      <c r="AL194" s="22">
        <f t="shared" si="165"/>
        <v>4.7119831685935622E-12</v>
      </c>
      <c r="AM194" s="62">
        <f t="shared" si="113"/>
        <v>293.33333333333803</v>
      </c>
      <c r="AN194" s="62">
        <f ca="1">AVERAGE(OFFSET($AM$3,0,0,'Données projet'!$E$10+1,1))-AVERAGE(OFFSET($H$3,0,0,'Données projet'!$E$10+1,1))</f>
        <v>249.03969036629979</v>
      </c>
      <c r="AO194" s="62">
        <f t="shared" si="144"/>
        <v>347.8713931923707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0.34378162778364124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0.34378162778364124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280.57175994295949</v>
      </c>
      <c r="BJ194" s="62">
        <f t="shared" si="146"/>
        <v>216.69635818716841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2.7848668574442677E-2</v>
      </c>
      <c r="BR194" s="23">
        <f>EXP(-LN(2)/2)*BR193+(1-EXP(-LN(2)/2))/(LN(2)/2)*BL194*BO194*VLOOKUP('Données projet'!$B$11,Paramètres!$A$1:$I$89,3,0)*0.475*44/12</f>
        <v>1.235802575014666E-23</v>
      </c>
      <c r="BS194" s="24">
        <f t="shared" si="169"/>
        <v>2.7848668574442677E-2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-5.6843418860808015E-13</v>
      </c>
      <c r="BZ194" s="14">
        <f>BY194*VLOOKUP('Données projet'!$B$12,Paramètres!$A$1:$I$89,3,0)*VLOOKUP('Données projet'!$B$12,Paramètres!$A$1:$I$89,5,0)</f>
        <v>-2.8080648917239157E-13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426.64691649521097</v>
      </c>
      <c r="CE194" s="62">
        <f t="shared" si="148"/>
        <v>71.485487617222645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107.32799999999969</v>
      </c>
      <c r="D195" s="12">
        <f t="shared" si="140"/>
        <v>28.700542375698632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1050.0448885141625</v>
      </c>
      <c r="H195" s="70">
        <f t="shared" si="110"/>
        <v>530.24971130434119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293.33333333333491</v>
      </c>
      <c r="S195" s="62">
        <f ca="1">AVERAGE(OFFSET($R$3,0,0,'Données projet'!$E$9+1,1))-AVERAGE(OFFSET($H$3,0,0,'Données projet'!$E$9+1,1))</f>
        <v>165.12229410621887</v>
      </c>
      <c r="T195" s="62">
        <f t="shared" si="142"/>
        <v>148.17171564653341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1.9895196601282805E-13</v>
      </c>
      <c r="AJ195" s="14">
        <f>AI195*VLOOKUP('Données projet'!$B$10,Paramètres!$A$1:$I$89,3,0)*VLOOKUP('Données projet'!$B$10,Paramètres!$A$1:$I$89,5,0)</f>
        <v>1.8001173884840681E-13</v>
      </c>
      <c r="AK195" s="14">
        <f t="shared" si="164"/>
        <v>2.5254331426407198E-12</v>
      </c>
      <c r="AL195" s="22">
        <f t="shared" si="165"/>
        <v>4.7119831685935622E-12</v>
      </c>
      <c r="AM195" s="62">
        <f t="shared" si="113"/>
        <v>293.33333333333803</v>
      </c>
      <c r="AN195" s="62">
        <f ca="1">AVERAGE(OFFSET($AM$3,0,0,'Données projet'!$E$10+1,1))-AVERAGE(OFFSET($H$3,0,0,'Données projet'!$E$10+1,1))</f>
        <v>249.03969036629979</v>
      </c>
      <c r="AO195" s="62">
        <f t="shared" si="144"/>
        <v>347.8713931923707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0.33704027974889222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0.33704027974889222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280.57175994295949</v>
      </c>
      <c r="BJ195" s="62">
        <f t="shared" si="146"/>
        <v>216.69635818716841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2.708714526777671E-2</v>
      </c>
      <c r="BR195" s="23">
        <f>EXP(-LN(2)/2)*BR194+(1-EXP(-LN(2)/2))/(LN(2)/2)*BL195*BO195*VLOOKUP('Données projet'!$B$11,Paramètres!$A$1:$I$89,3,0)*0.475*44/12</f>
        <v>8.7384438100066739E-24</v>
      </c>
      <c r="BS195" s="24">
        <f t="shared" si="169"/>
        <v>2.708714526777671E-2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-5.6843418860808015E-13</v>
      </c>
      <c r="BZ195" s="14">
        <f>BY195*VLOOKUP('Données projet'!$B$12,Paramètres!$A$1:$I$89,3,0)*VLOOKUP('Données projet'!$B$12,Paramètres!$A$1:$I$89,5,0)</f>
        <v>-2.8080648917239157E-13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426.64691649521097</v>
      </c>
      <c r="CE195" s="62">
        <f t="shared" si="148"/>
        <v>71.485487617222645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107.88699999999969</v>
      </c>
      <c r="D196" s="12">
        <f t="shared" si="140"/>
        <v>28.832584703367186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1055.3792503417794</v>
      </c>
      <c r="H196" s="70">
        <f t="shared" ref="H196:H203" si="192">(B196+E196+F196)*44/12+(C196+D196)*0.475*44/12</f>
        <v>531.45327669169728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293.33333333333491</v>
      </c>
      <c r="S196" s="62">
        <f ca="1">AVERAGE(OFFSET($R$3,0,0,'Données projet'!$E$9+1,1))-AVERAGE(OFFSET($H$3,0,0,'Données projet'!$E$9+1,1))</f>
        <v>165.12229410621887</v>
      </c>
      <c r="T196" s="62">
        <f t="shared" si="142"/>
        <v>148.17171564653341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1.9895196601282805E-13</v>
      </c>
      <c r="AJ196" s="14">
        <f>AI196*VLOOKUP('Données projet'!$B$10,Paramètres!$A$1:$I$89,3,0)*VLOOKUP('Données projet'!$B$10,Paramètres!$A$1:$I$89,5,0)</f>
        <v>1.8001173884840681E-13</v>
      </c>
      <c r="AK196" s="14">
        <f t="shared" si="164"/>
        <v>2.5254331426407198E-12</v>
      </c>
      <c r="AL196" s="22">
        <f t="shared" si="165"/>
        <v>4.7119831685935622E-12</v>
      </c>
      <c r="AM196" s="62">
        <f t="shared" ref="AM196:AM203" si="193">AL196+(AD196+AE196)*44/12</f>
        <v>293.33333333333803</v>
      </c>
      <c r="AN196" s="62">
        <f ca="1">AVERAGE(OFFSET($AM$3,0,0,'Données projet'!$E$10+1,1))-AVERAGE(OFFSET($H$3,0,0,'Données projet'!$E$10+1,1))</f>
        <v>249.03969036629979</v>
      </c>
      <c r="AO196" s="62">
        <f t="shared" si="144"/>
        <v>347.8713931923707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0.33043112543728831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0.33043112543728831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280.57175994295949</v>
      </c>
      <c r="BJ196" s="62">
        <f t="shared" si="146"/>
        <v>216.69635818716841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2.6346445855978295E-2</v>
      </c>
      <c r="BR196" s="23">
        <f>EXP(-LN(2)/2)*BR195+(1-EXP(-LN(2)/2))/(LN(2)/2)*BL196*BO196*VLOOKUP('Données projet'!$B$11,Paramètres!$A$1:$I$89,3,0)*0.475*44/12</f>
        <v>6.1790128750733299E-24</v>
      </c>
      <c r="BS196" s="24">
        <f t="shared" si="169"/>
        <v>2.6346445855978295E-2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-5.6843418860808015E-13</v>
      </c>
      <c r="BZ196" s="14">
        <f>BY196*VLOOKUP('Données projet'!$B$12,Paramètres!$A$1:$I$89,3,0)*VLOOKUP('Données projet'!$B$12,Paramètres!$A$1:$I$89,5,0)</f>
        <v>-2.8080648917239157E-13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426.64691649521097</v>
      </c>
      <c r="CE196" s="62">
        <f t="shared" si="148"/>
        <v>71.485487617222645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108.44599999999969</v>
      </c>
      <c r="D197" s="12">
        <f t="shared" ref="D197:D203" si="202">IFERROR(EXP(-1.0587+0.8836*LN(C197)+0.284),0)</f>
        <v>28.964547418777748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1060.7129976186329</v>
      </c>
      <c r="H197" s="70">
        <f t="shared" si="192"/>
        <v>532.65670342103738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293.33333333333491</v>
      </c>
      <c r="S197" s="62">
        <f ca="1">AVERAGE(OFFSET($R$3,0,0,'Données projet'!$E$9+1,1))-AVERAGE(OFFSET($H$3,0,0,'Données projet'!$E$9+1,1))</f>
        <v>165.12229410621887</v>
      </c>
      <c r="T197" s="62">
        <f t="shared" ref="T197:T203" si="204">$T$3</f>
        <v>148.17171564653341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1.9895196601282805E-13</v>
      </c>
      <c r="AJ197" s="14">
        <f>AI197*VLOOKUP('Données projet'!$B$10,Paramètres!$A$1:$I$89,3,0)*VLOOKUP('Données projet'!$B$10,Paramètres!$A$1:$I$89,5,0)</f>
        <v>1.8001173884840681E-13</v>
      </c>
      <c r="AK197" s="14">
        <f t="shared" si="164"/>
        <v>2.5254331426407198E-12</v>
      </c>
      <c r="AL197" s="22">
        <f t="shared" si="165"/>
        <v>4.7119831685935622E-12</v>
      </c>
      <c r="AM197" s="62">
        <f t="shared" si="193"/>
        <v>293.33333333333803</v>
      </c>
      <c r="AN197" s="62">
        <f ca="1">AVERAGE(OFFSET($AM$3,0,0,'Données projet'!$E$10+1,1))-AVERAGE(OFFSET($H$3,0,0,'Données projet'!$E$10+1,1))</f>
        <v>249.03969036629979</v>
      </c>
      <c r="AO197" s="62">
        <f t="shared" ref="AO197:AO203" si="205">$AO$3</f>
        <v>347.8713931923707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0.32395157261054885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0.32395157261054885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280.57175994295949</v>
      </c>
      <c r="BJ197" s="62">
        <f t="shared" ref="BJ197:BJ203" si="206">$BJ$3</f>
        <v>216.69635818716841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2.5626000908547195E-2</v>
      </c>
      <c r="BR197" s="23">
        <f>EXP(-LN(2)/2)*BR196+(1-EXP(-LN(2)/2))/(LN(2)/2)*BL197*BO197*VLOOKUP('Données projet'!$B$11,Paramètres!$A$1:$I$89,3,0)*0.475*44/12</f>
        <v>4.369221905003337E-24</v>
      </c>
      <c r="BS197" s="24">
        <f t="shared" si="169"/>
        <v>2.5626000908547195E-2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-5.6843418860808015E-13</v>
      </c>
      <c r="BZ197" s="14">
        <f>BY197*VLOOKUP('Données projet'!$B$12,Paramètres!$A$1:$I$89,3,0)*VLOOKUP('Données projet'!$B$12,Paramètres!$A$1:$I$89,5,0)</f>
        <v>-2.8080648917239157E-13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426.64691649521097</v>
      </c>
      <c r="CE197" s="62">
        <f t="shared" ref="CE197:CE203" si="207">$CE$3</f>
        <v>71.485487617222645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109.00499999999968</v>
      </c>
      <c r="D198" s="12">
        <f t="shared" si="202"/>
        <v>29.096430979936777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1066.0461338802113</v>
      </c>
      <c r="H198" s="70">
        <f t="shared" si="192"/>
        <v>533.85999229005597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293.33333333333491</v>
      </c>
      <c r="S198" s="62">
        <f ca="1">AVERAGE(OFFSET($R$3,0,0,'Données projet'!$E$9+1,1))-AVERAGE(OFFSET($H$3,0,0,'Données projet'!$E$9+1,1))</f>
        <v>165.12229410621887</v>
      </c>
      <c r="T198" s="62">
        <f t="shared" si="204"/>
        <v>148.17171564653341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1.9895196601282805E-13</v>
      </c>
      <c r="AJ198" s="14">
        <f>AI198*VLOOKUP('Données projet'!$B$10,Paramètres!$A$1:$I$89,3,0)*VLOOKUP('Données projet'!$B$10,Paramètres!$A$1:$I$89,5,0)</f>
        <v>1.8001173884840681E-13</v>
      </c>
      <c r="AK198" s="14">
        <f t="shared" si="164"/>
        <v>2.5254331426407198E-12</v>
      </c>
      <c r="AL198" s="22">
        <f t="shared" si="165"/>
        <v>4.7119831685935622E-12</v>
      </c>
      <c r="AM198" s="62">
        <f t="shared" si="193"/>
        <v>293.33333333333803</v>
      </c>
      <c r="AN198" s="62">
        <f ca="1">AVERAGE(OFFSET($AM$3,0,0,'Données projet'!$E$10+1,1))-AVERAGE(OFFSET($H$3,0,0,'Données projet'!$E$10+1,1))</f>
        <v>249.03969036629979</v>
      </c>
      <c r="AO198" s="62">
        <f t="shared" si="205"/>
        <v>347.8713931923707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0.31759907986260477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0.31759907986260477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280.57175994295949</v>
      </c>
      <c r="BJ198" s="62">
        <f t="shared" si="206"/>
        <v>216.69635818716841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2.4925256566090154E-2</v>
      </c>
      <c r="BR198" s="23">
        <f>EXP(-LN(2)/2)*BR197+(1-EXP(-LN(2)/2))/(LN(2)/2)*BL198*BO198*VLOOKUP('Données projet'!$B$11,Paramètres!$A$1:$I$89,3,0)*0.475*44/12</f>
        <v>3.089506437536665E-24</v>
      </c>
      <c r="BS198" s="24">
        <f t="shared" si="169"/>
        <v>2.4925256566090154E-2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-5.6843418860808015E-13</v>
      </c>
      <c r="BZ198" s="14">
        <f>BY198*VLOOKUP('Données projet'!$B$12,Paramètres!$A$1:$I$89,3,0)*VLOOKUP('Données projet'!$B$12,Paramètres!$A$1:$I$89,5,0)</f>
        <v>-2.8080648917239157E-13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426.64691649521097</v>
      </c>
      <c r="CE198" s="62">
        <f t="shared" si="207"/>
        <v>71.485487617222645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109.56399999999968</v>
      </c>
      <c r="D199" s="12">
        <f t="shared" si="202"/>
        <v>29.228235839881293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1071.3786626236426</v>
      </c>
      <c r="H199" s="70">
        <f t="shared" si="192"/>
        <v>535.06314408779258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293.33333333333491</v>
      </c>
      <c r="S199" s="62">
        <f ca="1">AVERAGE(OFFSET($R$3,0,0,'Données projet'!$E$9+1,1))-AVERAGE(OFFSET($H$3,0,0,'Données projet'!$E$9+1,1))</f>
        <v>165.12229410621887</v>
      </c>
      <c r="T199" s="62">
        <f t="shared" si="204"/>
        <v>148.17171564653341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1.9895196601282805E-13</v>
      </c>
      <c r="AJ199" s="14">
        <f>AI199*VLOOKUP('Données projet'!$B$10,Paramètres!$A$1:$I$89,3,0)*VLOOKUP('Données projet'!$B$10,Paramètres!$A$1:$I$89,5,0)</f>
        <v>1.8001173884840681E-13</v>
      </c>
      <c r="AK199" s="14">
        <f t="shared" si="164"/>
        <v>2.5254331426407198E-12</v>
      </c>
      <c r="AL199" s="22">
        <f t="shared" si="165"/>
        <v>4.7119831685935622E-12</v>
      </c>
      <c r="AM199" s="62">
        <f t="shared" si="193"/>
        <v>293.33333333333803</v>
      </c>
      <c r="AN199" s="62">
        <f ca="1">AVERAGE(OFFSET($AM$3,0,0,'Données projet'!$E$10+1,1))-AVERAGE(OFFSET($H$3,0,0,'Données projet'!$E$10+1,1))</f>
        <v>249.03969036629979</v>
      </c>
      <c r="AO199" s="62">
        <f t="shared" si="205"/>
        <v>347.8713931923707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0.31137115562280993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0.31137115562280993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280.57175994295949</v>
      </c>
      <c r="BJ199" s="62">
        <f t="shared" si="206"/>
        <v>216.69635818716841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2.4243674114528144E-2</v>
      </c>
      <c r="BR199" s="23">
        <f>EXP(-LN(2)/2)*BR198+(1-EXP(-LN(2)/2))/(LN(2)/2)*BL199*BO199*VLOOKUP('Données projet'!$B$11,Paramètres!$A$1:$I$89,3,0)*0.475*44/12</f>
        <v>2.1846109525016685E-24</v>
      </c>
      <c r="BS199" s="24">
        <f t="shared" si="169"/>
        <v>2.4243674114528144E-2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-5.6843418860808015E-13</v>
      </c>
      <c r="BZ199" s="14">
        <f>BY199*VLOOKUP('Données projet'!$B$12,Paramètres!$A$1:$I$89,3,0)*VLOOKUP('Données projet'!$B$12,Paramètres!$A$1:$I$89,5,0)</f>
        <v>-2.8080648917239157E-13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426.64691649521097</v>
      </c>
      <c r="CE199" s="62">
        <f t="shared" si="207"/>
        <v>71.485487617222645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110.12299999999968</v>
      </c>
      <c r="D200" s="12">
        <f t="shared" si="202"/>
        <v>29.359962446757773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1076.7105873083033</v>
      </c>
      <c r="H200" s="70">
        <f t="shared" si="192"/>
        <v>536.26615959476919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293.33333333333491</v>
      </c>
      <c r="S200" s="62">
        <f ca="1">AVERAGE(OFFSET($R$3,0,0,'Données projet'!$E$9+1,1))-AVERAGE(OFFSET($H$3,0,0,'Données projet'!$E$9+1,1))</f>
        <v>165.12229410621887</v>
      </c>
      <c r="T200" s="62">
        <f t="shared" si="204"/>
        <v>148.17171564653341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1.9895196601282805E-13</v>
      </c>
      <c r="AJ200" s="14">
        <f>AI200*VLOOKUP('Données projet'!$B$10,Paramètres!$A$1:$I$89,3,0)*VLOOKUP('Données projet'!$B$10,Paramètres!$A$1:$I$89,5,0)</f>
        <v>1.8001173884840681E-13</v>
      </c>
      <c r="AK200" s="14">
        <f t="shared" si="164"/>
        <v>2.5254331426407198E-12</v>
      </c>
      <c r="AL200" s="22">
        <f t="shared" si="165"/>
        <v>4.7119831685935622E-12</v>
      </c>
      <c r="AM200" s="62">
        <f t="shared" si="193"/>
        <v>293.33333333333803</v>
      </c>
      <c r="AN200" s="62">
        <f ca="1">AVERAGE(OFFSET($AM$3,0,0,'Données projet'!$E$10+1,1))-AVERAGE(OFFSET($H$3,0,0,'Données projet'!$E$10+1,1))</f>
        <v>249.03969036629979</v>
      </c>
      <c r="AO200" s="62">
        <f t="shared" si="205"/>
        <v>347.8713931923707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0.30526535717869874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0.30526535717869874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280.57175994295949</v>
      </c>
      <c r="BJ200" s="62">
        <f t="shared" si="206"/>
        <v>216.69635818716841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2.3580729570946958E-2</v>
      </c>
      <c r="BR200" s="23">
        <f>EXP(-LN(2)/2)*BR199+(1-EXP(-LN(2)/2))/(LN(2)/2)*BL200*BO200*VLOOKUP('Données projet'!$B$11,Paramètres!$A$1:$I$89,3,0)*0.475*44/12</f>
        <v>1.5447532187683325E-24</v>
      </c>
      <c r="BS200" s="24">
        <f t="shared" si="169"/>
        <v>2.3580729570946958E-2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-5.6843418860808015E-13</v>
      </c>
      <c r="BZ200" s="14">
        <f>BY200*VLOOKUP('Données projet'!$B$12,Paramètres!$A$1:$I$89,3,0)*VLOOKUP('Données projet'!$B$12,Paramètres!$A$1:$I$89,5,0)</f>
        <v>-2.8080648917239157E-13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426.64691649521097</v>
      </c>
      <c r="CE200" s="62">
        <f t="shared" si="207"/>
        <v>71.485487617222645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110.68199999999968</v>
      </c>
      <c r="D201" s="12">
        <f t="shared" si="202"/>
        <v>29.491611243899612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1082.0419113564158</v>
      </c>
      <c r="H201" s="70">
        <f t="shared" si="192"/>
        <v>537.46903958312464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293.33333333333491</v>
      </c>
      <c r="S201" s="62">
        <f ca="1">AVERAGE(OFFSET($R$3,0,0,'Données projet'!$E$9+1,1))-AVERAGE(OFFSET($H$3,0,0,'Données projet'!$E$9+1,1))</f>
        <v>165.12229410621887</v>
      </c>
      <c r="T201" s="62">
        <f t="shared" si="204"/>
        <v>148.17171564653341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1.9895196601282805E-13</v>
      </c>
      <c r="AJ201" s="14">
        <f>AI201*VLOOKUP('Données projet'!$B$10,Paramètres!$A$1:$I$89,3,0)*VLOOKUP('Données projet'!$B$10,Paramètres!$A$1:$I$89,5,0)</f>
        <v>1.8001173884840681E-13</v>
      </c>
      <c r="AK201" s="14">
        <f t="shared" si="164"/>
        <v>2.5254331426407198E-12</v>
      </c>
      <c r="AL201" s="22">
        <f t="shared" si="165"/>
        <v>4.7119831685935622E-12</v>
      </c>
      <c r="AM201" s="62">
        <f t="shared" si="193"/>
        <v>293.33333333333803</v>
      </c>
      <c r="AN201" s="62">
        <f ca="1">AVERAGE(OFFSET($AM$3,0,0,'Données projet'!$E$10+1,1))-AVERAGE(OFFSET($H$3,0,0,'Données projet'!$E$10+1,1))</f>
        <v>249.03969036629979</v>
      </c>
      <c r="AO201" s="62">
        <f t="shared" si="205"/>
        <v>347.8713931923707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0.29927928971790724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0.29927928971790724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280.57175994295949</v>
      </c>
      <c r="BJ201" s="62">
        <f t="shared" si="206"/>
        <v>216.69635818716841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2.2935913280772741E-2</v>
      </c>
      <c r="BR201" s="23">
        <f>EXP(-LN(2)/2)*BR200+(1-EXP(-LN(2)/2))/(LN(2)/2)*BL201*BO201*VLOOKUP('Données projet'!$B$11,Paramètres!$A$1:$I$89,3,0)*0.475*44/12</f>
        <v>1.0923054762508342E-24</v>
      </c>
      <c r="BS201" s="24">
        <f t="shared" si="169"/>
        <v>2.2935913280772741E-2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-5.6843418860808015E-13</v>
      </c>
      <c r="BZ201" s="14">
        <f>BY201*VLOOKUP('Données projet'!$B$12,Paramètres!$A$1:$I$89,3,0)*VLOOKUP('Données projet'!$B$12,Paramètres!$A$1:$I$89,5,0)</f>
        <v>-2.8080648917239157E-13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426.64691649521097</v>
      </c>
      <c r="CE201" s="62">
        <f t="shared" si="207"/>
        <v>71.485487617222645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111.24099999999967</v>
      </c>
      <c r="D202" s="12">
        <f t="shared" si="202"/>
        <v>29.623182669902725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1087.3726381536326</v>
      </c>
      <c r="H202" s="70">
        <f t="shared" si="192"/>
        <v>538.67178481674659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293.33333333333491</v>
      </c>
      <c r="S202" s="62">
        <f ca="1">AVERAGE(OFFSET($R$3,0,0,'Données projet'!$E$9+1,1))-AVERAGE(OFFSET($H$3,0,0,'Données projet'!$E$9+1,1))</f>
        <v>165.12229410621887</v>
      </c>
      <c r="T202" s="62">
        <f t="shared" si="204"/>
        <v>148.17171564653341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1.9895196601282805E-13</v>
      </c>
      <c r="AJ202" s="14">
        <f>AI202*VLOOKUP('Données projet'!$B$10,Paramètres!$A$1:$I$89,3,0)*VLOOKUP('Données projet'!$B$10,Paramètres!$A$1:$I$89,5,0)</f>
        <v>1.8001173884840681E-13</v>
      </c>
      <c r="AK202" s="14">
        <f t="shared" si="164"/>
        <v>2.5254331426407198E-12</v>
      </c>
      <c r="AL202" s="22">
        <f t="shared" si="165"/>
        <v>4.7119831685935622E-12</v>
      </c>
      <c r="AM202" s="62">
        <f t="shared" si="193"/>
        <v>293.33333333333803</v>
      </c>
      <c r="AN202" s="62">
        <f ca="1">AVERAGE(OFFSET($AM$3,0,0,'Données projet'!$E$10+1,1))-AVERAGE(OFFSET($H$3,0,0,'Données projet'!$E$10+1,1))</f>
        <v>249.03969036629979</v>
      </c>
      <c r="AO202" s="62">
        <f t="shared" si="205"/>
        <v>347.8713931923707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0.29341060538888125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0.29341060538888125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280.57175994295949</v>
      </c>
      <c r="BJ202" s="62">
        <f t="shared" si="206"/>
        <v>216.69635818716841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2.2308729525962752E-2</v>
      </c>
      <c r="BR202" s="23">
        <f>EXP(-LN(2)/2)*BR201+(1-EXP(-LN(2)/2))/(LN(2)/2)*BL202*BO202*VLOOKUP('Données projet'!$B$11,Paramètres!$A$1:$I$89,3,0)*0.475*44/12</f>
        <v>7.7237660938416624E-25</v>
      </c>
      <c r="BS202" s="24">
        <f t="shared" si="169"/>
        <v>2.2308729525962752E-2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-5.6843418860808015E-13</v>
      </c>
      <c r="BZ202" s="14">
        <f>BY202*VLOOKUP('Données projet'!$B$12,Paramètres!$A$1:$I$89,3,0)*VLOOKUP('Données projet'!$B$12,Paramètres!$A$1:$I$89,5,0)</f>
        <v>-2.8080648917239157E-13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426.64691649521097</v>
      </c>
      <c r="CE202" s="62">
        <f t="shared" si="207"/>
        <v>71.485487617222645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111.79999999999967</v>
      </c>
      <c r="D203" s="12">
        <f t="shared" si="202"/>
        <v>29.754677158699842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1092.7027710496104</v>
      </c>
      <c r="H203" s="70">
        <f t="shared" si="192"/>
        <v>539.87439605140162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293.33333333333491</v>
      </c>
      <c r="S203" s="62">
        <f ca="1">AVERAGE(OFFSET($R$3,0,0,'Données projet'!$E$9+1,1))-AVERAGE(OFFSET($H$3,0,0,'Données projet'!$E$9+1,1))</f>
        <v>165.12229410621887</v>
      </c>
      <c r="T203" s="62">
        <f t="shared" si="204"/>
        <v>148.17171564653341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1.9895196601282805E-13</v>
      </c>
      <c r="AJ203" s="14">
        <f>AI203*VLOOKUP('Données projet'!$B$10,Paramètres!$A$1:$I$89,3,0)*VLOOKUP('Données projet'!$B$10,Paramètres!$A$1:$I$89,5,0)</f>
        <v>1.8001173884840681E-13</v>
      </c>
      <c r="AK203" s="14">
        <f t="shared" si="164"/>
        <v>2.5254331426407198E-12</v>
      </c>
      <c r="AL203" s="22">
        <f t="shared" si="165"/>
        <v>4.7119831685935622E-12</v>
      </c>
      <c r="AM203" s="62">
        <f t="shared" si="193"/>
        <v>293.33333333333803</v>
      </c>
      <c r="AN203" s="62">
        <f ca="1">AVERAGE(OFFSET($AM$3,0,0,'Données projet'!$E$10+1,1))-AVERAGE(OFFSET($H$3,0,0,'Données projet'!$E$10+1,1))</f>
        <v>249.03969036629979</v>
      </c>
      <c r="AO203" s="62">
        <f t="shared" si="205"/>
        <v>347.8713931923707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0.28765700238000347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0.28765700238000347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280.57175994295949</v>
      </c>
      <c r="BJ203" s="62">
        <f t="shared" si="206"/>
        <v>216.69635818716841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2.1698696143910203E-2</v>
      </c>
      <c r="BR203" s="23">
        <f>EXP(-LN(2)/2)*BR202+(1-EXP(-LN(2)/2))/(LN(2)/2)*BL203*BO203*VLOOKUP('Données projet'!$B$11,Paramètres!$A$1:$I$89,3,0)*0.475*44/12</f>
        <v>5.4615273812541712E-25</v>
      </c>
      <c r="BS203" s="24">
        <f t="shared" si="169"/>
        <v>2.1698696143910203E-2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-5.6843418860808015E-13</v>
      </c>
      <c r="BZ203" s="14">
        <f>BY203*VLOOKUP('Données projet'!$B$12,Paramètres!$A$1:$I$89,3,0)*VLOOKUP('Données projet'!$B$12,Paramètres!$A$1:$I$89,5,0)</f>
        <v>-2.8080648917239157E-13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426.64691649521097</v>
      </c>
      <c r="CE203" s="62">
        <f t="shared" si="207"/>
        <v>71.485487617222645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1.9472943612303364</v>
      </c>
      <c r="BA205" s="88">
        <f>EXP(LN('Données projet'!B88)/'Données projet'!A88)</f>
        <v>1.244502252163008</v>
      </c>
      <c r="BV205" s="88">
        <f>EXP(LN('Données projet'!B114)/'Données projet'!A114)</f>
        <v>1.1327072620419421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workbookViewId="0">
      <selection activeCell="N13" sqref="N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3.9997799999999999</v>
      </c>
      <c r="C6" s="156">
        <f ca="1">IF(OR('Données projet'!B9="",'Données projet'!C9="",'Données projet'!C9=0%),0,Calculateur!S3)</f>
        <v>165.12229410621887</v>
      </c>
      <c r="D6" s="156">
        <f>IF(OR('Données projet'!B9="",'Données projet'!C9="",'Données projet'!C9=0%),0,Calculateur!T3)</f>
        <v>148.17171564653341</v>
      </c>
      <c r="E6" s="156">
        <f ca="1">MIN(C6,D6)</f>
        <v>148.17171564653341</v>
      </c>
      <c r="F6" s="156">
        <f ca="1">E6*B6</f>
        <v>592.65426480869144</v>
      </c>
      <c r="G6" s="156">
        <f ca="1">F6*(100%-'Données projet'!$C$24)*(100%-'Données projet'!$C$25)*(100%-'Données projet'!$C$26)*(100%-'Données projet'!$C$27)</f>
        <v>453.38051257864896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453.38051257864896</v>
      </c>
      <c r="M6" s="25">
        <f ca="1">L6/B6</f>
        <v>113.35136246959807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0.99953999999999987</v>
      </c>
      <c r="C7" s="156">
        <f ca="1">IF(OR('Données projet'!B10="",'Données projet'!C10="",'Données projet'!C10=0%),0,Calculateur!AN3)</f>
        <v>249.03969036629979</v>
      </c>
      <c r="D7" s="156">
        <f>IF(OR('Données projet'!B10="",'Données projet'!C10="",'Données projet'!C10=0%),0,Calculateur!AO3)</f>
        <v>347.8713931923707</v>
      </c>
      <c r="E7" s="156">
        <f t="shared" ref="E7:E15" ca="1" si="0">MIN(C7,D7)</f>
        <v>249.03969036629979</v>
      </c>
      <c r="F7" s="156">
        <f t="shared" ref="F7:F15" ca="1" si="1">E7*B7</f>
        <v>248.92513210873128</v>
      </c>
      <c r="G7" s="156">
        <f ca="1">F7*(100%-'Données projet'!$C$24)*(100%-'Données projet'!$C$25)*(100%-'Données projet'!$C$26)*(100%-'Données projet'!$C$27)</f>
        <v>190.42772606317942</v>
      </c>
      <c r="H7" s="164">
        <f>IF(OR('Données projet'!B10="",'Données projet'!C10="",'Données projet'!C10=0%),0,AVERAGE(Calculateur!$AX$3:$AX$33)*B7)</f>
        <v>2.1021217045061218</v>
      </c>
      <c r="I7" s="158">
        <f>H7*(100%-'Données projet'!$C$24)*(100%-'Données projet'!$C$25)*(100%-'Données projet'!$C$26)*(100%-'Données projet'!$C$27)</f>
        <v>1.6081231039471833</v>
      </c>
      <c r="J7" s="159">
        <f>IF(OR('Données projet'!B10="",'Données projet'!C10="",'Données projet'!C10=0%),0,SUM(Calculateur!$AQ$3:$AQ$33)*VLOOKUP('Données projet'!$B$10,Paramètres!$A$1:$I$89,9,0)*B7)</f>
        <v>18.991259999999997</v>
      </c>
      <c r="K7" s="160">
        <f>J7*(100%-'Données projet'!$C$24)*(100%-'Données projet'!$C$25)*(100%-'Données projet'!$C$26)*(100%-'Données projet'!$C$27)</f>
        <v>14.528313899999997</v>
      </c>
      <c r="L7" s="161">
        <f t="shared" ref="L7:L15" ca="1" si="2">G7+I7+K7</f>
        <v>206.5641630671266</v>
      </c>
      <c r="M7" s="25">
        <f ca="1">L7/B7</f>
        <v>206.65922631122979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2.49966</v>
      </c>
      <c r="C8" s="156">
        <f ca="1">IF(OR('Données projet'!B11="",'Données projet'!C11="",'Données projet'!C11=0%),0,Calculateur!BI3)</f>
        <v>280.57175994295949</v>
      </c>
      <c r="D8" s="156">
        <f>IF(OR('Données projet'!B11="",'Données projet'!C11="",'Données projet'!C11=0%),0,Calculateur!BJ3)</f>
        <v>216.69635818716841</v>
      </c>
      <c r="E8" s="156">
        <f t="shared" ca="1" si="0"/>
        <v>216.69635818716841</v>
      </c>
      <c r="F8" s="156">
        <f t="shared" ca="1" si="1"/>
        <v>541.66721870613742</v>
      </c>
      <c r="G8" s="156">
        <f ca="1">F8*(100%-'Données projet'!$C$24)*(100%-'Données projet'!$C$25)*(100%-'Données projet'!$C$26)*(100%-'Données projet'!$C$27)</f>
        <v>414.37542231019512</v>
      </c>
      <c r="H8" s="164">
        <f>IF(OR('Données projet'!B11="",'Données projet'!C11="",'Données projet'!C11=0%),0,AVERAGE(Calculateur!$BS$3:$BS$33)*B8)</f>
        <v>7.3032646329410156</v>
      </c>
      <c r="I8" s="158">
        <f>H8*(100%-'Données projet'!$C$24)*(100%-'Données projet'!$C$25)*(100%-'Données projet'!$C$26)*(100%-'Données projet'!$C$27)</f>
        <v>5.5869974441998771</v>
      </c>
      <c r="J8" s="159">
        <f>IF(OR('Données projet'!B11="",'Données projet'!C11="",'Données projet'!C11=0%),0,SUM(Calculateur!$BL$3:$BL$33)*VLOOKUP('Données projet'!$B$11,Paramètres!$A$1:$I$89,9,0)*B8)</f>
        <v>72.01520459999999</v>
      </c>
      <c r="K8" s="160">
        <f>J8*(100%-'Données projet'!$C$24)*(100%-'Données projet'!$C$25)*(100%-'Données projet'!$C$26)*(100%-'Données projet'!$C$27)</f>
        <v>55.091631518999989</v>
      </c>
      <c r="L8" s="161">
        <f t="shared" ca="1" si="2"/>
        <v>475.05405127339498</v>
      </c>
      <c r="M8" s="25">
        <f ca="1">L8/B8</f>
        <v>190.04746696486521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Sapin pectiné</v>
      </c>
      <c r="B9" s="163">
        <f>'Données projet'!D12</f>
        <v>0.59939999999999993</v>
      </c>
      <c r="C9" s="156">
        <f ca="1">IF(OR('Données projet'!B12="",'Données projet'!C12="",'Données projet'!C12=0%),0,Calculateur!CD3)</f>
        <v>426.64691649521097</v>
      </c>
      <c r="D9" s="156">
        <f>IF(OR('Données projet'!B12="",'Données projet'!C12="",'Données projet'!C12=0%),0,Calculateur!CE3)</f>
        <v>71.485487617222645</v>
      </c>
      <c r="E9" s="156">
        <f t="shared" ca="1" si="0"/>
        <v>71.485487617222645</v>
      </c>
      <c r="F9" s="156">
        <f t="shared" ca="1" si="1"/>
        <v>42.848401277763251</v>
      </c>
      <c r="G9" s="156">
        <f ca="1">F9*(100%-'Données projet'!$C$24)*(100%-'Données projet'!$C$25)*(100%-'Données projet'!$C$26)*(100%-'Données projet'!$C$27)</f>
        <v>32.779026977488883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32.779026977488883</v>
      </c>
      <c r="M9" s="25">
        <f ca="1">L9/B9</f>
        <v>54.686398027175322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1426.0950169013233</v>
      </c>
      <c r="G16" s="175">
        <f t="shared" ca="1" si="3"/>
        <v>1090.9626879295124</v>
      </c>
      <c r="H16" s="176">
        <f t="shared" si="3"/>
        <v>9.4053863374471369</v>
      </c>
      <c r="I16" s="176">
        <f t="shared" si="3"/>
        <v>7.1951205481470604</v>
      </c>
      <c r="J16" s="177">
        <f t="shared" si="3"/>
        <v>91.006464599999987</v>
      </c>
      <c r="K16" s="177">
        <f t="shared" si="3"/>
        <v>69.61994541899999</v>
      </c>
      <c r="L16" s="178">
        <f t="shared" ca="1" si="3"/>
        <v>1167.7777538966595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Sapin pectiné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7" zoomScale="90" zoomScaleNormal="90" workbookViewId="0">
      <selection activeCell="I20" sqref="I20:I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635.76066620224924</v>
      </c>
      <c r="U10" s="190">
        <f>'Données projet'!D9</f>
        <v>3.9997799999999999</v>
      </c>
      <c r="V10" s="189">
        <f>U10*T10</f>
        <v>2542.9027974624323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770.23355090563405</v>
      </c>
      <c r="U11" s="190">
        <f>'Données projet'!D10</f>
        <v>0.99953999999999987</v>
      </c>
      <c r="V11" s="189">
        <f t="shared" ref="V11" si="0">U11*T11</f>
        <v>769.87924347221735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1997.5625420038677</v>
      </c>
      <c r="U12" s="190">
        <f>'Données projet'!D11</f>
        <v>2.49966</v>
      </c>
      <c r="V12" s="189">
        <f t="shared" ref="V12:V19" si="1">U12*T12</f>
        <v>4993.2271837453882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Sapin pectiné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1248.1816724618004</v>
      </c>
      <c r="U13" s="190">
        <f>'Données projet'!D12</f>
        <v>0.59939999999999993</v>
      </c>
      <c r="V13" s="189">
        <f t="shared" si="1"/>
        <v>748.16009447360307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69.999999999999972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2799.9999999999991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48628/8.1</f>
        <v>6003.4567901234568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1500/8.1</f>
        <v>185.18518518518519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1000/8.1</f>
        <v>123.4567901234568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f>1000/8.1</f>
        <v>123.4567901234568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-42801.263934703238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1041.1246256239995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63</v>
      </c>
      <c r="C25" s="206">
        <v>15</v>
      </c>
      <c r="D25" s="194">
        <f t="shared" si="2"/>
        <v>945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-43842.388560327236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67</v>
      </c>
      <c r="C27" s="206">
        <v>18</v>
      </c>
      <c r="D27" s="194">
        <f t="shared" si="2"/>
        <v>1206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69</v>
      </c>
      <c r="C28" s="206">
        <v>20</v>
      </c>
      <c r="D28" s="194">
        <f t="shared" si="2"/>
        <v>1380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71</v>
      </c>
      <c r="C29" s="206">
        <v>25</v>
      </c>
      <c r="D29" s="194">
        <f t="shared" si="2"/>
        <v>1775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73</v>
      </c>
      <c r="C30" s="206">
        <v>30</v>
      </c>
      <c r="D30" s="194">
        <f t="shared" si="2"/>
        <v>2190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375</v>
      </c>
      <c r="C31" s="206">
        <v>50</v>
      </c>
      <c r="D31" s="194">
        <f t="shared" si="2"/>
        <v>18750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4</v>
      </c>
      <c r="C54" s="292">
        <v>8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17</v>
      </c>
      <c r="C56" s="292">
        <v>9</v>
      </c>
      <c r="D56" s="191">
        <f t="shared" si="4"/>
        <v>153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14</v>
      </c>
      <c r="C57" s="292">
        <v>12</v>
      </c>
      <c r="D57" s="191">
        <f t="shared" si="4"/>
        <v>168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11</v>
      </c>
      <c r="C58" s="292">
        <v>12</v>
      </c>
      <c r="D58" s="191">
        <f t="shared" si="4"/>
        <v>132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9</v>
      </c>
      <c r="C59" s="292">
        <v>13</v>
      </c>
      <c r="D59" s="191">
        <f t="shared" si="4"/>
        <v>117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7</v>
      </c>
      <c r="C60" s="292">
        <v>13</v>
      </c>
      <c r="D60" s="191">
        <f t="shared" si="4"/>
        <v>91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6</v>
      </c>
      <c r="C61" s="292">
        <v>14</v>
      </c>
      <c r="D61" s="191">
        <f t="shared" si="4"/>
        <v>84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252</v>
      </c>
      <c r="C62" s="292">
        <v>14</v>
      </c>
      <c r="D62" s="191">
        <f t="shared" si="4"/>
        <v>3528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16</v>
      </c>
      <c r="C85" s="292">
        <v>12</v>
      </c>
      <c r="D85" s="191">
        <f>B85*C85</f>
        <v>192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17</v>
      </c>
      <c r="C86" s="292">
        <v>12</v>
      </c>
      <c r="D86" s="191">
        <f t="shared" ref="D86:D104" si="6">B86*C86</f>
        <v>204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34</v>
      </c>
      <c r="C87" s="292">
        <v>15</v>
      </c>
      <c r="D87" s="191">
        <f t="shared" si="6"/>
        <v>510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41</v>
      </c>
      <c r="C88" s="292">
        <v>17</v>
      </c>
      <c r="D88" s="191">
        <f t="shared" si="6"/>
        <v>697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41</v>
      </c>
      <c r="C89" s="292">
        <v>17</v>
      </c>
      <c r="D89" s="191">
        <f t="shared" si="6"/>
        <v>697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53</v>
      </c>
      <c r="C90" s="292">
        <v>17</v>
      </c>
      <c r="D90" s="191">
        <f t="shared" si="6"/>
        <v>901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53</v>
      </c>
      <c r="C91" s="292">
        <v>20</v>
      </c>
      <c r="D91" s="191">
        <f t="shared" si="6"/>
        <v>1060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78</v>
      </c>
      <c r="C92" s="292">
        <v>25</v>
      </c>
      <c r="D92" s="191">
        <f t="shared" si="6"/>
        <v>1950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65</v>
      </c>
      <c r="C93" s="292">
        <v>30</v>
      </c>
      <c r="D93" s="191">
        <f t="shared" si="6"/>
        <v>1950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37</v>
      </c>
      <c r="C94" s="292">
        <v>35</v>
      </c>
      <c r="D94" s="191">
        <f t="shared" si="6"/>
        <v>1295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555</v>
      </c>
      <c r="C95" s="292">
        <v>60</v>
      </c>
      <c r="D95" s="191">
        <f t="shared" si="6"/>
        <v>33300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Sapin pectiné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39</v>
      </c>
      <c r="B116" s="193">
        <f>'Données projet'!D114</f>
        <v>25</v>
      </c>
      <c r="C116" s="204">
        <v>15</v>
      </c>
      <c r="D116" s="191">
        <f>B116*C116</f>
        <v>375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46</v>
      </c>
      <c r="B117" s="193">
        <f>'Données projet'!D115</f>
        <v>50</v>
      </c>
      <c r="C117" s="204">
        <v>20</v>
      </c>
      <c r="D117" s="191">
        <f t="shared" ref="D117:D135" si="8">B117*C117</f>
        <v>1000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53</v>
      </c>
      <c r="B118" s="193">
        <f>'Données projet'!D116</f>
        <v>75</v>
      </c>
      <c r="C118" s="204">
        <v>30</v>
      </c>
      <c r="D118" s="191">
        <f t="shared" si="8"/>
        <v>2250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60</v>
      </c>
      <c r="B119" s="193">
        <f>'Données projet'!D117</f>
        <v>100</v>
      </c>
      <c r="C119" s="204">
        <v>35</v>
      </c>
      <c r="D119" s="191">
        <f t="shared" si="8"/>
        <v>3500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70</v>
      </c>
      <c r="B120" s="193">
        <f>'Données projet'!D118</f>
        <v>100</v>
      </c>
      <c r="C120" s="204">
        <v>35</v>
      </c>
      <c r="D120" s="191">
        <f t="shared" si="8"/>
        <v>3500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80</v>
      </c>
      <c r="B121" s="193">
        <f>'Données projet'!D119</f>
        <v>100</v>
      </c>
      <c r="C121" s="204">
        <v>35</v>
      </c>
      <c r="D121" s="191">
        <f t="shared" si="8"/>
        <v>3500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90</v>
      </c>
      <c r="B122" s="193">
        <f>'Données projet'!D120</f>
        <v>100</v>
      </c>
      <c r="C122" s="204">
        <v>40</v>
      </c>
      <c r="D122" s="191">
        <f t="shared" si="8"/>
        <v>4000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100</v>
      </c>
      <c r="B123" s="193">
        <f>'Données projet'!D121</f>
        <v>100</v>
      </c>
      <c r="C123" s="204">
        <v>45</v>
      </c>
      <c r="D123" s="191">
        <f t="shared" si="8"/>
        <v>4500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110</v>
      </c>
      <c r="B124" s="193">
        <f>'Données projet'!D122</f>
        <v>100</v>
      </c>
      <c r="C124" s="204">
        <v>45</v>
      </c>
      <c r="D124" s="191">
        <f t="shared" si="8"/>
        <v>4500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120</v>
      </c>
      <c r="B125" s="193">
        <f>'Données projet'!D123</f>
        <v>100</v>
      </c>
      <c r="C125" s="204">
        <v>54</v>
      </c>
      <c r="D125" s="191">
        <f t="shared" si="8"/>
        <v>5400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130</v>
      </c>
      <c r="B126" s="193">
        <f>'Données projet'!D124</f>
        <v>100</v>
      </c>
      <c r="C126" s="204">
        <v>54</v>
      </c>
      <c r="D126" s="191">
        <f t="shared" si="8"/>
        <v>5400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140</v>
      </c>
      <c r="B127" s="193">
        <f>'Données projet'!D125</f>
        <v>830</v>
      </c>
      <c r="C127" s="204">
        <v>60</v>
      </c>
      <c r="D127" s="191">
        <f t="shared" si="8"/>
        <v>49800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2024-07-23T14:28:06Z</dcterms:modified>
</cp:coreProperties>
</file>