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Dropbox (Compte personnel)\SPRL\LOUPPE Olivier Jametz\SUBSIDE\Label Bas Carbone\"/>
    </mc:Choice>
  </mc:AlternateContent>
  <xr:revisionPtr revIDLastSave="0" documentId="13_ncr:1_{D310BE17-A544-40B1-ACDF-03429115AE05}" xr6:coauthVersionLast="47" xr6:coauthVersionMax="47" xr10:uidLastSave="{00000000-0000-0000-0000-000000000000}"/>
  <bookViews>
    <workbookView xWindow="-12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6" i="1" l="1"/>
  <c r="D95" i="1"/>
  <c r="D69" i="1"/>
  <c r="D4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B22" i="2" s="1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FS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HH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A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HH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B201" i="2"/>
  <c r="HH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51" i="2" l="1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HG203" i="2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35" i="2" l="1"/>
  <c r="CY153" i="2"/>
  <c r="CY24" i="2"/>
  <c r="CY115" i="2"/>
  <c r="CY189" i="2"/>
  <c r="CY199" i="2"/>
  <c r="CY89" i="2"/>
  <c r="CY66" i="2"/>
  <c r="CY86" i="2"/>
  <c r="CY179" i="2"/>
  <c r="CY160" i="2"/>
  <c r="CY21" i="2"/>
  <c r="CY45" i="2"/>
  <c r="CY202" i="2"/>
  <c r="CY201" i="2"/>
  <c r="CY50" i="2"/>
  <c r="CY8" i="2"/>
  <c r="CY72" i="2"/>
  <c r="CY68" i="2"/>
  <c r="CY113" i="2"/>
  <c r="CY23" i="2"/>
  <c r="CY83" i="2"/>
  <c r="CY134" i="2"/>
  <c r="CY58" i="2"/>
  <c r="CY148" i="2"/>
  <c r="CY137" i="2"/>
  <c r="CY116" i="2"/>
  <c r="CY125" i="2"/>
  <c r="CY4" i="2"/>
  <c r="CY197" i="2"/>
  <c r="CY158" i="2"/>
  <c r="CY107" i="2"/>
  <c r="CY133" i="2"/>
  <c r="CY92" i="2"/>
  <c r="CY80" i="2"/>
  <c r="CY200" i="2"/>
  <c r="CY136" i="2"/>
  <c r="CY159" i="2"/>
  <c r="CY82" i="2"/>
  <c r="CY144" i="2"/>
  <c r="CY142" i="2"/>
  <c r="CY146" i="2"/>
  <c r="CY198" i="2"/>
  <c r="CY130" i="2"/>
  <c r="CY177" i="2"/>
  <c r="CY59" i="2"/>
  <c r="CY155" i="2"/>
  <c r="CY170" i="2"/>
  <c r="CY74" i="2"/>
  <c r="CY181" i="2"/>
  <c r="CY183" i="2"/>
  <c r="CY16" i="2"/>
  <c r="CY31" i="2"/>
  <c r="CY138" i="2"/>
  <c r="CY91" i="2"/>
  <c r="CY62" i="2"/>
  <c r="CY110" i="2"/>
  <c r="CY120" i="2"/>
  <c r="CY12" i="2"/>
  <c r="CY161" i="2"/>
  <c r="CY3" i="2"/>
  <c r="C10" i="4" s="1"/>
  <c r="E10" i="4" s="1"/>
  <c r="F10" i="4" s="1"/>
  <c r="G10" i="4" s="1"/>
  <c r="L10" i="4" s="1"/>
  <c r="CY65" i="2"/>
  <c r="CY156" i="2"/>
  <c r="CY49" i="2"/>
  <c r="CY42" i="2"/>
  <c r="CY129" i="2"/>
  <c r="CY135" i="2"/>
  <c r="CY30" i="2"/>
  <c r="CY87" i="2"/>
  <c r="CY163" i="2"/>
  <c r="CY168" i="2"/>
  <c r="CY55" i="2"/>
  <c r="CY85" i="2"/>
  <c r="CY154" i="2"/>
  <c r="CY167" i="2"/>
  <c r="CY7" i="2"/>
  <c r="CY145" i="2"/>
  <c r="CY41" i="2"/>
  <c r="CY63" i="2"/>
  <c r="CY13" i="2"/>
  <c r="CY22" i="2"/>
  <c r="CY176" i="2"/>
  <c r="CY190" i="2"/>
  <c r="CY184" i="2"/>
  <c r="CY81" i="2"/>
  <c r="CY93" i="2"/>
  <c r="CY123" i="2"/>
  <c r="CY175" i="2"/>
  <c r="CY166" i="2"/>
  <c r="CY122" i="2"/>
  <c r="CY114" i="2"/>
  <c r="CY173" i="2"/>
  <c r="CY127" i="2"/>
  <c r="CY143" i="2"/>
  <c r="CY51" i="2"/>
  <c r="CY10" i="2"/>
  <c r="CY57" i="2"/>
  <c r="CY151" i="2"/>
  <c r="CY15" i="2"/>
  <c r="CY139" i="2"/>
  <c r="CY141" i="2"/>
  <c r="CY187" i="2"/>
  <c r="CY140" i="2"/>
  <c r="CY124" i="2"/>
  <c r="CY180" i="2"/>
  <c r="CY90" i="2"/>
  <c r="CY44" i="2"/>
  <c r="CY98" i="2"/>
  <c r="CY18" i="2"/>
  <c r="CY33" i="2"/>
  <c r="CY106" i="2"/>
  <c r="CY77" i="2"/>
  <c r="CY109" i="2"/>
  <c r="CY64" i="2"/>
  <c r="CY61" i="2"/>
  <c r="CY102" i="2"/>
  <c r="CY101" i="2"/>
  <c r="CY192" i="2"/>
  <c r="CY70" i="2"/>
  <c r="CY56" i="2"/>
  <c r="CY67" i="2"/>
  <c r="CY79" i="2"/>
  <c r="CY194" i="2"/>
  <c r="CY88" i="2"/>
  <c r="CY54" i="2"/>
  <c r="CY152" i="2"/>
  <c r="CY94" i="2"/>
  <c r="CY118" i="2"/>
  <c r="CY32" i="2"/>
  <c r="CY108" i="2"/>
  <c r="CY71" i="2"/>
  <c r="CY132" i="2"/>
  <c r="CY119" i="2"/>
  <c r="CY84" i="2"/>
  <c r="CY171" i="2"/>
  <c r="CY193" i="2"/>
  <c r="CY126" i="2"/>
  <c r="CY131" i="2"/>
  <c r="CY9" i="2"/>
  <c r="CY203" i="2"/>
  <c r="CY38" i="2"/>
  <c r="CY78" i="2"/>
  <c r="CY104" i="2"/>
  <c r="CY191" i="2"/>
  <c r="CY182" i="2"/>
  <c r="CY188" i="2"/>
  <c r="CY53" i="2"/>
  <c r="CY103" i="2"/>
  <c r="CY178" i="2"/>
  <c r="CY75" i="2"/>
  <c r="CY52" i="2"/>
  <c r="CY186" i="2"/>
  <c r="CY162" i="2"/>
  <c r="CY195" i="2"/>
  <c r="CY111" i="2"/>
  <c r="CY157" i="2"/>
  <c r="CY34" i="2"/>
  <c r="CY150" i="2"/>
  <c r="CY112" i="2"/>
  <c r="CY96" i="2"/>
  <c r="CY117" i="2"/>
  <c r="CY48" i="2"/>
  <c r="CY105" i="2"/>
  <c r="CY36" i="2"/>
  <c r="CY174" i="2"/>
  <c r="CY169" i="2"/>
  <c r="CY149" i="2"/>
  <c r="CY47" i="2"/>
  <c r="CY164" i="2"/>
  <c r="CY95" i="2"/>
  <c r="CY121" i="2"/>
  <c r="CY100" i="2"/>
  <c r="CY28" i="2"/>
  <c r="CY46" i="2"/>
  <c r="CY97" i="2"/>
  <c r="CY185" i="2"/>
  <c r="CY60" i="2"/>
  <c r="CY11" i="2"/>
  <c r="CY147" i="2"/>
  <c r="CY26" i="2"/>
  <c r="CY37" i="2"/>
  <c r="CY165" i="2"/>
  <c r="CY25" i="2"/>
  <c r="CY39" i="2"/>
  <c r="CY20" i="2"/>
  <c r="CY6" i="2"/>
  <c r="CY99" i="2"/>
  <c r="CY73" i="2"/>
  <c r="CY27" i="2"/>
  <c r="CY14" i="2"/>
  <c r="CY40" i="2"/>
  <c r="CY17" i="2"/>
  <c r="CY19" i="2"/>
  <c r="CY69" i="2"/>
  <c r="CY196" i="2"/>
  <c r="CY43" i="2"/>
  <c r="CY172" i="2"/>
  <c r="CY128" i="2"/>
  <c r="CY29" i="2"/>
  <c r="CY5" i="2"/>
  <c r="CY76" i="2"/>
  <c r="CD60" i="2"/>
  <c r="CD70" i="2"/>
  <c r="CD122" i="2"/>
  <c r="CD26" i="2"/>
  <c r="CD106" i="2"/>
  <c r="CD42" i="2"/>
  <c r="CD192" i="2"/>
  <c r="CD148" i="2"/>
  <c r="CD95" i="2"/>
  <c r="CD137" i="2"/>
  <c r="CD89" i="2"/>
  <c r="CD3" i="2"/>
  <c r="C9" i="4" s="1"/>
  <c r="E9" i="4" s="1"/>
  <c r="F9" i="4" s="1"/>
  <c r="G9" i="4" s="1"/>
  <c r="L9" i="4" s="1"/>
  <c r="CD93" i="2"/>
  <c r="CD91" i="2"/>
  <c r="CD45" i="2"/>
  <c r="CD100" i="2"/>
  <c r="CD24" i="2"/>
  <c r="CD51" i="2"/>
  <c r="CD110" i="2"/>
  <c r="CD48" i="2"/>
  <c r="CD8" i="2"/>
  <c r="CD28" i="2"/>
  <c r="CD54" i="2"/>
  <c r="CD166" i="2"/>
  <c r="CD29" i="2"/>
  <c r="CD152" i="2"/>
  <c r="CD73" i="2"/>
  <c r="CD72" i="2"/>
  <c r="CD83" i="2"/>
  <c r="CD57" i="2"/>
  <c r="CD103" i="2"/>
  <c r="CD182" i="2"/>
  <c r="CD36" i="2"/>
  <c r="CD9" i="2"/>
  <c r="CD43" i="2"/>
  <c r="CD78" i="2"/>
  <c r="CD125" i="2"/>
  <c r="CD160" i="2"/>
  <c r="CD153" i="2"/>
  <c r="CD119" i="2"/>
  <c r="CD13" i="2"/>
  <c r="CD124" i="2"/>
  <c r="CD44" i="2"/>
  <c r="CD52" i="2"/>
  <c r="CD68" i="2"/>
  <c r="CD180" i="2"/>
  <c r="CD38" i="2"/>
  <c r="CD104" i="2"/>
  <c r="CD118" i="2"/>
  <c r="CD145" i="2"/>
  <c r="CD156" i="2"/>
  <c r="CD186" i="2"/>
  <c r="CD196" i="2"/>
  <c r="CD159" i="2"/>
  <c r="CD198" i="2"/>
  <c r="CD34" i="2"/>
  <c r="CD41" i="2"/>
  <c r="CD37" i="2"/>
  <c r="CD31" i="2"/>
  <c r="CD151" i="2"/>
  <c r="CD189" i="2"/>
  <c r="CD161" i="2"/>
  <c r="CD143" i="2"/>
  <c r="CD117" i="2"/>
  <c r="CD67" i="2"/>
  <c r="CD126" i="2"/>
  <c r="CD134" i="2"/>
  <c r="CD185" i="2"/>
  <c r="CD80" i="2"/>
  <c r="CD178" i="2"/>
  <c r="CD112" i="2"/>
  <c r="CD138" i="2"/>
  <c r="CD5" i="2"/>
  <c r="CD65" i="2"/>
  <c r="CD168" i="2"/>
  <c r="CD149" i="2"/>
  <c r="CD114" i="2"/>
  <c r="CD113" i="2"/>
  <c r="CD40" i="2"/>
  <c r="CD82" i="2"/>
  <c r="CD74" i="2"/>
  <c r="CD14" i="2"/>
  <c r="CD27" i="2"/>
  <c r="CD64" i="2"/>
  <c r="CD101" i="2"/>
  <c r="CD147" i="2"/>
  <c r="CD194" i="2"/>
  <c r="CD75" i="2"/>
  <c r="CD139" i="2"/>
  <c r="CD4" i="2"/>
  <c r="CD128" i="2"/>
  <c r="CD92" i="2"/>
  <c r="CD115" i="2"/>
  <c r="CD136" i="2"/>
  <c r="CD202" i="2"/>
  <c r="CD30" i="2"/>
  <c r="CD21" i="2"/>
  <c r="CD199" i="2"/>
  <c r="CD164" i="2"/>
  <c r="CD121" i="2"/>
  <c r="CD11" i="2"/>
  <c r="CD129" i="2"/>
  <c r="CD162" i="2"/>
  <c r="CD23" i="2"/>
  <c r="CD181" i="2"/>
  <c r="CD163" i="2"/>
  <c r="CD63" i="2"/>
  <c r="CD123" i="2"/>
  <c r="CD179" i="2"/>
  <c r="CD71" i="2"/>
  <c r="CD154" i="2"/>
  <c r="CD76" i="2"/>
  <c r="CD187" i="2"/>
  <c r="CD88" i="2"/>
  <c r="CD61" i="2"/>
  <c r="CD33" i="2"/>
  <c r="CD17" i="2"/>
  <c r="CD56" i="2"/>
  <c r="CD165" i="2"/>
  <c r="CD84" i="2"/>
  <c r="CD7" i="2"/>
  <c r="CD15" i="2"/>
  <c r="CD158" i="2"/>
  <c r="CD87" i="2"/>
  <c r="CD172" i="2"/>
  <c r="CD58" i="2"/>
  <c r="CD188" i="2"/>
  <c r="CD47" i="2"/>
  <c r="CD108" i="2"/>
  <c r="CD16" i="2"/>
  <c r="CD105" i="2"/>
  <c r="CD25" i="2"/>
  <c r="CD169" i="2"/>
  <c r="CD193" i="2"/>
  <c r="CD170" i="2"/>
  <c r="CD53" i="2"/>
  <c r="CD142" i="2"/>
  <c r="CD191" i="2"/>
  <c r="CD99" i="2"/>
  <c r="CD131" i="2"/>
  <c r="CD102" i="2"/>
  <c r="CD135" i="2"/>
  <c r="CD177" i="2"/>
  <c r="CD98" i="2"/>
  <c r="CD39" i="2"/>
  <c r="CD195" i="2"/>
  <c r="CD176" i="2"/>
  <c r="CD96" i="2"/>
  <c r="CD12" i="2"/>
  <c r="CD190" i="2"/>
  <c r="CD184" i="2"/>
  <c r="CD94" i="2"/>
  <c r="CD19" i="2"/>
  <c r="CD155" i="2"/>
  <c r="CD81" i="2"/>
  <c r="CD107" i="2"/>
  <c r="CD6" i="2"/>
  <c r="CD140" i="2"/>
  <c r="CD120" i="2"/>
  <c r="CD197" i="2"/>
  <c r="CD49" i="2"/>
  <c r="CD133" i="2"/>
  <c r="CD46" i="2"/>
  <c r="CD20" i="2"/>
  <c r="CD167" i="2"/>
  <c r="CD62" i="2"/>
  <c r="CD130" i="2"/>
  <c r="CD109" i="2"/>
  <c r="CD77" i="2"/>
  <c r="CD116" i="2"/>
  <c r="CD201" i="2"/>
  <c r="CD18" i="2"/>
  <c r="CD144" i="2"/>
  <c r="CD66" i="2"/>
  <c r="CD50" i="2"/>
  <c r="CD146" i="2"/>
  <c r="CD97" i="2"/>
  <c r="CD141" i="2"/>
  <c r="CD174" i="2"/>
  <c r="CD79" i="2"/>
  <c r="CD150" i="2"/>
  <c r="CD32" i="2"/>
  <c r="CD173" i="2"/>
  <c r="CD200" i="2"/>
  <c r="CD111" i="2"/>
  <c r="CD86" i="2"/>
  <c r="CD132" i="2"/>
  <c r="CD85" i="2"/>
  <c r="CD183" i="2"/>
  <c r="CD127" i="2"/>
  <c r="CD175" i="2"/>
  <c r="CD69" i="2"/>
  <c r="CD171" i="2"/>
  <c r="CD55" i="2"/>
  <c r="CD35" i="2"/>
  <c r="CD59" i="2"/>
  <c r="CD203" i="2"/>
  <c r="CD10" i="2"/>
  <c r="CD157" i="2"/>
  <c r="CD22" i="2"/>
  <c r="CD9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<sst xmlns="http://schemas.openxmlformats.org/spreadsheetml/2006/main" count="1174" uniqueCount="324">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</sst>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1.717976552924626</c:v>
                </c:pt>
                <c:pt idx="2">
                  <c:v>2.2240299440090214</c:v>
                </c:pt>
                <c:pt idx="3">
                  <c:v>2.8797580405780443</c:v>
                </c:pt>
                <c:pt idx="4">
                  <c:v>3.7296002679201314</c:v>
                </c:pt>
                <c:pt idx="5">
                  <c:v>4.83123780824004</c:v>
                </c:pt>
                <c:pt idx="6">
                  <c:v>6.2595524240560687</c:v>
                </c:pt>
                <c:pt idx="7">
                  <c:v>14.204407845954625</c:v>
                </c:pt>
                <c:pt idx="8">
                  <c:v>22.009472165717813</c:v>
                </c:pt>
                <c:pt idx="9">
                  <c:v>29.733883587545066</c:v>
                </c:pt>
                <c:pt idx="10">
                  <c:v>44.646681955238904</c:v>
                </c:pt>
                <c:pt idx="11">
                  <c:v>59.423997506342801</c:v>
                </c:pt>
                <c:pt idx="12">
                  <c:v>74.104822657343036</c:v>
                </c:pt>
                <c:pt idx="13">
                  <c:v>94.68533315211242</c:v>
                </c:pt>
                <c:pt idx="14">
                  <c:v>115.15377224980968</c:v>
                </c:pt>
                <c:pt idx="15">
                  <c:v>135.53296741206469</c:v>
                </c:pt>
                <c:pt idx="16">
                  <c:v>159.52310606398541</c:v>
                </c:pt>
                <c:pt idx="17">
                  <c:v>183.42761232494459</c:v>
                </c:pt>
                <c:pt idx="18">
                  <c:v>207.25922872395259</c:v>
                </c:pt>
                <c:pt idx="19">
                  <c:v>232.4882903723784</c:v>
                </c:pt>
                <c:pt idx="20">
                  <c:v>257.65480362975569</c:v>
                </c:pt>
                <c:pt idx="21">
                  <c:v>282.76573536815431</c:v>
                </c:pt>
                <c:pt idx="22">
                  <c:v>306.73807829258823</c:v>
                </c:pt>
                <c:pt idx="23">
                  <c:v>330.66879446492726</c:v>
                </c:pt>
                <c:pt idx="24">
                  <c:v>354.56131798092298</c:v>
                </c:pt>
                <c:pt idx="25">
                  <c:v>376.61238930283429</c:v>
                </c:pt>
                <c:pt idx="26">
                  <c:v>398.63535567161983</c:v>
                </c:pt>
                <c:pt idx="27">
                  <c:v>420.63198702758746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1.940557387739035</c:v>
                </c:pt>
                <c:pt idx="2">
                  <c:v>2.5124268576420747</c:v>
                </c:pt>
                <c:pt idx="3">
                  <c:v>3.2535077216503798</c:v>
                </c:pt>
                <c:pt idx="4">
                  <c:v>4.2140595540514951</c:v>
                </c:pt>
                <c:pt idx="5">
                  <c:v>5.4593233595428963</c:v>
                </c:pt>
                <c:pt idx="6">
                  <c:v>7.0740019965222709</c:v>
                </c:pt>
                <c:pt idx="7">
                  <c:v>16.057300011828037</c:v>
                </c:pt>
                <c:pt idx="8">
                  <c:v>24.884260405439857</c:v>
                </c:pt>
                <c:pt idx="9">
                  <c:v>33.62102133675814</c:v>
                </c:pt>
                <c:pt idx="10">
                  <c:v>50.490169552565398</c:v>
                </c:pt>
                <c:pt idx="11">
                  <c:v>67.207798386934755</c:v>
                </c:pt>
                <c:pt idx="12">
                  <c:v>83.817515634385686</c:v>
                </c:pt>
                <c:pt idx="13">
                  <c:v>107.10367383077671</c:v>
                </c:pt>
                <c:pt idx="14">
                  <c:v>130.26449518232906</c:v>
                </c:pt>
                <c:pt idx="15">
                  <c:v>153.32550914696955</c:v>
                </c:pt>
                <c:pt idx="16">
                  <c:v>180.47390044122278</c:v>
                </c:pt>
                <c:pt idx="17">
                  <c:v>207.52652337727292</c:v>
                </c:pt>
                <c:pt idx="18">
                  <c:v>234.49762876686273</c:v>
                </c:pt>
                <c:pt idx="19">
                  <c:v>263.05119776940063</c:v>
                </c:pt>
                <c:pt idx="20">
                  <c:v>291.53481477536712</c:v>
                </c:pt>
                <c:pt idx="21">
                  <c:v>319.95627129790813</c:v>
                </c:pt>
                <c:pt idx="22">
                  <c:v>347.08966252971703</c:v>
                </c:pt>
                <c:pt idx="23">
                  <c:v>374.17649981551676</c:v>
                </c:pt>
                <c:pt idx="24">
                  <c:v>401.22062373138328</c:v>
                </c:pt>
                <c:pt idx="25">
                  <c:v>426.18081966980088</c:v>
                </c:pt>
                <c:pt idx="26">
                  <c:v>451.10958398301227</c:v>
                </c:pt>
                <c:pt idx="27">
                  <c:v>476.00889611215479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1.940557387739035</c:v>
                </c:pt>
                <c:pt idx="2">
                  <c:v>2.5124268576420747</c:v>
                </c:pt>
                <c:pt idx="3">
                  <c:v>3.2535077216503798</c:v>
                </c:pt>
                <c:pt idx="4">
                  <c:v>4.2140595540514951</c:v>
                </c:pt>
                <c:pt idx="5">
                  <c:v>5.4593233595428963</c:v>
                </c:pt>
                <c:pt idx="6">
                  <c:v>7.0740019965222709</c:v>
                </c:pt>
                <c:pt idx="7">
                  <c:v>16.057300011828037</c:v>
                </c:pt>
                <c:pt idx="8">
                  <c:v>24.884260405439857</c:v>
                </c:pt>
                <c:pt idx="9">
                  <c:v>33.62102133675814</c:v>
                </c:pt>
                <c:pt idx="10">
                  <c:v>50.490169552565398</c:v>
                </c:pt>
                <c:pt idx="11">
                  <c:v>67.207798386934755</c:v>
                </c:pt>
                <c:pt idx="12">
                  <c:v>83.817515634385686</c:v>
                </c:pt>
                <c:pt idx="13">
                  <c:v>107.10367383077671</c:v>
                </c:pt>
                <c:pt idx="14">
                  <c:v>130.26449518232906</c:v>
                </c:pt>
                <c:pt idx="15">
                  <c:v>153.32550914696955</c:v>
                </c:pt>
                <c:pt idx="16">
                  <c:v>180.47390044122278</c:v>
                </c:pt>
                <c:pt idx="17">
                  <c:v>207.52652337727292</c:v>
                </c:pt>
                <c:pt idx="18">
                  <c:v>234.49762876686273</c:v>
                </c:pt>
                <c:pt idx="19">
                  <c:v>263.05119776940063</c:v>
                </c:pt>
                <c:pt idx="20">
                  <c:v>291.53481477536712</c:v>
                </c:pt>
                <c:pt idx="21">
                  <c:v>319.95627129790813</c:v>
                </c:pt>
                <c:pt idx="22">
                  <c:v>347.08966252971703</c:v>
                </c:pt>
                <c:pt idx="23">
                  <c:v>374.17649981551676</c:v>
                </c:pt>
                <c:pt idx="24">
                  <c:v>401.22062373138328</c:v>
                </c:pt>
                <c:pt idx="25">
                  <c:v>426.18081966980088</c:v>
                </c:pt>
                <c:pt idx="26">
                  <c:v>451.10958398301227</c:v>
                </c:pt>
                <c:pt idx="27">
                  <c:v>476.00889611215479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2.4473902246669197</c:v>
                </c:pt>
                <c:pt idx="2">
                  <c:v>2.5923184264395052</c:v>
                </c:pt>
                <c:pt idx="3">
                  <c:v>2.7458575403059662</c:v>
                </c:pt>
                <c:pt idx="4">
                  <c:v>2.9085207964638378</c:v>
                </c:pt>
                <c:pt idx="5">
                  <c:v>3.0808521053375766</c:v>
                </c:pt>
                <c:pt idx="6">
                  <c:v>3.263427896667713</c:v>
                </c:pt>
                <c:pt idx="7">
                  <c:v>3.4568590691245746</c:v>
                </c:pt>
                <c:pt idx="8">
                  <c:v>3.6617930571045836</c:v>
                </c:pt>
                <c:pt idx="9">
                  <c:v>3.8789160217690224</c:v>
                </c:pt>
                <c:pt idx="10">
                  <c:v>4.1089551738114771</c:v>
                </c:pt>
                <c:pt idx="11">
                  <c:v>4.3526812358921365</c:v>
                </c:pt>
                <c:pt idx="12">
                  <c:v>4.6109110531566389</c:v>
                </c:pt>
                <c:pt idx="13">
                  <c:v>4.8845103607654403</c:v>
                </c:pt>
                <c:pt idx="14">
                  <c:v>5.1743967178989623</c:v>
                </c:pt>
                <c:pt idx="15">
                  <c:v>5.4815426182755038</c:v>
                </c:pt>
                <c:pt idx="16">
                  <c:v>5.8069787878253569</c:v>
                </c:pt>
                <c:pt idx="17">
                  <c:v>6.1517976808077011</c:v>
                </c:pt>
                <c:pt idx="18">
                  <c:v>6.5171571863388733</c:v>
                </c:pt>
                <c:pt idx="19">
                  <c:v>6.9042845580239769</c:v>
                </c:pt>
                <c:pt idx="20">
                  <c:v>7.3144805801510335</c:v>
                </c:pt>
                <c:pt idx="21">
                  <c:v>7.7491239847203097</c:v>
                </c:pt>
                <c:pt idx="22">
                  <c:v>8.2096761344445657</c:v>
                </c:pt>
                <c:pt idx="23">
                  <c:v>8.6976859877709582</c:v>
                </c:pt>
                <c:pt idx="24">
                  <c:v>9.2147953629460098</c:v>
                </c:pt>
                <c:pt idx="25">
                  <c:v>9.7627445191744062</c:v>
                </c:pt>
                <c:pt idx="26">
                  <c:v>10.343378074014201</c:v>
                </c:pt>
                <c:pt idx="27">
                  <c:v>10.95865127730881</c:v>
                </c:pt>
                <c:pt idx="28">
                  <c:v>11.610636663184456</c:v>
                </c:pt>
                <c:pt idx="29">
                  <c:v>12.301531102943962</c:v>
                </c:pt>
                <c:pt idx="30">
                  <c:v>13.033663283069531</c:v>
                </c:pt>
                <c:pt idx="31">
                  <c:v>16.873402240495356</c:v>
                </c:pt>
                <c:pt idx="32">
                  <c:v>22.758847130659262</c:v>
                </c:pt>
                <c:pt idx="33">
                  <c:v>28.600497631340783</c:v>
                </c:pt>
                <c:pt idx="34">
                  <c:v>34.408663244222417</c:v>
                </c:pt>
                <c:pt idx="35">
                  <c:v>40.189835722995618</c:v>
                </c:pt>
                <c:pt idx="36">
                  <c:v>45.948466940528562</c:v>
                </c:pt>
                <c:pt idx="37">
                  <c:v>43.918360080877228</c:v>
                </c:pt>
                <c:pt idx="38">
                  <c:v>50.00160312094232</c:v>
                </c:pt>
                <c:pt idx="39">
                  <c:v>56.06521014514886</c:v>
                </c:pt>
                <c:pt idx="40">
                  <c:v>62.111611813038422</c:v>
                </c:pt>
                <c:pt idx="41">
                  <c:v>68.14272452108996</c:v>
                </c:pt>
                <c:pt idx="42">
                  <c:v>74.160096244932106</c:v>
                </c:pt>
                <c:pt idx="43">
                  <c:v>65.128975209409234</c:v>
                </c:pt>
                <c:pt idx="44">
                  <c:v>72.155748931369416</c:v>
                </c:pt>
                <c:pt idx="45">
                  <c:v>79.165002733152164</c:v>
                </c:pt>
                <c:pt idx="46">
                  <c:v>86.158510470515978</c:v>
                </c:pt>
                <c:pt idx="47">
                  <c:v>93.137733497803012</c:v>
                </c:pt>
                <c:pt idx="48">
                  <c:v>100.10389557417513</c:v>
                </c:pt>
                <c:pt idx="49">
                  <c:v>79.165002733152164</c:v>
                </c:pt>
                <c:pt idx="50">
                  <c:v>88.153974367366061</c:v>
                </c:pt>
                <c:pt idx="51">
                  <c:v>97.119926474159456</c:v>
                </c:pt>
                <c:pt idx="52">
                  <c:v>106.06528794847596</c:v>
                </c:pt>
                <c:pt idx="53">
                  <c:v>114.99204327253635</c:v>
                </c:pt>
                <c:pt idx="54">
                  <c:v>123.90184283210725</c:v>
                </c:pt>
                <c:pt idx="55">
                  <c:v>89.815993132182413</c:v>
                </c:pt>
                <c:pt idx="56">
                  <c:v>101.4293914192823</c:v>
                </c:pt>
                <c:pt idx="57">
                  <c:v>113.009838809914</c:v>
                </c:pt>
                <c:pt idx="58">
                  <c:v>124.5611931900976</c:v>
                </c:pt>
                <c:pt idx="59">
                  <c:v>136.08653635659348</c:v>
                </c:pt>
                <c:pt idx="60">
                  <c:v>147.58838420434714</c:v>
                </c:pt>
                <c:pt idx="61">
                  <c:v>118.62392438500716</c:v>
                </c:pt>
                <c:pt idx="62">
                  <c:v>129.17429999950468</c:v>
                </c:pt>
                <c:pt idx="63">
                  <c:v>139.70382844505221</c:v>
                </c:pt>
                <c:pt idx="64">
                  <c:v>150.21430430670708</c:v>
                </c:pt>
                <c:pt idx="65">
                  <c:v>160.70725005651829</c:v>
                </c:pt>
                <c:pt idx="66">
                  <c:v>171.18397278750868</c:v>
                </c:pt>
                <c:pt idx="67">
                  <c:v>144.96134716666663</c:v>
                </c:pt>
                <c:pt idx="68">
                  <c:v>154.15113885911964</c:v>
                </c:pt>
                <c:pt idx="69">
                  <c:v>163.32790467213928</c:v>
                </c:pt>
                <c:pt idx="70">
                  <c:v>172.49248056969074</c:v>
                </c:pt>
                <c:pt idx="71">
                  <c:v>181.64560629406219</c:v>
                </c:pt>
                <c:pt idx="72">
                  <c:v>190.78794083960554</c:v>
                </c:pt>
                <c:pt idx="73">
                  <c:v>161.0348868995338</c:v>
                </c:pt>
                <c:pt idx="74">
                  <c:v>170.52963067971737</c:v>
                </c:pt>
                <c:pt idx="75">
                  <c:v>180.01192902911077</c:v>
                </c:pt>
                <c:pt idx="76">
                  <c:v>189.482530673296</c:v>
                </c:pt>
                <c:pt idx="77">
                  <c:v>198.94210327962887</c:v>
                </c:pt>
                <c:pt idx="78">
                  <c:v>208.39124575488825</c:v>
                </c:pt>
                <c:pt idx="79">
                  <c:v>175.76273266716782</c:v>
                </c:pt>
                <c:pt idx="80">
                  <c:v>186.21808407588097</c:v>
                </c:pt>
                <c:pt idx="81">
                  <c:v>196.65973476943876</c:v>
                </c:pt>
                <c:pt idx="82">
                  <c:v>207.08851536556986</c:v>
                </c:pt>
                <c:pt idx="83">
                  <c:v>217.5051658979414</c:v>
                </c:pt>
                <c:pt idx="84">
                  <c:v>227.91034965501248</c:v>
                </c:pt>
                <c:pt idx="85">
                  <c:v>199.92007479971861</c:v>
                </c:pt>
                <c:pt idx="86">
                  <c:v>209.04254033588731</c:v>
                </c:pt>
                <c:pt idx="87">
                  <c:v>218.15581931274565</c:v>
                </c:pt>
                <c:pt idx="88">
                  <c:v>227.2603500006866</c:v>
                </c:pt>
                <c:pt idx="89">
                  <c:v>236.35653264674673</c:v>
                </c:pt>
                <c:pt idx="90">
                  <c:v>245.44473414197429</c:v>
                </c:pt>
                <c:pt idx="91">
                  <c:v>212.54245014302194</c:v>
                </c:pt>
                <c:pt idx="92">
                  <c:v>220.5953734744993</c:v>
                </c:pt>
                <c:pt idx="93">
                  <c:v>228.64154854513018</c:v>
                </c:pt>
                <c:pt idx="94">
                  <c:v>236.68124661431287</c:v>
                </c:pt>
                <c:pt idx="95">
                  <c:v>244.71471898534026</c:v>
                </c:pt>
                <c:pt idx="96">
                  <c:v>252.74219909498015</c:v>
                </c:pt>
                <c:pt idx="97">
                  <c:v>260.76390432339764</c:v>
                </c:pt>
                <c:pt idx="98">
                  <c:v>268.78003756948306</c:v>
                </c:pt>
                <c:pt idx="99">
                  <c:v>225.71642992008981</c:v>
                </c:pt>
                <c:pt idx="100">
                  <c:v>235.21995351169357</c:v>
                </c:pt>
                <c:pt idx="101">
                  <c:v>244.71471898534026</c:v>
                </c:pt>
                <c:pt idx="102">
                  <c:v>254.2011143617477</c:v>
                </c:pt>
                <c:pt idx="103">
                  <c:v>263.67949630895845</c:v>
                </c:pt>
                <c:pt idx="104">
                  <c:v>273.15019373627206</c:v>
                </c:pt>
                <c:pt idx="105">
                  <c:v>282.61351086321378</c:v>
                </c:pt>
                <c:pt idx="106">
                  <c:v>292.06972985560304</c:v>
                </c:pt>
                <c:pt idx="107">
                  <c:v>246.90461659249979</c:v>
                </c:pt>
                <c:pt idx="108">
                  <c:v>256.14603997721747</c:v>
                </c:pt>
                <c:pt idx="109">
                  <c:v>265.37992181695807</c:v>
                </c:pt>
                <c:pt idx="110">
                  <c:v>274.60656174697812</c:v>
                </c:pt>
                <c:pt idx="111">
                  <c:v>283.82623760553963</c:v>
                </c:pt>
                <c:pt idx="112">
                  <c:v>293.03920769154757</c:v>
                </c:pt>
                <c:pt idx="113">
                  <c:v>302.24571272320384</c:v>
                </c:pt>
                <c:pt idx="114">
                  <c:v>311.445977545365</c:v>
                </c:pt>
                <c:pt idx="115">
                  <c:v>259.54885745295991</c:v>
                </c:pt>
                <c:pt idx="116">
                  <c:v>269.75132070455169</c:v>
                </c:pt>
                <c:pt idx="117">
                  <c:v>279.94510063880506</c:v>
                </c:pt>
                <c:pt idx="118">
                  <c:v>290.13055823222999</c:v>
                </c:pt>
                <c:pt idx="119">
                  <c:v>300.3080270291739</c:v>
                </c:pt>
                <c:pt idx="120">
                  <c:v>310.47781610568069</c:v>
                </c:pt>
                <c:pt idx="121">
                  <c:v>320.64021262447153</c:v>
                </c:pt>
                <c:pt idx="122">
                  <c:v>330.79548404889391</c:v>
                </c:pt>
                <c:pt idx="123">
                  <c:v>280.67290522042191</c:v>
                </c:pt>
                <c:pt idx="124">
                  <c:v>290.61537821770577</c:v>
                </c:pt>
                <c:pt idx="125">
                  <c:v>300.55025293283484</c:v>
                </c:pt>
                <c:pt idx="126">
                  <c:v>310.47781610568069</c:v>
                </c:pt>
                <c:pt idx="127">
                  <c:v>320.39833463007511</c:v>
                </c:pt>
                <c:pt idx="128">
                  <c:v>330.31205751269061</c:v>
                </c:pt>
                <c:pt idx="129">
                  <c:v>340.21921758433365</c:v>
                </c:pt>
                <c:pt idx="130">
                  <c:v>350.1200330013915</c:v>
                </c:pt>
                <c:pt idx="131">
                  <c:v>300.21113544922031</c:v>
                </c:pt>
                <c:pt idx="132">
                  <c:v>308.34762462686342</c:v>
                </c:pt>
                <c:pt idx="133">
                  <c:v>316.47934553484617</c:v>
                </c:pt>
                <c:pt idx="134">
                  <c:v>324.60643807826494</c:v>
                </c:pt>
                <c:pt idx="135">
                  <c:v>332.72903457884439</c:v>
                </c:pt>
                <c:pt idx="136">
                  <c:v>340.84726036514797</c:v>
                </c:pt>
                <c:pt idx="137">
                  <c:v>348.96123430358381</c:v>
                </c:pt>
                <c:pt idx="138">
                  <c:v>357.07106927741552</c:v>
                </c:pt>
                <c:pt idx="139">
                  <c:v>365.17687261995781</c:v>
                </c:pt>
                <c:pt idx="140">
                  <c:v>373.27874650728023</c:v>
                </c:pt>
                <c:pt idx="141">
                  <c:v>307.76660666579409</c:v>
                </c:pt>
                <c:pt idx="142">
                  <c:v>317.64063895913318</c:v>
                </c:pt>
                <c:pt idx="143">
                  <c:v>327.50787487519636</c:v>
                </c:pt>
                <c:pt idx="144">
                  <c:v>337.36854816571065</c:v>
                </c:pt>
                <c:pt idx="145">
                  <c:v>347.22287779494917</c:v>
                </c:pt>
                <c:pt idx="146">
                  <c:v>357.07106927741552</c:v>
                </c:pt>
                <c:pt idx="147">
                  <c:v>366.91331586017981</c:v>
                </c:pt>
                <c:pt idx="148">
                  <c:v>376.74979957167824</c:v>
                </c:pt>
                <c:pt idx="149">
                  <c:v>386.58069215522141</c:v>
                </c:pt>
                <c:pt idx="150">
                  <c:v>396.4061559025601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2.8122599599520139</c:v>
                </c:pt>
                <c:pt idx="2">
                  <c:v>2.9788697042767107</c:v>
                </c:pt>
                <c:pt idx="3">
                  <c:v>3.1553827877355931</c:v>
                </c:pt>
                <c:pt idx="4">
                  <c:v>3.3423897089106833</c:v>
                </c:pt>
                <c:pt idx="5">
                  <c:v>3.5405162788615296</c:v>
                </c:pt>
                <c:pt idx="6">
                  <c:v>3.7504257386281594</c:v>
                </c:pt>
                <c:pt idx="7">
                  <c:v>3.972821004031688</c:v>
                </c:pt>
                <c:pt idx="8">
                  <c:v>4.2084470454432852</c:v>
                </c:pt>
                <c:pt idx="9">
                  <c:v>4.4580934106553345</c:v>
                </c:pt>
                <c:pt idx="10">
                  <c:v>4.7225968994799041</c:v>
                </c:pt>
                <c:pt idx="11">
                  <c:v>5.0028443992206038</c:v>
                </c:pt>
                <c:pt idx="12">
                  <c:v>5.299775890716389</c:v>
                </c:pt>
                <c:pt idx="13">
                  <c:v>5.6143876352418012</c:v>
                </c:pt>
                <c:pt idx="14">
                  <c:v>5.9477355531695144</c:v>
                </c:pt>
                <c:pt idx="15">
                  <c:v>6.3009388059601266</c:v>
                </c:pt>
                <c:pt idx="16">
                  <c:v>6.675183593742986</c:v>
                </c:pt>
                <c:pt idx="17">
                  <c:v>7.0717271814930873</c:v>
                </c:pt>
                <c:pt idx="18">
                  <c:v>7.4919021675952377</c:v>
                </c:pt>
                <c:pt idx="19">
                  <c:v>7.9371210094203404</c:v>
                </c:pt>
                <c:pt idx="20">
                  <c:v>8.4088808214229189</c:v>
                </c:pt>
                <c:pt idx="21">
                  <c:v>8.9087684622067549</c:v>
                </c:pt>
                <c:pt idx="22">
                  <c:v>9.4384659280001362</c:v>
                </c:pt>
                <c:pt idx="23">
                  <c:v>9.9997560710369875</c:v>
                </c:pt>
                <c:pt idx="24">
                  <c:v>10.594528662458979</c:v>
                </c:pt>
                <c:pt idx="25">
                  <c:v>11.224786820540261</c:v>
                </c:pt>
                <c:pt idx="26">
                  <c:v>11.892653826294852</c:v>
                </c:pt>
                <c:pt idx="27">
                  <c:v>12.60038034986148</c:v>
                </c:pt>
                <c:pt idx="28">
                  <c:v>13.350352112476365</c:v>
                </c:pt>
                <c:pt idx="29">
                  <c:v>14.145098010345771</c:v>
                </c:pt>
                <c:pt idx="30">
                  <c:v>14.987298728322623</c:v>
                </c:pt>
                <c:pt idx="31">
                  <c:v>19.404574046279681</c:v>
                </c:pt>
                <c:pt idx="32">
                  <c:v>26.175955327077023</c:v>
                </c:pt>
                <c:pt idx="33">
                  <c:v>32.89758888607674</c:v>
                </c:pt>
                <c:pt idx="34">
                  <c:v>39.581185680495857</c:v>
                </c:pt>
                <c:pt idx="35">
                  <c:v>46.234119941610068</c:v>
                </c:pt>
                <c:pt idx="36">
                  <c:v>52.861448722058789</c:v>
                </c:pt>
                <c:pt idx="37">
                  <c:v>50.525062342877327</c:v>
                </c:pt>
                <c:pt idx="38">
                  <c:v>57.526181833338647</c:v>
                </c:pt>
                <c:pt idx="39">
                  <c:v>64.504996022465889</c:v>
                </c:pt>
                <c:pt idx="40">
                  <c:v>71.464265989385623</c:v>
                </c:pt>
                <c:pt idx="41">
                  <c:v>78.406168642145118</c:v>
                </c:pt>
                <c:pt idx="42">
                  <c:v>85.332462385458584</c:v>
                </c:pt>
                <c:pt idx="43">
                  <c:v>74.93727000426999</c:v>
                </c:pt>
                <c:pt idx="44">
                  <c:v>83.025337259775526</c:v>
                </c:pt>
                <c:pt idx="45">
                  <c:v>91.093502967954905</c:v>
                </c:pt>
                <c:pt idx="46">
                  <c:v>99.143782119399972</c:v>
                </c:pt>
                <c:pt idx="47">
                  <c:v>107.17783472239313</c:v>
                </c:pt>
                <c:pt idx="48">
                  <c:v>115.19705089176524</c:v>
                </c:pt>
                <c:pt idx="49">
                  <c:v>91.093502967954905</c:v>
                </c:pt>
                <c:pt idx="50">
                  <c:v>101.44081623231968</c:v>
                </c:pt>
                <c:pt idx="51">
                  <c:v>111.76198073517503</c:v>
                </c:pt>
                <c:pt idx="52">
                  <c:v>122.05975555117311</c:v>
                </c:pt>
                <c:pt idx="53">
                  <c:v>132.33639492955905</c:v>
                </c:pt>
                <c:pt idx="54">
                  <c:v>142.59377360663925</c:v>
                </c:pt>
                <c:pt idx="55">
                  <c:v>103.35402554116065</c:v>
                </c:pt>
                <c:pt idx="56">
                  <c:v>116.72293921980621</c:v>
                </c:pt>
                <c:pt idx="57">
                  <c:v>130.05442271504577</c:v>
                </c:pt>
                <c:pt idx="58">
                  <c:v>143.3528583471427</c:v>
                </c:pt>
                <c:pt idx="59">
                  <c:v>156.62174684689123</c:v>
                </c:pt>
                <c:pt idx="60">
                  <c:v>169.86394611557276</c:v>
                </c:pt>
                <c:pt idx="61">
                  <c:v>136.51755657253418</c:v>
                </c:pt>
                <c:pt idx="62">
                  <c:v>148.66378696427972</c:v>
                </c:pt>
                <c:pt idx="63">
                  <c:v>160.78633625957775</c:v>
                </c:pt>
                <c:pt idx="64">
                  <c:v>172.88724299622348</c:v>
                </c:pt>
                <c:pt idx="65">
                  <c:v>184.9682366084395</c:v>
                </c:pt>
                <c:pt idx="66">
                  <c:v>197.03080187317653</c:v>
                </c:pt>
                <c:pt idx="67">
                  <c:v>166.83938046537756</c:v>
                </c:pt>
                <c:pt idx="68">
                  <c:v>177.41986464065107</c:v>
                </c:pt>
                <c:pt idx="69">
                  <c:v>187.98555222134073</c:v>
                </c:pt>
                <c:pt idx="70">
                  <c:v>198.53739281088357</c:v>
                </c:pt>
                <c:pt idx="71">
                  <c:v>209.07622671083365</c:v>
                </c:pt>
                <c:pt idx="72">
                  <c:v>219.60280249807693</c:v>
                </c:pt>
                <c:pt idx="73">
                  <c:v>185.34546355490184</c:v>
                </c:pt>
                <c:pt idx="74">
                  <c:v>196.27740619559953</c:v>
                </c:pt>
                <c:pt idx="75">
                  <c:v>207.19521159552463</c:v>
                </c:pt>
                <c:pt idx="76">
                  <c:v>218.09973026069849</c:v>
                </c:pt>
                <c:pt idx="77">
                  <c:v>228.99172062000343</c:v>
                </c:pt>
                <c:pt idx="78">
                  <c:v>239.87186299455308</c:v>
                </c:pt>
                <c:pt idx="79">
                  <c:v>202.30271449931797</c:v>
                </c:pt>
                <c:pt idx="80">
                  <c:v>214.34100326179836</c:v>
                </c:pt>
                <c:pt idx="81">
                  <c:v>226.36372885799122</c:v>
                </c:pt>
                <c:pt idx="82">
                  <c:v>238.37183481833893</c:v>
                </c:pt>
                <c:pt idx="83">
                  <c:v>250.36616177538428</c:v>
                </c:pt>
                <c:pt idx="84">
                  <c:v>262.34746318385379</c:v>
                </c:pt>
                <c:pt idx="85">
                  <c:v>230.11779105023913</c:v>
                </c:pt>
                <c:pt idx="86">
                  <c:v>240.62179686990319</c:v>
                </c:pt>
                <c:pt idx="87">
                  <c:v>251.11536732553432</c:v>
                </c:pt>
                <c:pt idx="88">
                  <c:v>261.59900026523229</c:v>
                </c:pt>
                <c:pt idx="89">
                  <c:v>272.07315034491211</c:v>
                </c:pt>
                <c:pt idx="90">
                  <c:v>282.53823433014588</c:v>
                </c:pt>
                <c:pt idx="91">
                  <c:v>244.65178432855262</c:v>
                </c:pt>
                <c:pt idx="92">
                  <c:v>253.92443814374789</c:v>
                </c:pt>
                <c:pt idx="93">
                  <c:v>263.18942635138063</c:v>
                </c:pt>
                <c:pt idx="94">
                  <c:v>272.44705708537498</c:v>
                </c:pt>
                <c:pt idx="95">
                  <c:v>281.6976158107517</c:v>
                </c:pt>
                <c:pt idx="96">
                  <c:v>290.94136769726219</c:v>
                </c:pt>
                <c:pt idx="97">
                  <c:v>300.17855967534922</c:v>
                </c:pt>
                <c:pt idx="98">
                  <c:v>309.40942222562171</c:v>
                </c:pt>
                <c:pt idx="99">
                  <c:v>259.82120669987393</c:v>
                </c:pt>
                <c:pt idx="100">
                  <c:v>270.76438559587046</c:v>
                </c:pt>
                <c:pt idx="101">
                  <c:v>281.6976158107517</c:v>
                </c:pt>
                <c:pt idx="102">
                  <c:v>292.62133811208952</c:v>
                </c:pt>
                <c:pt idx="103">
                  <c:v>303.5359576527535</c:v>
                </c:pt>
                <c:pt idx="104">
                  <c:v>314.44184805339484</c:v>
                </c:pt>
                <c:pt idx="105">
                  <c:v>325.33935488860647</c:v>
                </c:pt>
                <c:pt idx="106">
                  <c:v>336.22879868133322</c:v>
                </c:pt>
                <c:pt idx="107">
                  <c:v>284.21930340599107</c:v>
                </c:pt>
                <c:pt idx="108">
                  <c:v>294.86096385850482</c:v>
                </c:pt>
                <c:pt idx="109">
                  <c:v>305.49405758167563</c:v>
                </c:pt>
                <c:pt idx="110">
                  <c:v>316.1189249426497</c:v>
                </c:pt>
                <c:pt idx="111">
                  <c:v>326.73588154853422</c:v>
                </c:pt>
                <c:pt idx="112">
                  <c:v>337.34522081093286</c:v>
                </c:pt>
                <c:pt idx="113">
                  <c:v>347.94721617085708</c:v>
                </c:pt>
                <c:pt idx="114">
                  <c:v>358.54212303817758</c:v>
                </c:pt>
                <c:pt idx="115">
                  <c:v>298.77939749317295</c:v>
                </c:pt>
                <c:pt idx="116">
                  <c:v>310.52789506353474</c:v>
                </c:pt>
                <c:pt idx="117">
                  <c:v>322.26652892166459</c:v>
                </c:pt>
                <c:pt idx="118">
                  <c:v>333.99570911458454</c:v>
                </c:pt>
                <c:pt idx="119">
                  <c:v>345.71581452807413</c:v>
                </c:pt>
                <c:pt idx="120">
                  <c:v>357.42719625343148</c:v>
                </c:pt>
                <c:pt idx="121">
                  <c:v>369.13018048977301</c:v>
                </c:pt>
                <c:pt idx="122">
                  <c:v>380.82507105894382</c:v>
                </c:pt>
                <c:pt idx="123">
                  <c:v>323.10463636436026</c:v>
                </c:pt>
                <c:pt idx="124">
                  <c:v>334.55401226706192</c:v>
                </c:pt>
                <c:pt idx="125">
                  <c:v>345.99475699049032</c:v>
                </c:pt>
                <c:pt idx="126">
                  <c:v>357.42719625343148</c:v>
                </c:pt>
                <c:pt idx="127">
                  <c:v>368.85163323079519</c:v>
                </c:pt>
                <c:pt idx="128">
                  <c:v>380.26835077878349</c:v>
                </c:pt>
                <c:pt idx="129">
                  <c:v>391.67761337881302</c:v>
                </c:pt>
                <c:pt idx="130">
                  <c:v>403.07966884306717</c:v>
                </c:pt>
                <c:pt idx="131">
                  <c:v>345.60423615897906</c:v>
                </c:pt>
                <c:pt idx="132">
                  <c:v>354.97408889170669</c:v>
                </c:pt>
                <c:pt idx="133">
                  <c:v>364.33852516457887</c:v>
                </c:pt>
                <c:pt idx="134">
                  <c:v>373.69770390114485</c:v>
                </c:pt>
                <c:pt idx="135">
                  <c:v>383.05177541071203</c:v>
                </c:pt>
                <c:pt idx="136">
                  <c:v>392.40088205878845</c:v>
                </c:pt>
                <c:pt idx="137">
                  <c:v>401.74515887027286</c:v>
                </c:pt>
                <c:pt idx="138">
                  <c:v>411.08473407358127</c:v>
                </c:pt>
                <c:pt idx="139">
                  <c:v>420.41972959273039</c:v>
                </c:pt>
                <c:pt idx="140">
                  <c:v>429.75026149342489</c:v>
                </c:pt>
                <c:pt idx="141">
                  <c:v>354.30499526185162</c:v>
                </c:pt>
                <c:pt idx="142">
                  <c:v>365.67586899258413</c:v>
                </c:pt>
                <c:pt idx="143">
                  <c:v>377.03902245846228</c:v>
                </c:pt>
                <c:pt idx="144">
                  <c:v>388.39472118701127</c:v>
                </c:pt>
                <c:pt idx="145">
                  <c:v>399.74321390812293</c:v>
                </c:pt>
                <c:pt idx="146">
                  <c:v>411.08473407358116</c:v>
                </c:pt>
                <c:pt idx="147">
                  <c:v>422.41950120012319</c:v>
                </c:pt>
                <c:pt idx="148">
                  <c:v>433.74772206081025</c:v>
                </c:pt>
                <c:pt idx="149">
                  <c:v>445.06959174543755</c:v>
                </c:pt>
                <c:pt idx="150">
                  <c:v>456.38529460741034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12" zoomScale="70" zoomScaleNormal="70" workbookViewId="0">
      <selection activeCell="F123" sqref="F12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5.76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112</v>
      </c>
      <c r="C9" s="35">
        <v>0.28999999999999998</v>
      </c>
      <c r="D9" s="36">
        <f t="shared" ref="D9:D18" si="0">C9*$C$5</f>
        <v>1.6703999999999999</v>
      </c>
      <c r="E9" s="37">
        <v>27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32</v>
      </c>
      <c r="C10" s="35">
        <v>0.28999999999999998</v>
      </c>
      <c r="D10" s="36">
        <f t="shared" si="0"/>
        <v>1.6703999999999999</v>
      </c>
      <c r="E10" s="37">
        <v>27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32</v>
      </c>
      <c r="C11" s="35">
        <v>0.28999999999999998</v>
      </c>
      <c r="D11" s="36">
        <f t="shared" si="0"/>
        <v>1.6703999999999999</v>
      </c>
      <c r="E11" s="37">
        <v>27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14</v>
      </c>
      <c r="C12" s="35">
        <v>0.06</v>
      </c>
      <c r="D12" s="36">
        <f t="shared" si="0"/>
        <v>0.34559999999999996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9</v>
      </c>
      <c r="C13" s="35">
        <v>7.0000000000000007E-2</v>
      </c>
      <c r="D13" s="36">
        <f t="shared" si="0"/>
        <v>0.4032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5.76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6</v>
      </c>
      <c r="B36" s="63">
        <v>5</v>
      </c>
      <c r="C36" s="63">
        <v>0</v>
      </c>
      <c r="D36" s="63">
        <v>0</v>
      </c>
      <c r="E36" s="54"/>
      <c r="F36" s="54"/>
      <c r="G36" s="54"/>
      <c r="H36" s="54"/>
      <c r="I36" s="52">
        <f>IFERROR(B36/A36,"")</f>
        <v>0.83333333333333337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9</v>
      </c>
      <c r="B37" s="63">
        <v>25</v>
      </c>
      <c r="C37" s="63">
        <v>0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6.666666666666667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12</v>
      </c>
      <c r="B38" s="63">
        <v>64</v>
      </c>
      <c r="C38" s="63">
        <v>0</v>
      </c>
      <c r="D38" s="63">
        <v>0</v>
      </c>
      <c r="E38" s="54"/>
      <c r="F38" s="54"/>
      <c r="G38" s="54"/>
      <c r="H38" s="54"/>
      <c r="I38" s="56">
        <f t="shared" si="1"/>
        <v>13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15</v>
      </c>
      <c r="B39" s="63">
        <v>119</v>
      </c>
      <c r="C39" s="63">
        <v>0</v>
      </c>
      <c r="D39" s="63">
        <v>0</v>
      </c>
      <c r="E39" s="54"/>
      <c r="F39" s="54"/>
      <c r="G39" s="54"/>
      <c r="H39" s="54"/>
      <c r="I39" s="52">
        <f t="shared" si="1"/>
        <v>18.333333333333332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18</v>
      </c>
      <c r="B40" s="63">
        <v>184</v>
      </c>
      <c r="C40" s="63">
        <v>0</v>
      </c>
      <c r="D40" s="63">
        <v>0</v>
      </c>
      <c r="E40" s="54"/>
      <c r="F40" s="54"/>
      <c r="G40" s="54"/>
      <c r="H40" s="54"/>
      <c r="I40" s="52">
        <f t="shared" si="1"/>
        <v>21.666666666666668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21</v>
      </c>
      <c r="B41" s="63">
        <v>253</v>
      </c>
      <c r="C41" s="63">
        <v>0</v>
      </c>
      <c r="D41" s="63">
        <v>0</v>
      </c>
      <c r="E41" s="54"/>
      <c r="F41" s="54"/>
      <c r="G41" s="54"/>
      <c r="H41" s="54"/>
      <c r="I41" s="56">
        <f t="shared" si="1"/>
        <v>23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24</v>
      </c>
      <c r="B42" s="63">
        <v>319</v>
      </c>
      <c r="C42" s="63">
        <v>0</v>
      </c>
      <c r="D42" s="63">
        <v>0</v>
      </c>
      <c r="E42" s="54"/>
      <c r="F42" s="54"/>
      <c r="G42" s="54"/>
      <c r="H42" s="54"/>
      <c r="I42" s="56">
        <f t="shared" si="1"/>
        <v>22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27</v>
      </c>
      <c r="B43" s="63">
        <v>380</v>
      </c>
      <c r="C43" s="63">
        <v>1</v>
      </c>
      <c r="D43" s="63">
        <f>B43</f>
        <v>380</v>
      </c>
      <c r="E43" s="54">
        <v>0.63</v>
      </c>
      <c r="F43" s="54"/>
      <c r="G43" s="54"/>
      <c r="H43" s="54">
        <v>0.37</v>
      </c>
      <c r="I43" s="52">
        <f t="shared" si="1"/>
        <v>20.333333333333332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non cultivé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6</v>
      </c>
      <c r="B62" s="63">
        <v>5</v>
      </c>
      <c r="C62" s="63">
        <v>0</v>
      </c>
      <c r="D62" s="63">
        <v>0</v>
      </c>
      <c r="E62" s="54"/>
      <c r="F62" s="54"/>
      <c r="G62" s="54"/>
      <c r="H62" s="54"/>
      <c r="I62" s="56">
        <f>IFERROR(B62/A62,"")</f>
        <v>0.83333333333333337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9</v>
      </c>
      <c r="B63" s="63">
        <v>25</v>
      </c>
      <c r="C63" s="63">
        <v>0</v>
      </c>
      <c r="D63" s="63">
        <v>0</v>
      </c>
      <c r="E63" s="54"/>
      <c r="F63" s="54"/>
      <c r="G63" s="54"/>
      <c r="H63" s="54"/>
      <c r="I63" s="52">
        <f>IF(A63&lt;&gt;0,(B63-(B62-D62))/(A63-A62),"")</f>
        <v>6.666666666666667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12</v>
      </c>
      <c r="B64" s="63">
        <v>64</v>
      </c>
      <c r="C64" s="63">
        <v>0</v>
      </c>
      <c r="D64" s="63">
        <v>0</v>
      </c>
      <c r="E64" s="54"/>
      <c r="F64" s="54"/>
      <c r="G64" s="54"/>
      <c r="H64" s="54"/>
      <c r="I64" s="52">
        <f>IF(A64&lt;&gt;0,(B64-(B63-D63))/(A64-A63),"")</f>
        <v>13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15</v>
      </c>
      <c r="B65" s="63">
        <v>119</v>
      </c>
      <c r="C65" s="63">
        <v>0</v>
      </c>
      <c r="D65" s="63">
        <v>0</v>
      </c>
      <c r="E65" s="54"/>
      <c r="F65" s="54"/>
      <c r="G65" s="54"/>
      <c r="H65" s="54"/>
      <c r="I65" s="52">
        <f>IF(A65&lt;&gt;0,(B65-(B64-D64))/(A65-A64),"")</f>
        <v>18.333333333333332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18</v>
      </c>
      <c r="B66" s="63">
        <v>184</v>
      </c>
      <c r="C66" s="63">
        <v>0</v>
      </c>
      <c r="D66" s="63">
        <v>0</v>
      </c>
      <c r="E66" s="54"/>
      <c r="F66" s="54"/>
      <c r="G66" s="54"/>
      <c r="H66" s="54"/>
      <c r="I66" s="52">
        <f t="shared" ref="I66:I81" si="2">IF(A66&lt;&gt;0,(B66-(B65-D65))/(A66-A65),"")</f>
        <v>21.666666666666668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21</v>
      </c>
      <c r="B67" s="63">
        <v>253</v>
      </c>
      <c r="C67" s="63">
        <v>0</v>
      </c>
      <c r="D67" s="63">
        <v>0</v>
      </c>
      <c r="E67" s="54"/>
      <c r="F67" s="54"/>
      <c r="G67" s="54"/>
      <c r="H67" s="54"/>
      <c r="I67" s="52">
        <f t="shared" si="2"/>
        <v>23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24</v>
      </c>
      <c r="B68" s="63">
        <v>319</v>
      </c>
      <c r="C68" s="63">
        <v>0</v>
      </c>
      <c r="D68" s="63">
        <v>0</v>
      </c>
      <c r="E68" s="54"/>
      <c r="F68" s="54"/>
      <c r="G68" s="54"/>
      <c r="H68" s="54"/>
      <c r="I68" s="52">
        <f t="shared" si="2"/>
        <v>22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3">
        <v>27</v>
      </c>
      <c r="B69" s="63">
        <v>380</v>
      </c>
      <c r="C69" s="63">
        <v>1</v>
      </c>
      <c r="D69" s="63">
        <f>B69</f>
        <v>380</v>
      </c>
      <c r="E69" s="54">
        <v>0.63</v>
      </c>
      <c r="F69" s="54"/>
      <c r="G69" s="54"/>
      <c r="H69" s="54">
        <v>0.37</v>
      </c>
      <c r="I69" s="52">
        <f t="shared" si="2"/>
        <v>20.333333333333332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non cultivé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6</v>
      </c>
      <c r="B88" s="63">
        <v>5</v>
      </c>
      <c r="C88" s="63">
        <v>0</v>
      </c>
      <c r="D88" s="63">
        <v>0</v>
      </c>
      <c r="E88" s="54"/>
      <c r="F88" s="54"/>
      <c r="G88" s="54"/>
      <c r="H88" s="54"/>
      <c r="I88" s="56">
        <f>IFERROR(B88/A88,"")</f>
        <v>0.83333333333333337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9</v>
      </c>
      <c r="B89" s="63">
        <v>25</v>
      </c>
      <c r="C89" s="63">
        <v>0</v>
      </c>
      <c r="D89" s="63">
        <v>0</v>
      </c>
      <c r="E89" s="54"/>
      <c r="F89" s="54"/>
      <c r="G89" s="54"/>
      <c r="H89" s="54"/>
      <c r="I89" s="56">
        <f t="shared" ref="I89:I107" si="3">IF(A89&lt;&gt;0,(B89-(B88-D88))/(A89-A88),"")</f>
        <v>6.666666666666667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12</v>
      </c>
      <c r="B90" s="63">
        <v>64</v>
      </c>
      <c r="C90" s="63">
        <v>0</v>
      </c>
      <c r="D90" s="63">
        <v>0</v>
      </c>
      <c r="E90" s="54"/>
      <c r="F90" s="54"/>
      <c r="G90" s="54"/>
      <c r="H90" s="54"/>
      <c r="I90" s="56">
        <f t="shared" si="3"/>
        <v>13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15</v>
      </c>
      <c r="B91" s="63">
        <v>119</v>
      </c>
      <c r="C91" s="63">
        <v>0</v>
      </c>
      <c r="D91" s="63">
        <v>0</v>
      </c>
      <c r="E91" s="54"/>
      <c r="F91" s="54"/>
      <c r="G91" s="54"/>
      <c r="H91" s="54"/>
      <c r="I91" s="56">
        <f t="shared" si="3"/>
        <v>18.333333333333332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18</v>
      </c>
      <c r="B92" s="63">
        <v>184</v>
      </c>
      <c r="C92" s="63">
        <v>0</v>
      </c>
      <c r="D92" s="63">
        <v>0</v>
      </c>
      <c r="E92" s="54"/>
      <c r="F92" s="54"/>
      <c r="G92" s="54"/>
      <c r="H92" s="54"/>
      <c r="I92" s="56">
        <f t="shared" si="3"/>
        <v>21.666666666666668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21</v>
      </c>
      <c r="B93" s="63">
        <v>253</v>
      </c>
      <c r="C93" s="63">
        <v>0</v>
      </c>
      <c r="D93" s="63">
        <v>0</v>
      </c>
      <c r="E93" s="54"/>
      <c r="F93" s="54"/>
      <c r="G93" s="54"/>
      <c r="H93" s="54"/>
      <c r="I93" s="56">
        <f t="shared" si="3"/>
        <v>23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24</v>
      </c>
      <c r="B94" s="63">
        <v>319</v>
      </c>
      <c r="C94" s="63">
        <v>0</v>
      </c>
      <c r="D94" s="63">
        <v>0</v>
      </c>
      <c r="E94" s="54"/>
      <c r="F94" s="54"/>
      <c r="G94" s="54"/>
      <c r="H94" s="54"/>
      <c r="I94" s="56">
        <f t="shared" si="3"/>
        <v>22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283">
        <v>27</v>
      </c>
      <c r="B95" s="63">
        <v>380</v>
      </c>
      <c r="C95" s="63">
        <v>1</v>
      </c>
      <c r="D95" s="63">
        <f>B95</f>
        <v>380</v>
      </c>
      <c r="E95" s="54">
        <v>0.63</v>
      </c>
      <c r="F95" s="54"/>
      <c r="G95" s="54"/>
      <c r="H95" s="54">
        <v>0.37</v>
      </c>
      <c r="I95" s="56">
        <f t="shared" si="3"/>
        <v>20.333333333333332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sessile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30</v>
      </c>
      <c r="B114" s="63">
        <v>6</v>
      </c>
      <c r="C114" s="53">
        <v>1</v>
      </c>
      <c r="D114" s="63">
        <v>1</v>
      </c>
      <c r="E114" s="54">
        <v>0</v>
      </c>
      <c r="F114" s="54"/>
      <c r="G114" s="54"/>
      <c r="H114" s="54">
        <v>1</v>
      </c>
      <c r="I114" s="56">
        <f>IFERROR(B114/A114,"")</f>
        <v>0.2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36</v>
      </c>
      <c r="B115" s="63">
        <v>22</v>
      </c>
      <c r="C115" s="53">
        <v>2</v>
      </c>
      <c r="D115" s="63">
        <v>4</v>
      </c>
      <c r="E115" s="54">
        <v>0</v>
      </c>
      <c r="F115" s="54"/>
      <c r="G115" s="54"/>
      <c r="H115" s="54">
        <v>1</v>
      </c>
      <c r="I115" s="56">
        <f t="shared" ref="I115:I133" si="4">IF(A115&lt;&gt;0,(B115-(B114-D114))/(A115-A114),"")</f>
        <v>2.8333333333333335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42</v>
      </c>
      <c r="B116" s="63">
        <v>36</v>
      </c>
      <c r="C116" s="53">
        <v>3</v>
      </c>
      <c r="D116" s="63">
        <v>8</v>
      </c>
      <c r="E116" s="54">
        <v>0.15</v>
      </c>
      <c r="F116" s="54"/>
      <c r="G116" s="54"/>
      <c r="H116" s="54">
        <f>1-E116</f>
        <v>0.85</v>
      </c>
      <c r="I116" s="56">
        <f t="shared" si="4"/>
        <v>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48</v>
      </c>
      <c r="B117" s="63">
        <v>49</v>
      </c>
      <c r="C117" s="53">
        <v>4</v>
      </c>
      <c r="D117" s="63">
        <v>15</v>
      </c>
      <c r="E117" s="54">
        <v>0.15</v>
      </c>
      <c r="F117" s="54"/>
      <c r="G117" s="54"/>
      <c r="H117" s="54">
        <v>0.85</v>
      </c>
      <c r="I117" s="56">
        <f t="shared" si="4"/>
        <v>3.5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54</v>
      </c>
      <c r="B118" s="63">
        <v>61</v>
      </c>
      <c r="C118" s="53">
        <v>5</v>
      </c>
      <c r="D118" s="63">
        <v>23</v>
      </c>
      <c r="E118" s="54">
        <v>0.2</v>
      </c>
      <c r="F118" s="54"/>
      <c r="G118" s="54"/>
      <c r="H118" s="54">
        <v>0.8</v>
      </c>
      <c r="I118" s="56">
        <f t="shared" si="4"/>
        <v>4.5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60</v>
      </c>
      <c r="B119" s="63">
        <v>73</v>
      </c>
      <c r="C119" s="53">
        <v>6</v>
      </c>
      <c r="D119" s="63">
        <v>20</v>
      </c>
      <c r="E119" s="54">
        <v>0.3</v>
      </c>
      <c r="F119" s="54"/>
      <c r="G119" s="54"/>
      <c r="H119" s="54">
        <v>0.7</v>
      </c>
      <c r="I119" s="56">
        <f t="shared" si="4"/>
        <v>5.833333333333333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66</v>
      </c>
      <c r="B120" s="63">
        <v>85</v>
      </c>
      <c r="C120" s="53">
        <v>7</v>
      </c>
      <c r="D120" s="63">
        <v>18</v>
      </c>
      <c r="E120" s="93">
        <v>0.43</v>
      </c>
      <c r="F120" s="93"/>
      <c r="G120" s="93"/>
      <c r="H120" s="54">
        <v>0.56999999999999995</v>
      </c>
      <c r="I120" s="56">
        <f t="shared" si="4"/>
        <v>5.333333333333333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72</v>
      </c>
      <c r="B121" s="63">
        <v>95</v>
      </c>
      <c r="C121" s="53">
        <v>8</v>
      </c>
      <c r="D121" s="63">
        <v>20</v>
      </c>
      <c r="E121" s="93">
        <v>0.43</v>
      </c>
      <c r="F121" s="93"/>
      <c r="G121" s="93"/>
      <c r="H121" s="54">
        <v>0.56999999999999995</v>
      </c>
      <c r="I121" s="56">
        <f t="shared" si="4"/>
        <v>4.666666666666667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78</v>
      </c>
      <c r="B122" s="63">
        <v>104</v>
      </c>
      <c r="C122" s="53">
        <v>9</v>
      </c>
      <c r="D122" s="63">
        <v>22</v>
      </c>
      <c r="E122" s="93">
        <v>0.43</v>
      </c>
      <c r="F122" s="93"/>
      <c r="G122" s="93"/>
      <c r="H122" s="54">
        <v>0.56999999999999995</v>
      </c>
      <c r="I122" s="56">
        <f t="shared" si="4"/>
        <v>4.833333333333333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84</v>
      </c>
      <c r="B123" s="63">
        <v>114</v>
      </c>
      <c r="C123" s="53">
        <v>10</v>
      </c>
      <c r="D123" s="63">
        <v>19</v>
      </c>
      <c r="E123" s="93">
        <v>0.43</v>
      </c>
      <c r="F123" s="93"/>
      <c r="G123" s="93"/>
      <c r="H123" s="54">
        <v>0.56999999999999995</v>
      </c>
      <c r="I123" s="56">
        <f t="shared" si="4"/>
        <v>5.333333333333333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90</v>
      </c>
      <c r="B124" s="63">
        <v>123</v>
      </c>
      <c r="C124" s="53">
        <v>11</v>
      </c>
      <c r="D124" s="63">
        <v>21</v>
      </c>
      <c r="E124" s="93">
        <v>0.43</v>
      </c>
      <c r="F124" s="93"/>
      <c r="G124" s="93"/>
      <c r="H124" s="54">
        <v>0.56999999999999995</v>
      </c>
      <c r="I124" s="56">
        <f t="shared" si="4"/>
        <v>4.666666666666667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98</v>
      </c>
      <c r="B125" s="63">
        <v>135</v>
      </c>
      <c r="C125" s="53">
        <v>12</v>
      </c>
      <c r="D125" s="63">
        <v>27</v>
      </c>
      <c r="E125" s="93">
        <v>0.43</v>
      </c>
      <c r="F125" s="93"/>
      <c r="G125" s="93"/>
      <c r="H125" s="54">
        <v>0.56999999999999995</v>
      </c>
      <c r="I125" s="56">
        <f t="shared" si="4"/>
        <v>4.125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106</v>
      </c>
      <c r="B126" s="63">
        <v>147</v>
      </c>
      <c r="C126" s="53">
        <v>13</v>
      </c>
      <c r="D126" s="63">
        <v>28</v>
      </c>
      <c r="E126" s="93">
        <v>0.43</v>
      </c>
      <c r="F126" s="68"/>
      <c r="G126" s="68"/>
      <c r="H126" s="54">
        <v>0.56999999999999995</v>
      </c>
      <c r="I126" s="56">
        <f t="shared" si="4"/>
        <v>4.875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114</v>
      </c>
      <c r="B127" s="63">
        <v>157</v>
      </c>
      <c r="C127" s="53">
        <v>14</v>
      </c>
      <c r="D127" s="63">
        <v>32</v>
      </c>
      <c r="E127" s="93">
        <v>0.43</v>
      </c>
      <c r="F127" s="68"/>
      <c r="G127" s="68"/>
      <c r="H127" s="54">
        <v>0.56999999999999995</v>
      </c>
      <c r="I127" s="56">
        <f t="shared" si="4"/>
        <v>4.75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122</v>
      </c>
      <c r="B128" s="53">
        <v>167</v>
      </c>
      <c r="C128" s="53">
        <v>15</v>
      </c>
      <c r="D128" s="53">
        <v>31</v>
      </c>
      <c r="E128" s="93">
        <v>0.43</v>
      </c>
      <c r="F128" s="57"/>
      <c r="G128" s="57"/>
      <c r="H128" s="54">
        <v>0.56999999999999995</v>
      </c>
      <c r="I128" s="56">
        <f t="shared" si="4"/>
        <v>5.25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130</v>
      </c>
      <c r="B129" s="53">
        <v>177</v>
      </c>
      <c r="C129" s="53">
        <v>16</v>
      </c>
      <c r="D129" s="53">
        <v>30</v>
      </c>
      <c r="E129" s="93">
        <v>0.43</v>
      </c>
      <c r="F129" s="57"/>
      <c r="G129" s="57"/>
      <c r="H129" s="54">
        <v>0.56999999999999995</v>
      </c>
      <c r="I129" s="56">
        <f t="shared" si="4"/>
        <v>5.125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140</v>
      </c>
      <c r="B130" s="53">
        <v>189</v>
      </c>
      <c r="C130" s="53">
        <v>17</v>
      </c>
      <c r="D130" s="53">
        <v>39</v>
      </c>
      <c r="E130" s="93">
        <v>0.43</v>
      </c>
      <c r="F130" s="57"/>
      <c r="G130" s="57"/>
      <c r="H130" s="54">
        <v>0.56999999999999995</v>
      </c>
      <c r="I130" s="56">
        <f t="shared" si="4"/>
        <v>4.2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150</v>
      </c>
      <c r="B131" s="53">
        <v>201</v>
      </c>
      <c r="C131" s="53">
        <v>18</v>
      </c>
      <c r="D131" s="53">
        <v>201</v>
      </c>
      <c r="E131" s="93">
        <v>0.43</v>
      </c>
      <c r="F131" s="57"/>
      <c r="G131" s="57"/>
      <c r="H131" s="54">
        <v>0.56999999999999995</v>
      </c>
      <c r="I131" s="56">
        <f t="shared" si="4"/>
        <v>5.0999999999999996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chevelu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30</v>
      </c>
      <c r="B140" s="63">
        <v>6</v>
      </c>
      <c r="C140" s="53">
        <v>1</v>
      </c>
      <c r="D140" s="63">
        <v>1</v>
      </c>
      <c r="E140" s="54">
        <v>0</v>
      </c>
      <c r="F140" s="54"/>
      <c r="G140" s="54"/>
      <c r="H140" s="54">
        <v>1</v>
      </c>
      <c r="I140" s="60">
        <f>IFERROR(B140/A140,"")</f>
        <v>0.2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36</v>
      </c>
      <c r="B141" s="63">
        <v>22</v>
      </c>
      <c r="C141" s="53">
        <v>2</v>
      </c>
      <c r="D141" s="63">
        <v>4</v>
      </c>
      <c r="E141" s="54">
        <v>0</v>
      </c>
      <c r="F141" s="54"/>
      <c r="G141" s="54"/>
      <c r="H141" s="54">
        <v>1</v>
      </c>
      <c r="I141" s="60">
        <f t="shared" ref="I141:I159" si="5">IF(A141&lt;&gt;0,(B141-(B140-D140))/(A141-A140),"")</f>
        <v>2.8333333333333335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42</v>
      </c>
      <c r="B142" s="63">
        <v>36</v>
      </c>
      <c r="C142" s="53">
        <v>3</v>
      </c>
      <c r="D142" s="63">
        <v>8</v>
      </c>
      <c r="E142" s="54">
        <v>0.15</v>
      </c>
      <c r="F142" s="54"/>
      <c r="G142" s="54"/>
      <c r="H142" s="54">
        <v>0.85</v>
      </c>
      <c r="I142" s="60">
        <f t="shared" si="5"/>
        <v>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48</v>
      </c>
      <c r="B143" s="63">
        <v>49</v>
      </c>
      <c r="C143" s="53">
        <v>4</v>
      </c>
      <c r="D143" s="63">
        <v>15</v>
      </c>
      <c r="E143" s="54">
        <v>0.15</v>
      </c>
      <c r="F143" s="54"/>
      <c r="G143" s="54"/>
      <c r="H143" s="54">
        <v>0.85</v>
      </c>
      <c r="I143" s="60">
        <f t="shared" si="5"/>
        <v>3.5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54</v>
      </c>
      <c r="B144" s="63">
        <v>61</v>
      </c>
      <c r="C144" s="53">
        <v>5</v>
      </c>
      <c r="D144" s="63">
        <v>23</v>
      </c>
      <c r="E144" s="54">
        <v>0.2</v>
      </c>
      <c r="F144" s="54"/>
      <c r="G144" s="54"/>
      <c r="H144" s="54">
        <v>0.8</v>
      </c>
      <c r="I144" s="60">
        <f t="shared" si="5"/>
        <v>4.5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60</v>
      </c>
      <c r="B145" s="63">
        <v>73</v>
      </c>
      <c r="C145" s="53">
        <v>6</v>
      </c>
      <c r="D145" s="63">
        <v>20</v>
      </c>
      <c r="E145" s="54">
        <v>0.3</v>
      </c>
      <c r="F145" s="54"/>
      <c r="G145" s="54"/>
      <c r="H145" s="54">
        <v>0.7</v>
      </c>
      <c r="I145" s="60">
        <f t="shared" si="5"/>
        <v>5.833333333333333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63">
        <v>66</v>
      </c>
      <c r="B146" s="63">
        <v>85</v>
      </c>
      <c r="C146" s="53">
        <v>7</v>
      </c>
      <c r="D146" s="63">
        <v>18</v>
      </c>
      <c r="E146" s="93">
        <v>0.43</v>
      </c>
      <c r="F146" s="93"/>
      <c r="G146" s="93"/>
      <c r="H146" s="54">
        <v>0.56999999999999995</v>
      </c>
      <c r="I146" s="60">
        <f t="shared" si="5"/>
        <v>5.333333333333333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63">
        <v>72</v>
      </c>
      <c r="B147" s="63">
        <v>95</v>
      </c>
      <c r="C147" s="53">
        <v>8</v>
      </c>
      <c r="D147" s="63">
        <v>20</v>
      </c>
      <c r="E147" s="93">
        <v>0.43</v>
      </c>
      <c r="F147" s="93"/>
      <c r="G147" s="93"/>
      <c r="H147" s="54">
        <v>0.56999999999999995</v>
      </c>
      <c r="I147" s="60">
        <f>IF(A147&lt;&gt;0,(B147-(B146-D146))/(A147-A146),"")</f>
        <v>4.666666666666667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63">
        <v>78</v>
      </c>
      <c r="B148" s="63">
        <v>104</v>
      </c>
      <c r="C148" s="53">
        <v>9</v>
      </c>
      <c r="D148" s="63">
        <v>22</v>
      </c>
      <c r="E148" s="93">
        <v>0.43</v>
      </c>
      <c r="F148" s="93"/>
      <c r="G148" s="93"/>
      <c r="H148" s="54">
        <v>0.56999999999999995</v>
      </c>
      <c r="I148" s="60">
        <f t="shared" si="5"/>
        <v>4.833333333333333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63">
        <v>84</v>
      </c>
      <c r="B149" s="63">
        <v>114</v>
      </c>
      <c r="C149" s="53">
        <v>10</v>
      </c>
      <c r="D149" s="63">
        <v>19</v>
      </c>
      <c r="E149" s="93">
        <v>0.43</v>
      </c>
      <c r="F149" s="93"/>
      <c r="G149" s="93"/>
      <c r="H149" s="54">
        <v>0.56999999999999995</v>
      </c>
      <c r="I149" s="60">
        <f t="shared" si="5"/>
        <v>5.333333333333333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63">
        <v>90</v>
      </c>
      <c r="B150" s="63">
        <v>123</v>
      </c>
      <c r="C150" s="53">
        <v>11</v>
      </c>
      <c r="D150" s="63">
        <v>21</v>
      </c>
      <c r="E150" s="93">
        <v>0.43</v>
      </c>
      <c r="F150" s="93"/>
      <c r="G150" s="93"/>
      <c r="H150" s="54">
        <v>0.56999999999999995</v>
      </c>
      <c r="I150" s="60">
        <f t="shared" si="5"/>
        <v>4.666666666666667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63">
        <v>98</v>
      </c>
      <c r="B151" s="63">
        <v>135</v>
      </c>
      <c r="C151" s="53">
        <v>12</v>
      </c>
      <c r="D151" s="63">
        <v>27</v>
      </c>
      <c r="E151" s="93">
        <v>0.43</v>
      </c>
      <c r="F151" s="93"/>
      <c r="G151" s="93"/>
      <c r="H151" s="54">
        <v>0.56999999999999995</v>
      </c>
      <c r="I151" s="60">
        <f t="shared" si="5"/>
        <v>4.125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63">
        <v>106</v>
      </c>
      <c r="B152" s="63">
        <v>147</v>
      </c>
      <c r="C152" s="53">
        <v>13</v>
      </c>
      <c r="D152" s="63">
        <v>28</v>
      </c>
      <c r="E152" s="93">
        <v>0.43</v>
      </c>
      <c r="F152" s="68"/>
      <c r="G152" s="68"/>
      <c r="H152" s="54">
        <v>0.56999999999999995</v>
      </c>
      <c r="I152" s="60">
        <f t="shared" si="5"/>
        <v>4.875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63">
        <v>114</v>
      </c>
      <c r="B153" s="63">
        <v>157</v>
      </c>
      <c r="C153" s="53">
        <v>14</v>
      </c>
      <c r="D153" s="63">
        <v>32</v>
      </c>
      <c r="E153" s="93">
        <v>0.43</v>
      </c>
      <c r="F153" s="68"/>
      <c r="G153" s="68"/>
      <c r="H153" s="54">
        <v>0.56999999999999995</v>
      </c>
      <c r="I153" s="60">
        <f t="shared" si="5"/>
        <v>4.75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122</v>
      </c>
      <c r="B154" s="53">
        <v>167</v>
      </c>
      <c r="C154" s="53">
        <v>15</v>
      </c>
      <c r="D154" s="53">
        <v>31</v>
      </c>
      <c r="E154" s="93">
        <v>0.43</v>
      </c>
      <c r="F154" s="57"/>
      <c r="G154" s="57"/>
      <c r="H154" s="54">
        <v>0.56999999999999995</v>
      </c>
      <c r="I154" s="60">
        <f t="shared" si="5"/>
        <v>5.25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130</v>
      </c>
      <c r="B155" s="53">
        <v>177</v>
      </c>
      <c r="C155" s="53">
        <v>16</v>
      </c>
      <c r="D155" s="53">
        <v>30</v>
      </c>
      <c r="E155" s="93">
        <v>0.43</v>
      </c>
      <c r="F155" s="57"/>
      <c r="G155" s="57"/>
      <c r="H155" s="54">
        <v>0.56999999999999995</v>
      </c>
      <c r="I155" s="60">
        <f t="shared" si="5"/>
        <v>5.125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140</v>
      </c>
      <c r="B156" s="53">
        <v>189</v>
      </c>
      <c r="C156" s="53">
        <v>17</v>
      </c>
      <c r="D156" s="53">
        <v>39</v>
      </c>
      <c r="E156" s="93">
        <v>0.43</v>
      </c>
      <c r="F156" s="57"/>
      <c r="G156" s="57"/>
      <c r="H156" s="54">
        <v>0.56999999999999995</v>
      </c>
      <c r="I156" s="60">
        <f t="shared" si="5"/>
        <v>4.2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150</v>
      </c>
      <c r="B157" s="53">
        <v>201</v>
      </c>
      <c r="C157" s="53">
        <v>18</v>
      </c>
      <c r="D157" s="53">
        <v>201</v>
      </c>
      <c r="E157" s="93">
        <v>0.43</v>
      </c>
      <c r="F157" s="57"/>
      <c r="G157" s="57"/>
      <c r="H157" s="54">
        <v>0.56999999999999995</v>
      </c>
      <c r="I157" s="60">
        <f t="shared" si="5"/>
        <v>5.0999999999999996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4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8" sqref="G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5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Koster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non cultivé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Peuplier non cultivé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sessile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Chêne chevelu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121.64341556501768</v>
      </c>
      <c r="T3" s="62">
        <f>IF('Données projet'!E9&gt;30,$R$33-$H$33,LOOKUP('Données projet'!$E$9,$A$3:$A$203,R3:R203)-LOOKUP('Données projet'!$E$9,$A$3:$A$203,$H$3:$H$203))</f>
        <v>370.21160497429781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140.99869591649082</v>
      </c>
      <c r="AO3" s="62">
        <f>IF('Données projet'!E10&gt;30,$AM$33-$H$33,LOOKUP('Données projet'!$E$10,$A$3:$A$203,AM3:AM203)-LOOKUP('Données projet'!$E$10,$A$3:$A$203,$H$3:$H$203))</f>
        <v>425.5885140588652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140.99869591649082</v>
      </c>
      <c r="BJ3" s="62">
        <f>IF('Données projet'!E11&gt;30,$BH$33-$H$33,LOOKUP('Données projet'!$E$11,$A$3:$A$203,BH3:BH203)-LOOKUP('Données projet'!$E$11,$A$3:$A$203,$H$3:$H$203))</f>
        <v>425.5885140588652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37.174340347509542</v>
      </c>
      <c r="CE3" s="62">
        <f>IF('Données projet'!E12&gt;30,$CC$33-$H$33,LOOKUP('Données projet'!$E$12,$A$3:$A$203,CC3:CC203)-LOOKUP('Données projet'!$E$12,$A$3:$A$203,$H$3:$H$203))</f>
        <v>-42.822755675927624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63.282881814092605</v>
      </c>
      <c r="CZ3" s="62">
        <f>IF('Données projet'!E13&gt;30,$CX$33-$H$33,LOOKUP('Données projet'!$E$13,$A$3:$A$203,CX3:CX203)-LOOKUP('Données projet'!$E$13,$A$3:$A$203,$H$3:$H$203))</f>
        <v>-40.869120230674525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0.81120000000000003</v>
      </c>
      <c r="D4" s="12">
        <f>IFERROR(EXP(-1.0587+0.8836*LN(C4)+0.284),0)</f>
        <v>0.38305180611771755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9.2187858717858902</v>
      </c>
      <c r="H4" s="70">
        <f t="shared" ref="H4:H67" si="1">(B4+E4+F4)*44/12+(C4+D4)*0.475*44/12</f>
        <v>295.41332189565503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0.83333333333333337</v>
      </c>
      <c r="N4" s="14">
        <f>IF('Données projet'!$A$36&gt;35,N3+M4-V3,IF(A4&lt;'Données projet'!$A$36,$K$205^A4,IF(A4='Données projet'!$A$36,'Données projet'!$B$36,N3+M4-V3)))</f>
        <v>1.3076604860118306</v>
      </c>
      <c r="O4" s="14">
        <f>N4*VLOOKUP('Données projet'!$B$9,Paramètres!$A$1:$I$89,3,0)*VLOOKUP('Données projet'!$B$9,Paramètres!$A$1:$I$89,5,0)</f>
        <v>0.66502381676617661</v>
      </c>
      <c r="P4" s="14">
        <f>EXP(-1.0587+0.8836*LN(O4)+0.284)</f>
        <v>0.32137420405179057</v>
      </c>
      <c r="Q4" s="22">
        <f t="shared" ref="Q4:Q34" si="2">(O4+P4)*0.475*44/12</f>
        <v>1.717976552924626</v>
      </c>
      <c r="R4" s="62">
        <f t="shared" si="0"/>
        <v>295.05130988625797</v>
      </c>
      <c r="S4" s="62">
        <f ca="1">AVERAGE(OFFSET($R$3,0,0,'Données projet'!$E$9+1,1))-AVERAGE(OFFSET($H$3,0,0,'Données projet'!$E$9+1,1))</f>
        <v>121.64341556501768</v>
      </c>
      <c r="T4" s="62">
        <f>$T$3</f>
        <v>370.21160497429781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0.83333333333333337</v>
      </c>
      <c r="AI4" s="14">
        <f>IF('Données projet'!$A$62&gt;35,AI3+AH4-AQ3,IF(A4&lt;'Données projet'!$A$62,$AF$205^A4,IF(A4='Données projet'!$A$62,'Données projet'!$B$62,AI3+AH4-AQ3)))</f>
        <v>1.3076604860118306</v>
      </c>
      <c r="AJ4" s="14">
        <f>AI4*VLOOKUP('Données projet'!$B$10,Paramètres!$A$1:$I$89,3,0)*VLOOKUP('Données projet'!$B$10,Paramètres!$A$1:$I$89,5,0)</f>
        <v>0.7547816325260287</v>
      </c>
      <c r="AK4" s="14">
        <f>EXP(-1.0587+0.8836*LN(AJ4)+0.284)</f>
        <v>0.35941399679781932</v>
      </c>
      <c r="AL4" s="22">
        <f t="shared" ref="AL4:AL67" si="4">(AJ4+AK4)*0.475*44/12</f>
        <v>1.940557387739035</v>
      </c>
      <c r="AM4" s="62">
        <f t="shared" ref="AM4:AM67" si="5">AL4+(AD4+AE4)*44/12</f>
        <v>295.27389072107235</v>
      </c>
      <c r="AN4" s="62">
        <f ca="1">AVERAGE(OFFSET($AM$3,0,0,'Données projet'!$E$10+1,1))-AVERAGE(OFFSET($H$3,0,0,'Données projet'!$E$10+1,1))</f>
        <v>140.99869591649082</v>
      </c>
      <c r="AO4" s="62">
        <f>$AO$3</f>
        <v>425.5885140588652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0.83333333333333337</v>
      </c>
      <c r="BD4" s="13">
        <f>IF('Données projet'!$A$88&gt;35,BD3+BC4-BL3,IF(A4&lt;'Données projet'!$A$88,$BA$205^A4,IF(A4='Données projet'!$A$88,'Données projet'!$B$88,BD3+BC4-BL3)))</f>
        <v>1.3076604860118306</v>
      </c>
      <c r="BE4" s="14">
        <f>BD4*VLOOKUP('Données projet'!$B$11,Paramètres!$A$1:$I$89,3,0)*VLOOKUP('Données projet'!$B$11,Paramètres!$A$1:$I$89,5,0)</f>
        <v>0.7547816325260287</v>
      </c>
      <c r="BF4" s="14">
        <f>EXP(-1.0587+0.8836*LN(BE4)+0.284)</f>
        <v>0.35941399679781932</v>
      </c>
      <c r="BG4" s="22">
        <f t="shared" ref="BG4:BG67" si="7">(BE4+BF4)*0.475*44/12</f>
        <v>1.940557387739035</v>
      </c>
      <c r="BH4" s="62">
        <f t="shared" ref="BH4:BH67" si="8">BG4+(AY4+AZ4)*44/12</f>
        <v>295.27389072107235</v>
      </c>
      <c r="BI4" s="62">
        <f ca="1">AVERAGE(OFFSET($BH$3,0,0,'Données projet'!$E$11+1,1))-AVERAGE(OFFSET($H$3,0,0,'Données projet'!$E$11+1,1))</f>
        <v>140.99869591649082</v>
      </c>
      <c r="BJ4" s="62">
        <f>$BJ$3</f>
        <v>425.5885140588652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0.2</v>
      </c>
      <c r="BY4" s="13">
        <f>IF('Données projet'!$A$114&gt;35,BY3+BX4-CG3,IF(A4&lt;'Données projet'!$A$114,$BV$205^A4,IF(A4='Données projet'!$A$114,'Données projet'!$B$114,BY3+BX4-CG3)))</f>
        <v>1.0615449167090512</v>
      </c>
      <c r="BZ4" s="14">
        <f>BY4*VLOOKUP('Données projet'!$B$12,Paramètres!$A$1:$I$89,3,0)*VLOOKUP('Données projet'!$B$12,Paramètres!$A$1:$I$89,5,0)</f>
        <v>0.96048584063834941</v>
      </c>
      <c r="CA4" s="14">
        <f>EXP(-1.0587+0.8836*LN(BZ4)+0.284)</f>
        <v>0.44471428835701127</v>
      </c>
      <c r="CB4" s="22">
        <f t="shared" ref="CB4:CB67" si="10">(BZ4+CA4)*0.475*44/12</f>
        <v>2.4473902246669197</v>
      </c>
      <c r="CC4" s="62">
        <f t="shared" ref="CC4:CC67" si="11">CB4+(BT4+BU4)*44/12</f>
        <v>295.78072355800026</v>
      </c>
      <c r="CD4" s="62">
        <f ca="1">AVERAGE(OFFSET($CC$3,0,0,'Données projet'!$E$12+1,1))-AVERAGE(OFFSET($H$3,0,0,'Données projet'!$E$12+1,1))</f>
        <v>37.174340347509542</v>
      </c>
      <c r="CE4" s="62">
        <f>$CE$3</f>
        <v>-42.822755675927624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0.2</v>
      </c>
      <c r="CT4" s="13">
        <f>IF('Données projet'!$A$140&gt;35,CT3+CS4-DB3,IF(A4&lt;'Données projet'!$A$140,$CQ$205^A4,IF(A4='Données projet'!$A$140,'Données projet'!$B$140,CT3+CS4-DB3)))</f>
        <v>1.0615449167090512</v>
      </c>
      <c r="CU4" s="18">
        <f>CT4*VLOOKUP('Données projet'!$B$13,Paramètres!$A$1:$I$89,3,0)*VLOOKUP('Données projet'!$B$13,Paramètres!$A$1:$I$89,5,0)</f>
        <v>1.1095267469443004</v>
      </c>
      <c r="CV4" s="14">
        <f>EXP(-1.0587+0.8836*LN(CU4)+0.284)</f>
        <v>0.50516796690374599</v>
      </c>
      <c r="CW4" s="22">
        <f t="shared" ref="CW4:CW67" si="13">(CU4+CV4)*0.475*44/12</f>
        <v>2.8122599599520139</v>
      </c>
      <c r="CX4" s="62">
        <f t="shared" ref="CX4:CX67" si="14">CW4+(CO4+CP4)*44/12</f>
        <v>296.14559329328534</v>
      </c>
      <c r="CY4" s="62">
        <f ca="1">AVERAGE(OFFSET($CX$3,0,0,'Données projet'!$E$13+1,1))-AVERAGE(OFFSET($H$3,0,0,'Données projet'!$E$13+1,1))</f>
        <v>63.282881814092605</v>
      </c>
      <c r="CZ4" s="62">
        <f>$CZ$3</f>
        <v>-40.869120230674525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1.6224000000000001</v>
      </c>
      <c r="D5" s="12">
        <f t="shared" ref="D5:D68" si="32">IFERROR(EXP(-1.0587+0.8836*LN(C5)+0.284),0)</f>
        <v>0.70672038512206192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17.979174902696617</v>
      </c>
      <c r="H5" s="70">
        <f t="shared" si="1"/>
        <v>297.38988467075421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0.83333333333333337</v>
      </c>
      <c r="N5" s="14">
        <f>IF('Données projet'!$A$36&gt;35,N4+M5-V4,IF(A5&lt;'Données projet'!$A$36,$K$205^A5,IF(A5='Données projet'!$A$36,'Données projet'!$B$36,N4+M5-V4)))</f>
        <v>1.7099759466766971</v>
      </c>
      <c r="O5" s="14">
        <f>N5*VLOOKUP('Données projet'!$B$9,Paramètres!$A$1:$I$89,3,0)*VLOOKUP('Données projet'!$B$9,Paramètres!$A$1:$I$89,5,0)</f>
        <v>0.86962536744190111</v>
      </c>
      <c r="P5" s="14">
        <f t="shared" ref="P5:P68" si="33">EXP(-1.0587+0.8836*LN(O5)+0.284)</f>
        <v>0.4073296243336133</v>
      </c>
      <c r="Q5" s="22">
        <f t="shared" si="2"/>
        <v>2.2240299440090214</v>
      </c>
      <c r="R5" s="62">
        <f t="shared" si="0"/>
        <v>295.55736327734235</v>
      </c>
      <c r="S5" s="62">
        <f ca="1">AVERAGE(OFFSET($R$3,0,0,'Données projet'!$E$9+1,1))-AVERAGE(OFFSET($H$3,0,0,'Données projet'!$E$9+1,1))</f>
        <v>121.64341556501768</v>
      </c>
      <c r="T5" s="62">
        <f t="shared" ref="T5:T68" si="34">$T$3</f>
        <v>370.21160497429781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0.83333333333333337</v>
      </c>
      <c r="AI5" s="14">
        <f>IF('Données projet'!$A$62&gt;35,AI4+AH5-AQ4,IF(A5&lt;'Données projet'!$A$62,$AF$205^A5,IF(A5='Données projet'!$A$62,'Données projet'!$B$62,AI4+AH5-AQ4)))</f>
        <v>1.7099759466766971</v>
      </c>
      <c r="AJ5" s="14">
        <f>AI5*VLOOKUP('Données projet'!$B$10,Paramètres!$A$1:$I$89,3,0)*VLOOKUP('Données projet'!$B$10,Paramètres!$A$1:$I$89,5,0)</f>
        <v>0.98699811642178958</v>
      </c>
      <c r="AK5" s="14">
        <f t="shared" ref="AK5:AK68" si="35">EXP(-1.0587+0.8836*LN(AJ5)+0.284)</f>
        <v>0.45554362002342086</v>
      </c>
      <c r="AL5" s="22">
        <f t="shared" si="4"/>
        <v>2.5124268576420747</v>
      </c>
      <c r="AM5" s="62">
        <f t="shared" si="5"/>
        <v>295.8457601909754</v>
      </c>
      <c r="AN5" s="62">
        <f ca="1">AVERAGE(OFFSET($AM$3,0,0,'Données projet'!$E$10+1,1))-AVERAGE(OFFSET($H$3,0,0,'Données projet'!$E$10+1,1))</f>
        <v>140.99869591649082</v>
      </c>
      <c r="AO5" s="62">
        <f t="shared" ref="AO5:AO68" si="36">$AO$3</f>
        <v>425.5885140588652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0.83333333333333337</v>
      </c>
      <c r="BD5" s="13">
        <f>IF('Données projet'!$A$88&gt;35,BD4+BC5-BL4,IF(A5&lt;'Données projet'!$A$88,$BA$205^A5,IF(A5='Données projet'!$A$88,'Données projet'!$B$88,BD4+BC5-BL4)))</f>
        <v>1.7099759466766971</v>
      </c>
      <c r="BE5" s="14">
        <f>BD5*VLOOKUP('Données projet'!$B$11,Paramètres!$A$1:$I$89,3,0)*VLOOKUP('Données projet'!$B$11,Paramètres!$A$1:$I$89,5,0)</f>
        <v>0.98699811642178958</v>
      </c>
      <c r="BF5" s="14">
        <f t="shared" ref="BF5:BF68" si="37">EXP(-1.0587+0.8836*LN(BE5)+0.284)</f>
        <v>0.45554362002342086</v>
      </c>
      <c r="BG5" s="22">
        <f t="shared" si="7"/>
        <v>2.5124268576420747</v>
      </c>
      <c r="BH5" s="62">
        <f t="shared" si="8"/>
        <v>295.8457601909754</v>
      </c>
      <c r="BI5" s="62">
        <f ca="1">AVERAGE(OFFSET($BH$3,0,0,'Données projet'!$E$11+1,1))-AVERAGE(OFFSET($H$3,0,0,'Données projet'!$E$11+1,1))</f>
        <v>140.99869591649082</v>
      </c>
      <c r="BJ5" s="62">
        <f t="shared" ref="BJ5:BJ68" si="38">$BJ$3</f>
        <v>425.5885140588652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0.2</v>
      </c>
      <c r="BY5" s="13">
        <f>IF('Données projet'!$A$114&gt;35,BY4+BX5-CG4,IF(A5&lt;'Données projet'!$A$114,$BV$205^A5,IF(A5='Données projet'!$A$114,'Données projet'!$B$114,BY4+BX5-CG4)))</f>
        <v>1.1268776101908264</v>
      </c>
      <c r="BZ5" s="14">
        <f>BY5*VLOOKUP('Données projet'!$B$12,Paramètres!$A$1:$I$89,3,0)*VLOOKUP('Données projet'!$B$12,Paramètres!$A$1:$I$89,5,0)</f>
        <v>1.0195988617006597</v>
      </c>
      <c r="CA5" s="14">
        <f t="shared" ref="CA5:CA68" si="39">EXP(-1.0587+0.8836*LN(BZ5)+0.284)</f>
        <v>0.46881363194881709</v>
      </c>
      <c r="CB5" s="22">
        <f t="shared" si="10"/>
        <v>2.5923184264395052</v>
      </c>
      <c r="CC5" s="62">
        <f t="shared" si="11"/>
        <v>295.92565175977285</v>
      </c>
      <c r="CD5" s="62">
        <f ca="1">AVERAGE(OFFSET($CC$3,0,0,'Données projet'!$E$12+1,1))-AVERAGE(OFFSET($H$3,0,0,'Données projet'!$E$12+1,1))</f>
        <v>37.174340347509542</v>
      </c>
      <c r="CE5" s="62">
        <f t="shared" ref="CE5:CE68" si="40">$CE$3</f>
        <v>-42.822755675927624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0.2</v>
      </c>
      <c r="CT5" s="13">
        <f>IF('Données projet'!$A$140&gt;35,CT4+CS5-DB4,IF(A5&lt;'Données projet'!$A$140,$CQ$205^A5,IF(A5='Données projet'!$A$140,'Données projet'!$B$140,CT4+CS5-DB4)))</f>
        <v>1.1268776101908264</v>
      </c>
      <c r="CU5" s="18">
        <f>CT5*VLOOKUP('Données projet'!$B$13,Paramètres!$A$1:$I$89,3,0)*VLOOKUP('Données projet'!$B$13,Paramètres!$A$1:$I$89,5,0)</f>
        <v>1.1778124781714518</v>
      </c>
      <c r="CV5" s="14">
        <f t="shared" ref="CV5:CV68" si="41">EXP(-1.0587+0.8836*LN(CU5)+0.284)</f>
        <v>0.53254333289651579</v>
      </c>
      <c r="CW5" s="22">
        <f t="shared" si="13"/>
        <v>2.9788697042767107</v>
      </c>
      <c r="CX5" s="62">
        <f t="shared" si="14"/>
        <v>296.31220303761</v>
      </c>
      <c r="CY5" s="62">
        <f ca="1">AVERAGE(OFFSET($CX$3,0,0,'Données projet'!$E$13+1,1))-AVERAGE(OFFSET($H$3,0,0,'Données projet'!$E$13+1,1))</f>
        <v>63.282881814092605</v>
      </c>
      <c r="CZ5" s="62">
        <f t="shared" ref="CZ5:CZ68" si="42">$CZ$3</f>
        <v>-40.869120230674525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2.4336000000000002</v>
      </c>
      <c r="D6" s="12">
        <f t="shared" si="32"/>
        <v>1.0112111626203175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26.591524764086667</v>
      </c>
      <c r="H6" s="70">
        <f t="shared" si="1"/>
        <v>299.33304610823035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0.83333333333333337</v>
      </c>
      <c r="N6" s="14">
        <f>IF('Données projet'!$A$36&gt;35,N5+M6-V5,IF(A6&lt;'Données projet'!$A$36,$K$205^A6,IF(A6='Données projet'!$A$36,'Données projet'!$B$36,N5+M6-V5)))</f>
        <v>2.2360679774997898</v>
      </c>
      <c r="O6" s="14">
        <f>N6*VLOOKUP('Données projet'!$B$9,Paramètres!$A$1:$I$89,3,0)*VLOOKUP('Données projet'!$B$9,Paramètres!$A$1:$I$89,5,0)</f>
        <v>1.137174730637293</v>
      </c>
      <c r="P6" s="14">
        <f t="shared" si="33"/>
        <v>0.51627486203909612</v>
      </c>
      <c r="Q6" s="22">
        <f t="shared" si="2"/>
        <v>2.8797580405780443</v>
      </c>
      <c r="R6" s="62">
        <f t="shared" si="0"/>
        <v>296.21309137391137</v>
      </c>
      <c r="S6" s="62">
        <f ca="1">AVERAGE(OFFSET($R$3,0,0,'Données projet'!$E$9+1,1))-AVERAGE(OFFSET($H$3,0,0,'Données projet'!$E$9+1,1))</f>
        <v>121.64341556501768</v>
      </c>
      <c r="T6" s="62">
        <f t="shared" si="34"/>
        <v>370.21160497429781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0.83333333333333337</v>
      </c>
      <c r="AI6" s="14">
        <f>IF('Données projet'!$A$62&gt;35,AI5+AH6-AQ5,IF(A6&lt;'Données projet'!$A$62,$AF$205^A6,IF(A6='Données projet'!$A$62,'Données projet'!$B$62,AI5+AH6-AQ5)))</f>
        <v>2.2360679774997898</v>
      </c>
      <c r="AJ6" s="14">
        <f>AI6*VLOOKUP('Données projet'!$B$10,Paramètres!$A$1:$I$89,3,0)*VLOOKUP('Données projet'!$B$10,Paramètres!$A$1:$I$89,5,0)</f>
        <v>1.2906584366128786</v>
      </c>
      <c r="AK6" s="14">
        <f t="shared" si="35"/>
        <v>0.57738427438255502</v>
      </c>
      <c r="AL6" s="22">
        <f t="shared" si="4"/>
        <v>3.2535077216503798</v>
      </c>
      <c r="AM6" s="62">
        <f t="shared" si="5"/>
        <v>296.58684105498372</v>
      </c>
      <c r="AN6" s="62">
        <f ca="1">AVERAGE(OFFSET($AM$3,0,0,'Données projet'!$E$10+1,1))-AVERAGE(OFFSET($H$3,0,0,'Données projet'!$E$10+1,1))</f>
        <v>140.99869591649082</v>
      </c>
      <c r="AO6" s="62">
        <f t="shared" si="36"/>
        <v>425.5885140588652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0.83333333333333337</v>
      </c>
      <c r="BD6" s="13">
        <f>IF('Données projet'!$A$88&gt;35,BD5+BC6-BL5,IF(A6&lt;'Données projet'!$A$88,$BA$205^A6,IF(A6='Données projet'!$A$88,'Données projet'!$B$88,BD5+BC6-BL5)))</f>
        <v>2.2360679774997898</v>
      </c>
      <c r="BE6" s="14">
        <f>BD6*VLOOKUP('Données projet'!$B$11,Paramètres!$A$1:$I$89,3,0)*VLOOKUP('Données projet'!$B$11,Paramètres!$A$1:$I$89,5,0)</f>
        <v>1.2906584366128786</v>
      </c>
      <c r="BF6" s="14">
        <f t="shared" si="37"/>
        <v>0.57738427438255502</v>
      </c>
      <c r="BG6" s="22">
        <f t="shared" si="7"/>
        <v>3.2535077216503798</v>
      </c>
      <c r="BH6" s="62">
        <f t="shared" si="8"/>
        <v>296.58684105498372</v>
      </c>
      <c r="BI6" s="62">
        <f ca="1">AVERAGE(OFFSET($BH$3,0,0,'Données projet'!$E$11+1,1))-AVERAGE(OFFSET($H$3,0,0,'Données projet'!$E$11+1,1))</f>
        <v>140.99869591649082</v>
      </c>
      <c r="BJ6" s="62">
        <f t="shared" si="38"/>
        <v>425.5885140588652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0.2</v>
      </c>
      <c r="BY6" s="13">
        <f>IF('Données projet'!$A$114&gt;35,BY5+BX6-CG5,IF(A6&lt;'Données projet'!$A$114,$BV$205^A6,IF(A6='Données projet'!$A$114,'Données projet'!$B$114,BY5+BX6-CG5)))</f>
        <v>1.1962311988513155</v>
      </c>
      <c r="BZ6" s="14">
        <f>BY6*VLOOKUP('Données projet'!$B$12,Paramètres!$A$1:$I$89,3,0)*VLOOKUP('Données projet'!$B$12,Paramètres!$A$1:$I$89,5,0)</f>
        <v>1.0823499887206702</v>
      </c>
      <c r="CA6" s="14">
        <f t="shared" si="39"/>
        <v>0.49421893394304256</v>
      </c>
      <c r="CB6" s="22">
        <f t="shared" si="10"/>
        <v>2.7458575403059662</v>
      </c>
      <c r="CC6" s="62">
        <f t="shared" si="11"/>
        <v>296.07919087363928</v>
      </c>
      <c r="CD6" s="62">
        <f ca="1">AVERAGE(OFFSET($CC$3,0,0,'Données projet'!$E$12+1,1))-AVERAGE(OFFSET($H$3,0,0,'Données projet'!$E$12+1,1))</f>
        <v>37.174340347509542</v>
      </c>
      <c r="CE6" s="62">
        <f t="shared" si="40"/>
        <v>-42.822755675927624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0.2</v>
      </c>
      <c r="CT6" s="13">
        <f>IF('Données projet'!$A$140&gt;35,CT5+CS6-DB5,IF(A6&lt;'Données projet'!$A$140,$CQ$205^A6,IF(A6='Données projet'!$A$140,'Données projet'!$B$140,CT5+CS6-DB5)))</f>
        <v>1.1962311988513155</v>
      </c>
      <c r="CU6" s="18">
        <f>CT6*VLOOKUP('Données projet'!$B$13,Paramètres!$A$1:$I$89,3,0)*VLOOKUP('Données projet'!$B$13,Paramètres!$A$1:$I$89,5,0)</f>
        <v>1.250300849039395</v>
      </c>
      <c r="CV6" s="14">
        <f t="shared" si="41"/>
        <v>0.56140218698104127</v>
      </c>
      <c r="CW6" s="22">
        <f t="shared" si="13"/>
        <v>3.1553827877355931</v>
      </c>
      <c r="CX6" s="62">
        <f t="shared" si="14"/>
        <v>296.48871612106893</v>
      </c>
      <c r="CY6" s="62">
        <f ca="1">AVERAGE(OFFSET($CX$3,0,0,'Données projet'!$E$13+1,1))-AVERAGE(OFFSET($H$3,0,0,'Données projet'!$E$13+1,1))</f>
        <v>63.282881814092605</v>
      </c>
      <c r="CZ6" s="62">
        <f t="shared" si="42"/>
        <v>-40.869120230674525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3.2448000000000001</v>
      </c>
      <c r="D7" s="12">
        <f t="shared" si="32"/>
        <v>1.303880297052002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35.112619836892648</v>
      </c>
      <c r="H7" s="70">
        <f t="shared" si="1"/>
        <v>301.25561818403224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0.83333333333333337</v>
      </c>
      <c r="N7" s="14">
        <f>IF('Données projet'!$A$36&gt;35,N6+M7-V6,IF(A7&lt;'Données projet'!$A$36,$K$205^A7,IF(A7='Données projet'!$A$36,'Données projet'!$B$36,N6+M7-V6)))</f>
        <v>2.9240177382128665</v>
      </c>
      <c r="O7" s="14">
        <f>N7*VLOOKUP('Données projet'!$B$9,Paramètres!$A$1:$I$89,3,0)*VLOOKUP('Données projet'!$B$9,Paramètres!$A$1:$I$89,5,0)</f>
        <v>1.4870384609455356</v>
      </c>
      <c r="P7" s="14">
        <f t="shared" si="33"/>
        <v>0.65435882207080776</v>
      </c>
      <c r="Q7" s="22">
        <f t="shared" si="2"/>
        <v>3.7296002679201314</v>
      </c>
      <c r="R7" s="62">
        <f t="shared" si="0"/>
        <v>297.06293360125346</v>
      </c>
      <c r="S7" s="62">
        <f ca="1">AVERAGE(OFFSET($R$3,0,0,'Données projet'!$E$9+1,1))-AVERAGE(OFFSET($H$3,0,0,'Données projet'!$E$9+1,1))</f>
        <v>121.64341556501768</v>
      </c>
      <c r="T7" s="62">
        <f t="shared" si="34"/>
        <v>370.21160497429781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0.83333333333333337</v>
      </c>
      <c r="AI7" s="14">
        <f>IF('Données projet'!$A$62&gt;35,AI6+AH7-AQ6,IF(A7&lt;'Données projet'!$A$62,$AF$205^A7,IF(A7='Données projet'!$A$62,'Données projet'!$B$62,AI6+AH7-AQ6)))</f>
        <v>2.9240177382128665</v>
      </c>
      <c r="AJ7" s="14">
        <f>AI7*VLOOKUP('Données projet'!$B$10,Paramètres!$A$1:$I$89,3,0)*VLOOKUP('Données projet'!$B$10,Paramètres!$A$1:$I$89,5,0)</f>
        <v>1.6877430384964667</v>
      </c>
      <c r="AK7" s="14">
        <f t="shared" si="35"/>
        <v>0.73181268631778884</v>
      </c>
      <c r="AL7" s="22">
        <f t="shared" si="4"/>
        <v>4.2140595540514951</v>
      </c>
      <c r="AM7" s="62">
        <f t="shared" si="5"/>
        <v>297.54739288738483</v>
      </c>
      <c r="AN7" s="62">
        <f ca="1">AVERAGE(OFFSET($AM$3,0,0,'Données projet'!$E$10+1,1))-AVERAGE(OFFSET($H$3,0,0,'Données projet'!$E$10+1,1))</f>
        <v>140.99869591649082</v>
      </c>
      <c r="AO7" s="62">
        <f t="shared" si="36"/>
        <v>425.5885140588652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0.83333333333333337</v>
      </c>
      <c r="BD7" s="13">
        <f>IF('Données projet'!$A$88&gt;35,BD6+BC7-BL6,IF(A7&lt;'Données projet'!$A$88,$BA$205^A7,IF(A7='Données projet'!$A$88,'Données projet'!$B$88,BD6+BC7-BL6)))</f>
        <v>2.9240177382128665</v>
      </c>
      <c r="BE7" s="14">
        <f>BD7*VLOOKUP('Données projet'!$B$11,Paramètres!$A$1:$I$89,3,0)*VLOOKUP('Données projet'!$B$11,Paramètres!$A$1:$I$89,5,0)</f>
        <v>1.6877430384964667</v>
      </c>
      <c r="BF7" s="14">
        <f t="shared" si="37"/>
        <v>0.73181268631778884</v>
      </c>
      <c r="BG7" s="22">
        <f t="shared" si="7"/>
        <v>4.2140595540514951</v>
      </c>
      <c r="BH7" s="62">
        <f t="shared" si="8"/>
        <v>297.54739288738483</v>
      </c>
      <c r="BI7" s="62">
        <f ca="1">AVERAGE(OFFSET($BH$3,0,0,'Données projet'!$E$11+1,1))-AVERAGE(OFFSET($H$3,0,0,'Données projet'!$E$11+1,1))</f>
        <v>140.99869591649082</v>
      </c>
      <c r="BJ7" s="62">
        <f t="shared" si="38"/>
        <v>425.5885140588652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0.2</v>
      </c>
      <c r="BY7" s="13">
        <f>IF('Données projet'!$A$114&gt;35,BY6+BX7-CG6,IF(A7&lt;'Données projet'!$A$114,$BV$205^A7,IF(A7='Données projet'!$A$114,'Données projet'!$B$114,BY6+BX7-CG6)))</f>
        <v>1.2698531483493882</v>
      </c>
      <c r="BZ7" s="14">
        <f>BY7*VLOOKUP('Données projet'!$B$12,Paramètres!$A$1:$I$89,3,0)*VLOOKUP('Données projet'!$B$12,Paramètres!$A$1:$I$89,5,0)</f>
        <v>1.1489631286265265</v>
      </c>
      <c r="CA7" s="14">
        <f t="shared" si="39"/>
        <v>0.52100096503692084</v>
      </c>
      <c r="CB7" s="22">
        <f t="shared" si="10"/>
        <v>2.9085207964638378</v>
      </c>
      <c r="CC7" s="62">
        <f t="shared" si="11"/>
        <v>296.24185412979716</v>
      </c>
      <c r="CD7" s="62">
        <f ca="1">AVERAGE(OFFSET($CC$3,0,0,'Données projet'!$E$12+1,1))-AVERAGE(OFFSET($H$3,0,0,'Données projet'!$E$12+1,1))</f>
        <v>37.174340347509542</v>
      </c>
      <c r="CE7" s="62">
        <f t="shared" si="40"/>
        <v>-42.822755675927624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0.2</v>
      </c>
      <c r="CT7" s="13">
        <f>IF('Données projet'!$A$140&gt;35,CT6+CS7-DB6,IF(A7&lt;'Données projet'!$A$140,$CQ$205^A7,IF(A7='Données projet'!$A$140,'Données projet'!$B$140,CT6+CS7-DB6)))</f>
        <v>1.2698531483493882</v>
      </c>
      <c r="CU7" s="18">
        <f>CT7*VLOOKUP('Données projet'!$B$13,Paramètres!$A$1:$I$89,3,0)*VLOOKUP('Données projet'!$B$13,Paramètres!$A$1:$I$89,5,0)</f>
        <v>1.3272505106547807</v>
      </c>
      <c r="CV7" s="14">
        <f t="shared" si="41"/>
        <v>0.59182492029872169</v>
      </c>
      <c r="CW7" s="22">
        <f t="shared" si="13"/>
        <v>3.3423897089106833</v>
      </c>
      <c r="CX7" s="62">
        <f t="shared" si="14"/>
        <v>296.67572304224399</v>
      </c>
      <c r="CY7" s="62">
        <f ca="1">AVERAGE(OFFSET($CX$3,0,0,'Données projet'!$E$13+1,1))-AVERAGE(OFFSET($H$3,0,0,'Données projet'!$E$13+1,1))</f>
        <v>63.282881814092605</v>
      </c>
      <c r="CZ7" s="62">
        <f t="shared" si="42"/>
        <v>-40.869120230674525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4.056</v>
      </c>
      <c r="D8" s="12">
        <f t="shared" si="32"/>
        <v>1.588061840572724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43.56819666407015</v>
      </c>
      <c r="H8" s="70">
        <f t="shared" si="1"/>
        <v>303.16340770566416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0.83333333333333337</v>
      </c>
      <c r="N8" s="14">
        <f>IF('Données projet'!$A$36&gt;35,N7+M8-V7,IF(A8&lt;'Données projet'!$A$36,$K$205^A8,IF(A8='Données projet'!$A$36,'Données projet'!$B$36,N7+M8-V7)))</f>
        <v>3.8236224566586507</v>
      </c>
      <c r="O8" s="14">
        <f>N8*VLOOKUP('Données projet'!$B$9,Paramètres!$A$1:$I$89,3,0)*VLOOKUP('Données projet'!$B$9,Paramètres!$A$1:$I$89,5,0)</f>
        <v>1.9445414365583238</v>
      </c>
      <c r="P8" s="14">
        <f t="shared" si="33"/>
        <v>0.82937500836418721</v>
      </c>
      <c r="Q8" s="22">
        <f t="shared" si="2"/>
        <v>4.83123780824004</v>
      </c>
      <c r="R8" s="62">
        <f t="shared" si="0"/>
        <v>298.16457114157333</v>
      </c>
      <c r="S8" s="62">
        <f ca="1">AVERAGE(OFFSET($R$3,0,0,'Données projet'!$E$9+1,1))-AVERAGE(OFFSET($H$3,0,0,'Données projet'!$E$9+1,1))</f>
        <v>121.64341556501768</v>
      </c>
      <c r="T8" s="62">
        <f t="shared" si="34"/>
        <v>370.21160497429781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0.83333333333333337</v>
      </c>
      <c r="AI8" s="14">
        <f>IF('Données projet'!$A$62&gt;35,AI7+AH8-AQ7,IF(A8&lt;'Données projet'!$A$62,$AF$205^A8,IF(A8='Données projet'!$A$62,'Données projet'!$B$62,AI7+AH8-AQ7)))</f>
        <v>3.8236224566586507</v>
      </c>
      <c r="AJ8" s="14">
        <f>AI8*VLOOKUP('Données projet'!$B$10,Paramètres!$A$1:$I$89,3,0)*VLOOKUP('Données projet'!$B$10,Paramètres!$A$1:$I$89,5,0)</f>
        <v>2.2069948819833733</v>
      </c>
      <c r="AK8" s="14">
        <f t="shared" si="35"/>
        <v>0.92754484598384013</v>
      </c>
      <c r="AL8" s="22">
        <f t="shared" si="4"/>
        <v>5.4593233595428963</v>
      </c>
      <c r="AM8" s="62">
        <f t="shared" si="5"/>
        <v>298.79265669287622</v>
      </c>
      <c r="AN8" s="62">
        <f ca="1">AVERAGE(OFFSET($AM$3,0,0,'Données projet'!$E$10+1,1))-AVERAGE(OFFSET($H$3,0,0,'Données projet'!$E$10+1,1))</f>
        <v>140.99869591649082</v>
      </c>
      <c r="AO8" s="62">
        <f t="shared" si="36"/>
        <v>425.5885140588652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0.83333333333333337</v>
      </c>
      <c r="BD8" s="13">
        <f>IF('Données projet'!$A$88&gt;35,BD7+BC8-BL7,IF(A8&lt;'Données projet'!$A$88,$BA$205^A8,IF(A8='Données projet'!$A$88,'Données projet'!$B$88,BD7+BC8-BL7)))</f>
        <v>3.8236224566586507</v>
      </c>
      <c r="BE8" s="14">
        <f>BD8*VLOOKUP('Données projet'!$B$11,Paramètres!$A$1:$I$89,3,0)*VLOOKUP('Données projet'!$B$11,Paramètres!$A$1:$I$89,5,0)</f>
        <v>2.2069948819833733</v>
      </c>
      <c r="BF8" s="14">
        <f t="shared" si="37"/>
        <v>0.92754484598384013</v>
      </c>
      <c r="BG8" s="22">
        <f t="shared" si="7"/>
        <v>5.4593233595428963</v>
      </c>
      <c r="BH8" s="62">
        <f t="shared" si="8"/>
        <v>298.79265669287622</v>
      </c>
      <c r="BI8" s="62">
        <f ca="1">AVERAGE(OFFSET($BH$3,0,0,'Données projet'!$E$11+1,1))-AVERAGE(OFFSET($H$3,0,0,'Données projet'!$E$11+1,1))</f>
        <v>140.99869591649082</v>
      </c>
      <c r="BJ8" s="62">
        <f t="shared" si="38"/>
        <v>425.5885140588652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0.2</v>
      </c>
      <c r="BY8" s="13">
        <f>IF('Données projet'!$A$114&gt;35,BY7+BX8-CG7,IF(A8&lt;'Données projet'!$A$114,$BV$205^A8,IF(A8='Données projet'!$A$114,'Données projet'!$B$114,BY7+BX8-CG7)))</f>
        <v>1.3480061545972777</v>
      </c>
      <c r="BZ8" s="14">
        <f>BY8*VLOOKUP('Données projet'!$B$12,Paramètres!$A$1:$I$89,3,0)*VLOOKUP('Données projet'!$B$12,Paramètres!$A$1:$I$89,5,0)</f>
        <v>1.2196759686796168</v>
      </c>
      <c r="CA8" s="14">
        <f t="shared" si="39"/>
        <v>0.54923433103573827</v>
      </c>
      <c r="CB8" s="22">
        <f t="shared" si="10"/>
        <v>3.0808521053375766</v>
      </c>
      <c r="CC8" s="62">
        <f t="shared" si="11"/>
        <v>296.41418543867087</v>
      </c>
      <c r="CD8" s="62">
        <f ca="1">AVERAGE(OFFSET($CC$3,0,0,'Données projet'!$E$12+1,1))-AVERAGE(OFFSET($H$3,0,0,'Données projet'!$E$12+1,1))</f>
        <v>37.174340347509542</v>
      </c>
      <c r="CE8" s="62">
        <f t="shared" si="40"/>
        <v>-42.822755675927624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0.2</v>
      </c>
      <c r="CT8" s="13">
        <f>IF('Données projet'!$A$140&gt;35,CT7+CS8-DB7,IF(A8&lt;'Données projet'!$A$140,$CQ$205^A8,IF(A8='Données projet'!$A$140,'Données projet'!$B$140,CT7+CS8-DB7)))</f>
        <v>1.3480061545972777</v>
      </c>
      <c r="CU8" s="18">
        <f>CT8*VLOOKUP('Données projet'!$B$13,Paramètres!$A$1:$I$89,3,0)*VLOOKUP('Données projet'!$B$13,Paramètres!$A$1:$I$89,5,0)</f>
        <v>1.4089360327850746</v>
      </c>
      <c r="CV8" s="14">
        <f t="shared" si="41"/>
        <v>0.6238962804368563</v>
      </c>
      <c r="CW8" s="22">
        <f t="shared" si="13"/>
        <v>3.5405162788615296</v>
      </c>
      <c r="CX8" s="62">
        <f t="shared" si="14"/>
        <v>296.87384961219482</v>
      </c>
      <c r="CY8" s="62">
        <f ca="1">AVERAGE(OFFSET($CX$3,0,0,'Données projet'!$E$13+1,1))-AVERAGE(OFFSET($H$3,0,0,'Données projet'!$E$13+1,1))</f>
        <v>63.282881814092605</v>
      </c>
      <c r="CZ8" s="62">
        <f t="shared" si="42"/>
        <v>-40.869120230674525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4.8672000000000004</v>
      </c>
      <c r="D9" s="12">
        <f t="shared" si="32"/>
        <v>1.8656576757326089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51.972936444251722</v>
      </c>
      <c r="H9" s="70">
        <f t="shared" si="1"/>
        <v>305.05972711856759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>
        <f>VLOOKUP(A9,'Données projet'!$A$35:$I$55,2,0)</f>
        <v>5</v>
      </c>
      <c r="L9" s="13">
        <f>VLOOKUP(A9,'Données projet'!$A$35:$I$55,9,0)</f>
        <v>0.83333333333333337</v>
      </c>
      <c r="M9" s="13">
        <f t="array" ref="M9">INDEX(L:L,MIN(IF(ISNUMBER(L9:L205),ROW(L9:L205),"")))</f>
        <v>0.83333333333333337</v>
      </c>
      <c r="N9" s="14">
        <f>IF('Données projet'!$A$36&gt;35,N8+M9-V8,IF(A9&lt;'Données projet'!$A$36,$K$205^A9,IF(A9='Données projet'!$A$36,'Données projet'!$B$36,N8+M9-V8)))</f>
        <v>5</v>
      </c>
      <c r="O9" s="14">
        <f>N9*VLOOKUP('Données projet'!$B$9,Paramètres!$A$1:$I$89,3,0)*VLOOKUP('Données projet'!$B$9,Paramètres!$A$1:$I$89,5,0)</f>
        <v>2.5428000000000002</v>
      </c>
      <c r="P9" s="14">
        <f t="shared" si="33"/>
        <v>1.0512013918025274</v>
      </c>
      <c r="Q9" s="22">
        <f t="shared" si="2"/>
        <v>6.2595524240560687</v>
      </c>
      <c r="R9" s="62">
        <f t="shared" si="0"/>
        <v>299.59288575738941</v>
      </c>
      <c r="S9" s="62">
        <f ca="1">AVERAGE(OFFSET($R$3,0,0,'Données projet'!$E$9+1,1))-AVERAGE(OFFSET($H$3,0,0,'Données projet'!$E$9+1,1))</f>
        <v>121.64341556501768</v>
      </c>
      <c r="T9" s="62">
        <f t="shared" si="34"/>
        <v>370.21160497429781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>
        <f>VLOOKUP(A9,'Données projet'!$A$61:$I$81,2,0)</f>
        <v>5</v>
      </c>
      <c r="AG9" s="13">
        <f>VLOOKUP(A9,'Données projet'!$A$61:$I$81,9,0)</f>
        <v>0.83333333333333337</v>
      </c>
      <c r="AH9" s="13">
        <f t="array" ref="AH9">INDEX(AG:AG,MIN(IF(ISNUMBER(AG9:AG205),ROW(AG9:AG205),"")))</f>
        <v>0.83333333333333337</v>
      </c>
      <c r="AI9" s="14">
        <f>IF('Données projet'!$A$62&gt;35,AI8+AH9-AQ8,IF(A9&lt;'Données projet'!$A$62,$AF$205^A9,IF(A9='Données projet'!$A$62,'Données projet'!$B$62,AI8+AH9-AQ8)))</f>
        <v>5</v>
      </c>
      <c r="AJ9" s="14">
        <f>AI9*VLOOKUP('Données projet'!$B$10,Paramètres!$A$1:$I$89,3,0)*VLOOKUP('Données projet'!$B$10,Paramètres!$A$1:$I$89,5,0)</f>
        <v>2.8860000000000001</v>
      </c>
      <c r="AK9" s="14">
        <f t="shared" si="35"/>
        <v>1.1756279405869499</v>
      </c>
      <c r="AL9" s="22">
        <f t="shared" si="4"/>
        <v>7.0740019965222709</v>
      </c>
      <c r="AM9" s="62">
        <f t="shared" si="5"/>
        <v>300.40733532985558</v>
      </c>
      <c r="AN9" s="62">
        <f ca="1">AVERAGE(OFFSET($AM$3,0,0,'Données projet'!$E$10+1,1))-AVERAGE(OFFSET($H$3,0,0,'Données projet'!$E$10+1,1))</f>
        <v>140.99869591649082</v>
      </c>
      <c r="AO9" s="62">
        <f t="shared" si="36"/>
        <v>425.5885140588652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>
        <f>VLOOKUP(A9,'Données projet'!$A$87:$I$107,2,0)</f>
        <v>5</v>
      </c>
      <c r="BB9" s="13">
        <f>VLOOKUP(A9,'Données projet'!$A$87:$I$107,9,0)</f>
        <v>0.83333333333333337</v>
      </c>
      <c r="BC9" s="13">
        <f t="array" ref="BC9">INDEX(BB:BB,MIN(IF(ISNUMBER(BB9:BB205),ROW(BB9:BB205),"")))</f>
        <v>0.83333333333333337</v>
      </c>
      <c r="BD9" s="13">
        <f>IF('Données projet'!$A$88&gt;35,BD8+BC9-BL8,IF(A9&lt;'Données projet'!$A$88,$BA$205^A9,IF(A9='Données projet'!$A$88,'Données projet'!$B$88,BD8+BC9-BL8)))</f>
        <v>5</v>
      </c>
      <c r="BE9" s="14">
        <f>BD9*VLOOKUP('Données projet'!$B$11,Paramètres!$A$1:$I$89,3,0)*VLOOKUP('Données projet'!$B$11,Paramètres!$A$1:$I$89,5,0)</f>
        <v>2.8860000000000001</v>
      </c>
      <c r="BF9" s="14">
        <f t="shared" si="37"/>
        <v>1.1756279405869499</v>
      </c>
      <c r="BG9" s="22">
        <f t="shared" si="7"/>
        <v>7.0740019965222709</v>
      </c>
      <c r="BH9" s="62">
        <f t="shared" si="8"/>
        <v>300.40733532985558</v>
      </c>
      <c r="BI9" s="62">
        <f ca="1">AVERAGE(OFFSET($BH$3,0,0,'Données projet'!$E$11+1,1))-AVERAGE(OFFSET($H$3,0,0,'Données projet'!$E$11+1,1))</f>
        <v>140.99869591649082</v>
      </c>
      <c r="BJ9" s="62">
        <f t="shared" si="38"/>
        <v>425.5885140588652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0.2</v>
      </c>
      <c r="BY9" s="13">
        <f>IF('Données projet'!$A$114&gt;35,BY8+BX9-CG8,IF(A9&lt;'Données projet'!$A$114,$BV$205^A9,IF(A9='Données projet'!$A$114,'Données projet'!$B$114,BY8+BX9-CG8)))</f>
        <v>1.4309690811052556</v>
      </c>
      <c r="BZ9" s="14">
        <f>BY9*VLOOKUP('Données projet'!$B$12,Paramètres!$A$1:$I$89,3,0)*VLOOKUP('Données projet'!$B$12,Paramètres!$A$1:$I$89,5,0)</f>
        <v>1.2947408245840351</v>
      </c>
      <c r="CA9" s="14">
        <f t="shared" si="39"/>
        <v>0.57899768067972368</v>
      </c>
      <c r="CB9" s="22">
        <f t="shared" si="10"/>
        <v>3.263427896667713</v>
      </c>
      <c r="CC9" s="62">
        <f t="shared" si="11"/>
        <v>296.59676123000105</v>
      </c>
      <c r="CD9" s="62">
        <f ca="1">AVERAGE(OFFSET($CC$3,0,0,'Données projet'!$E$12+1,1))-AVERAGE(OFFSET($H$3,0,0,'Données projet'!$E$12+1,1))</f>
        <v>37.174340347509542</v>
      </c>
      <c r="CE9" s="62">
        <f t="shared" si="40"/>
        <v>-42.822755675927624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0.2</v>
      </c>
      <c r="CT9" s="13">
        <f>IF('Données projet'!$A$140&gt;35,CT8+CS9-DB8,IF(A9&lt;'Données projet'!$A$140,$CQ$205^A9,IF(A9='Données projet'!$A$140,'Données projet'!$B$140,CT8+CS9-DB8)))</f>
        <v>1.4309690811052556</v>
      </c>
      <c r="CU9" s="18">
        <f>CT9*VLOOKUP('Données projet'!$B$13,Paramètres!$A$1:$I$89,3,0)*VLOOKUP('Données projet'!$B$13,Paramètres!$A$1:$I$89,5,0)</f>
        <v>1.4956488835712134</v>
      </c>
      <c r="CV9" s="14">
        <f t="shared" si="41"/>
        <v>0.65770560750715545</v>
      </c>
      <c r="CW9" s="22">
        <f t="shared" si="13"/>
        <v>3.7504257386281594</v>
      </c>
      <c r="CX9" s="62">
        <f t="shared" si="14"/>
        <v>297.08375907196148</v>
      </c>
      <c r="CY9" s="62">
        <f ca="1">AVERAGE(OFFSET($CX$3,0,0,'Données projet'!$E$13+1,1))-AVERAGE(OFFSET($H$3,0,0,'Données projet'!$E$13+1,1))</f>
        <v>63.282881814092605</v>
      </c>
      <c r="CZ9" s="62">
        <f t="shared" si="42"/>
        <v>-40.869120230674525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5.6784000000000008</v>
      </c>
      <c r="D10" s="12">
        <f t="shared" si="32"/>
        <v>2.1378938726743604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60.336303578538924</v>
      </c>
      <c r="H10" s="70">
        <f t="shared" si="1"/>
        <v>306.94671182824118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6.666666666666667</v>
      </c>
      <c r="N10" s="14">
        <f>IF('Données projet'!$A$36&gt;35,N9+M10-V9,IF(A10&lt;'Données projet'!$A$36,$K$205^A10,IF(A10='Données projet'!$A$36,'Données projet'!$B$36,N9+M10-V9)))</f>
        <v>11.666666666666668</v>
      </c>
      <c r="O10" s="14">
        <f>N10*VLOOKUP('Données projet'!$B$9,Paramètres!$A$1:$I$89,3,0)*VLOOKUP('Données projet'!$B$9,Paramètres!$A$1:$I$89,5,0)</f>
        <v>5.9332000000000011</v>
      </c>
      <c r="P10" s="14">
        <f t="shared" si="33"/>
        <v>2.2224408684906933</v>
      </c>
      <c r="Q10" s="22">
        <f t="shared" si="2"/>
        <v>14.204407845954625</v>
      </c>
      <c r="R10" s="62">
        <f t="shared" si="0"/>
        <v>307.53774117928793</v>
      </c>
      <c r="S10" s="62">
        <f ca="1">AVERAGE(OFFSET($R$3,0,0,'Données projet'!$E$9+1,1))-AVERAGE(OFFSET($H$3,0,0,'Données projet'!$E$9+1,1))</f>
        <v>121.64341556501768</v>
      </c>
      <c r="T10" s="62">
        <f t="shared" si="34"/>
        <v>370.21160497429781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6.666666666666667</v>
      </c>
      <c r="AI10" s="14">
        <f>IF('Données projet'!$A$62&gt;35,AI9+AH10-AQ9,IF(A10&lt;'Données projet'!$A$62,$AF$205^A10,IF(A10='Données projet'!$A$62,'Données projet'!$B$62,AI9+AH10-AQ9)))</f>
        <v>11.666666666666668</v>
      </c>
      <c r="AJ10" s="14">
        <f>AI10*VLOOKUP('Données projet'!$B$10,Paramètres!$A$1:$I$89,3,0)*VLOOKUP('Données projet'!$B$10,Paramètres!$A$1:$I$89,5,0)</f>
        <v>6.7340000000000009</v>
      </c>
      <c r="AK10" s="14">
        <f t="shared" si="35"/>
        <v>2.4855023991357168</v>
      </c>
      <c r="AL10" s="22">
        <f t="shared" si="4"/>
        <v>16.057300011828037</v>
      </c>
      <c r="AM10" s="62">
        <f t="shared" si="5"/>
        <v>309.39063334516135</v>
      </c>
      <c r="AN10" s="62">
        <f ca="1">AVERAGE(OFFSET($AM$3,0,0,'Données projet'!$E$10+1,1))-AVERAGE(OFFSET($H$3,0,0,'Données projet'!$E$10+1,1))</f>
        <v>140.99869591649082</v>
      </c>
      <c r="AO10" s="62">
        <f t="shared" si="36"/>
        <v>425.5885140588652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6.666666666666667</v>
      </c>
      <c r="BD10" s="13">
        <f>IF('Données projet'!$A$88&gt;35,BD9+BC10-BL9,IF(A10&lt;'Données projet'!$A$88,$BA$205^A10,IF(A10='Données projet'!$A$88,'Données projet'!$B$88,BD9+BC10-BL9)))</f>
        <v>11.666666666666668</v>
      </c>
      <c r="BE10" s="14">
        <f>BD10*VLOOKUP('Données projet'!$B$11,Paramètres!$A$1:$I$89,3,0)*VLOOKUP('Données projet'!$B$11,Paramètres!$A$1:$I$89,5,0)</f>
        <v>6.7340000000000009</v>
      </c>
      <c r="BF10" s="14">
        <f t="shared" si="37"/>
        <v>2.4855023991357168</v>
      </c>
      <c r="BG10" s="22">
        <f t="shared" si="7"/>
        <v>16.057300011828037</v>
      </c>
      <c r="BH10" s="62">
        <f t="shared" si="8"/>
        <v>309.39063334516135</v>
      </c>
      <c r="BI10" s="62">
        <f ca="1">AVERAGE(OFFSET($BH$3,0,0,'Données projet'!$E$11+1,1))-AVERAGE(OFFSET($H$3,0,0,'Données projet'!$E$11+1,1))</f>
        <v>140.99869591649082</v>
      </c>
      <c r="BJ10" s="62">
        <f t="shared" si="38"/>
        <v>425.5885140588652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0.2</v>
      </c>
      <c r="BY10" s="13">
        <f>IF('Données projet'!$A$114&gt;35,BY9+BX10-CG9,IF(A10&lt;'Données projet'!$A$114,$BV$205^A10,IF(A10='Données projet'!$A$114,'Données projet'!$B$114,BY9+BX10-CG9)))</f>
        <v>1.519037954015106</v>
      </c>
      <c r="BZ10" s="14">
        <f>BY10*VLOOKUP('Données projet'!$B$12,Paramètres!$A$1:$I$89,3,0)*VLOOKUP('Données projet'!$B$12,Paramètres!$A$1:$I$89,5,0)</f>
        <v>1.3744255407928678</v>
      </c>
      <c r="CA10" s="14">
        <f t="shared" si="39"/>
        <v>0.61037392473320395</v>
      </c>
      <c r="CB10" s="22">
        <f t="shared" si="10"/>
        <v>3.4568590691245746</v>
      </c>
      <c r="CC10" s="62">
        <f t="shared" si="11"/>
        <v>296.79019240245788</v>
      </c>
      <c r="CD10" s="62">
        <f ca="1">AVERAGE(OFFSET($CC$3,0,0,'Données projet'!$E$12+1,1))-AVERAGE(OFFSET($H$3,0,0,'Données projet'!$E$12+1,1))</f>
        <v>37.174340347509542</v>
      </c>
      <c r="CE10" s="62">
        <f t="shared" si="40"/>
        <v>-42.822755675927624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0.2</v>
      </c>
      <c r="CT10" s="13">
        <f>IF('Données projet'!$A$140&gt;35,CT9+CS10-DB9,IF(A10&lt;'Données projet'!$A$140,$CQ$205^A10,IF(A10='Données projet'!$A$140,'Données projet'!$B$140,CT9+CS10-DB9)))</f>
        <v>1.519037954015106</v>
      </c>
      <c r="CU10" s="18">
        <f>CT10*VLOOKUP('Données projet'!$B$13,Paramètres!$A$1:$I$89,3,0)*VLOOKUP('Données projet'!$B$13,Paramètres!$A$1:$I$89,5,0)</f>
        <v>1.587698469536589</v>
      </c>
      <c r="CV10" s="14">
        <f t="shared" si="41"/>
        <v>0.69334708301749004</v>
      </c>
      <c r="CW10" s="22">
        <f t="shared" si="13"/>
        <v>3.972821004031688</v>
      </c>
      <c r="CX10" s="62">
        <f t="shared" si="14"/>
        <v>297.306154337365</v>
      </c>
      <c r="CY10" s="62">
        <f ca="1">AVERAGE(OFFSET($CX$3,0,0,'Données projet'!$E$13+1,1))-AVERAGE(OFFSET($H$3,0,0,'Données projet'!$E$13+1,1))</f>
        <v>63.282881814092605</v>
      </c>
      <c r="CZ10" s="62">
        <f t="shared" si="42"/>
        <v>-40.869120230674525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6.4896000000000011</v>
      </c>
      <c r="D11" s="12">
        <f t="shared" si="32"/>
        <v>2.4056244376575933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68.664890395953364</v>
      </c>
      <c r="H11" s="70">
        <f t="shared" si="1"/>
        <v>308.82584922892028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6.666666666666667</v>
      </c>
      <c r="N11" s="14">
        <f>IF('Données projet'!$A$36&gt;35,N10+M11-V10,IF(A11&lt;'Données projet'!$A$36,$K$205^A11,IF(A11='Données projet'!$A$36,'Données projet'!$B$36,N10+M11-V10)))</f>
        <v>18.333333333333336</v>
      </c>
      <c r="O11" s="14">
        <f>N11*VLOOKUP('Données projet'!$B$9,Paramètres!$A$1:$I$89,3,0)*VLOOKUP('Données projet'!$B$9,Paramètres!$A$1:$I$89,5,0)</f>
        <v>9.3236000000000008</v>
      </c>
      <c r="P11" s="14">
        <f t="shared" si="33"/>
        <v>3.3134175114169286</v>
      </c>
      <c r="Q11" s="22">
        <f t="shared" si="2"/>
        <v>22.009472165717813</v>
      </c>
      <c r="R11" s="62">
        <f t="shared" si="0"/>
        <v>315.34280549905111</v>
      </c>
      <c r="S11" s="62">
        <f ca="1">AVERAGE(OFFSET($R$3,0,0,'Données projet'!$E$9+1,1))-AVERAGE(OFFSET($H$3,0,0,'Données projet'!$E$9+1,1))</f>
        <v>121.64341556501768</v>
      </c>
      <c r="T11" s="62">
        <f t="shared" si="34"/>
        <v>370.21160497429781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6.666666666666667</v>
      </c>
      <c r="AI11" s="14">
        <f>IF('Données projet'!$A$62&gt;35,AI10+AH11-AQ10,IF(A11&lt;'Données projet'!$A$62,$AF$205^A11,IF(A11='Données projet'!$A$62,'Données projet'!$B$62,AI10+AH11-AQ10)))</f>
        <v>18.333333333333336</v>
      </c>
      <c r="AJ11" s="14">
        <f>AI11*VLOOKUP('Données projet'!$B$10,Paramètres!$A$1:$I$89,3,0)*VLOOKUP('Données projet'!$B$10,Paramètres!$A$1:$I$89,5,0)</f>
        <v>10.582000000000001</v>
      </c>
      <c r="AK11" s="14">
        <f t="shared" si="35"/>
        <v>3.7056136299176217</v>
      </c>
      <c r="AL11" s="22">
        <f t="shared" si="4"/>
        <v>24.884260405439857</v>
      </c>
      <c r="AM11" s="62">
        <f t="shared" si="5"/>
        <v>318.21759373877319</v>
      </c>
      <c r="AN11" s="62">
        <f ca="1">AVERAGE(OFFSET($AM$3,0,0,'Données projet'!$E$10+1,1))-AVERAGE(OFFSET($H$3,0,0,'Données projet'!$E$10+1,1))</f>
        <v>140.99869591649082</v>
      </c>
      <c r="AO11" s="62">
        <f t="shared" si="36"/>
        <v>425.5885140588652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6.666666666666667</v>
      </c>
      <c r="BD11" s="13">
        <f>IF('Données projet'!$A$88&gt;35,BD10+BC11-BL10,IF(A11&lt;'Données projet'!$A$88,$BA$205^A11,IF(A11='Données projet'!$A$88,'Données projet'!$B$88,BD10+BC11-BL10)))</f>
        <v>18.333333333333336</v>
      </c>
      <c r="BE11" s="14">
        <f>BD11*VLOOKUP('Données projet'!$B$11,Paramètres!$A$1:$I$89,3,0)*VLOOKUP('Données projet'!$B$11,Paramètres!$A$1:$I$89,5,0)</f>
        <v>10.582000000000001</v>
      </c>
      <c r="BF11" s="14">
        <f t="shared" si="37"/>
        <v>3.7056136299176217</v>
      </c>
      <c r="BG11" s="22">
        <f t="shared" si="7"/>
        <v>24.884260405439857</v>
      </c>
      <c r="BH11" s="62">
        <f t="shared" si="8"/>
        <v>318.21759373877319</v>
      </c>
      <c r="BI11" s="62">
        <f ca="1">AVERAGE(OFFSET($BH$3,0,0,'Données projet'!$E$11+1,1))-AVERAGE(OFFSET($H$3,0,0,'Données projet'!$E$11+1,1))</f>
        <v>140.99869591649082</v>
      </c>
      <c r="BJ11" s="62">
        <f t="shared" si="38"/>
        <v>425.5885140588652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0.2</v>
      </c>
      <c r="BY11" s="13">
        <f>IF('Données projet'!$A$114&gt;35,BY10+BX11-CG10,IF(A11&lt;'Données projet'!$A$114,$BV$205^A11,IF(A11='Données projet'!$A$114,'Données projet'!$B$114,BY10+BX11-CG10)))</f>
        <v>1.6125270183728533</v>
      </c>
      <c r="BZ11" s="14">
        <f>BY11*VLOOKUP('Données projet'!$B$12,Paramètres!$A$1:$I$89,3,0)*VLOOKUP('Données projet'!$B$12,Paramètres!$A$1:$I$89,5,0)</f>
        <v>1.4590144462237578</v>
      </c>
      <c r="CA11" s="14">
        <f t="shared" si="39"/>
        <v>0.64345046694633801</v>
      </c>
      <c r="CB11" s="22">
        <f t="shared" si="10"/>
        <v>3.6617930571045836</v>
      </c>
      <c r="CC11" s="62">
        <f t="shared" si="11"/>
        <v>296.99512639043792</v>
      </c>
      <c r="CD11" s="62">
        <f ca="1">AVERAGE(OFFSET($CC$3,0,0,'Données projet'!$E$12+1,1))-AVERAGE(OFFSET($H$3,0,0,'Données projet'!$E$12+1,1))</f>
        <v>37.174340347509542</v>
      </c>
      <c r="CE11" s="62">
        <f t="shared" si="40"/>
        <v>-42.822755675927624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0.2</v>
      </c>
      <c r="CT11" s="13">
        <f>IF('Données projet'!$A$140&gt;35,CT10+CS11-DB10,IF(A11&lt;'Données projet'!$A$140,$CQ$205^A11,IF(A11='Données projet'!$A$140,'Données projet'!$B$140,CT10+CS11-DB10)))</f>
        <v>1.6125270183728533</v>
      </c>
      <c r="CU11" s="18">
        <f>CT11*VLOOKUP('Données projet'!$B$13,Paramètres!$A$1:$I$89,3,0)*VLOOKUP('Données projet'!$B$13,Paramètres!$A$1:$I$89,5,0)</f>
        <v>1.6854132396033064</v>
      </c>
      <c r="CV11" s="14">
        <f t="shared" si="41"/>
        <v>0.73091999223015924</v>
      </c>
      <c r="CW11" s="22">
        <f t="shared" si="13"/>
        <v>4.2084470454432852</v>
      </c>
      <c r="CX11" s="62">
        <f t="shared" si="14"/>
        <v>297.54178037877659</v>
      </c>
      <c r="CY11" s="62">
        <f ca="1">AVERAGE(OFFSET($CX$3,0,0,'Données projet'!$E$13+1,1))-AVERAGE(OFFSET($H$3,0,0,'Données projet'!$E$13+1,1))</f>
        <v>63.282881814092605</v>
      </c>
      <c r="CZ11" s="62">
        <f t="shared" si="42"/>
        <v>-40.869120230674525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7.3008000000000015</v>
      </c>
      <c r="D12" s="12">
        <f t="shared" si="32"/>
        <v>2.6694770761469542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76.96354234218704</v>
      </c>
      <c r="H12" s="70">
        <f t="shared" si="1"/>
        <v>310.69823257428925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>
        <f>VLOOKUP(A12,'Données projet'!$A$35:$I$55,2,0)</f>
        <v>25</v>
      </c>
      <c r="L12" s="13">
        <f>VLOOKUP(A12,'Données projet'!$A$35:$I$55,9,0)</f>
        <v>6.666666666666667</v>
      </c>
      <c r="M12" s="13">
        <f t="array" ref="M12">INDEX(L:L,MIN(IF(ISNUMBER(L12:L208),ROW(L12:L208),"")))</f>
        <v>6.666666666666667</v>
      </c>
      <c r="N12" s="14">
        <f>IF('Données projet'!$A$36&gt;35,N11+M12-V11,IF(A12&lt;'Données projet'!$A$36,$K$205^A12,IF(A12='Données projet'!$A$36,'Données projet'!$B$36,N11+M12-V11)))</f>
        <v>25.000000000000004</v>
      </c>
      <c r="O12" s="14">
        <f>N12*VLOOKUP('Données projet'!$B$9,Paramètres!$A$1:$I$89,3,0)*VLOOKUP('Données projet'!$B$9,Paramètres!$A$1:$I$89,5,0)</f>
        <v>12.714000000000004</v>
      </c>
      <c r="P12" s="14">
        <f t="shared" si="33"/>
        <v>4.3580862703607997</v>
      </c>
      <c r="Q12" s="22">
        <f t="shared" si="2"/>
        <v>29.733883587545066</v>
      </c>
      <c r="R12" s="62">
        <f t="shared" si="0"/>
        <v>323.06721692087837</v>
      </c>
      <c r="S12" s="62">
        <f ca="1">AVERAGE(OFFSET($R$3,0,0,'Données projet'!$E$9+1,1))-AVERAGE(OFFSET($H$3,0,0,'Données projet'!$E$9+1,1))</f>
        <v>121.64341556501768</v>
      </c>
      <c r="T12" s="62">
        <f t="shared" si="34"/>
        <v>370.21160497429781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>
        <f>VLOOKUP(A12,'Données projet'!$A$61:$I$81,2,0)</f>
        <v>25</v>
      </c>
      <c r="AG12" s="13">
        <f>VLOOKUP(A12,'Données projet'!$A$61:$I$81,9,0)</f>
        <v>6.666666666666667</v>
      </c>
      <c r="AH12" s="13">
        <f t="array" ref="AH12">INDEX(AG:AG,MIN(IF(ISNUMBER(AG12:AG208),ROW(AG12:AG208),"")))</f>
        <v>6.666666666666667</v>
      </c>
      <c r="AI12" s="14">
        <f>IF('Données projet'!$A$62&gt;35,AI11+AH12-AQ11,IF(A12&lt;'Données projet'!$A$62,$AF$205^A12,IF(A12='Données projet'!$A$62,'Données projet'!$B$62,AI11+AH12-AQ11)))</f>
        <v>25.000000000000004</v>
      </c>
      <c r="AJ12" s="14">
        <f>AI12*VLOOKUP('Données projet'!$B$10,Paramètres!$A$1:$I$89,3,0)*VLOOKUP('Données projet'!$B$10,Paramètres!$A$1:$I$89,5,0)</f>
        <v>14.430000000000003</v>
      </c>
      <c r="AK12" s="14">
        <f t="shared" si="35"/>
        <v>4.8739356957462974</v>
      </c>
      <c r="AL12" s="22">
        <f t="shared" si="4"/>
        <v>33.62102133675814</v>
      </c>
      <c r="AM12" s="62">
        <f t="shared" si="5"/>
        <v>326.95435467009145</v>
      </c>
      <c r="AN12" s="62">
        <f ca="1">AVERAGE(OFFSET($AM$3,0,0,'Données projet'!$E$10+1,1))-AVERAGE(OFFSET($H$3,0,0,'Données projet'!$E$10+1,1))</f>
        <v>140.99869591649082</v>
      </c>
      <c r="AO12" s="62">
        <f t="shared" si="36"/>
        <v>425.5885140588652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>
        <f>VLOOKUP(A12,'Données projet'!$A$87:$I$107,2,0)</f>
        <v>25</v>
      </c>
      <c r="BB12" s="13">
        <f>VLOOKUP(A12,'Données projet'!$A$87:$I$107,9,0)</f>
        <v>6.666666666666667</v>
      </c>
      <c r="BC12" s="13">
        <f t="array" ref="BC12">INDEX(BB:BB,MIN(IF(ISNUMBER(BB12:BB208),ROW(BB12:BB208),"")))</f>
        <v>6.666666666666667</v>
      </c>
      <c r="BD12" s="13">
        <f>IF('Données projet'!$A$88&gt;35,BD11+BC12-BL11,IF(A12&lt;'Données projet'!$A$88,$BA$205^A12,IF(A12='Données projet'!$A$88,'Données projet'!$B$88,BD11+BC12-BL11)))</f>
        <v>25.000000000000004</v>
      </c>
      <c r="BE12" s="14">
        <f>BD12*VLOOKUP('Données projet'!$B$11,Paramètres!$A$1:$I$89,3,0)*VLOOKUP('Données projet'!$B$11,Paramètres!$A$1:$I$89,5,0)</f>
        <v>14.430000000000003</v>
      </c>
      <c r="BF12" s="14">
        <f t="shared" si="37"/>
        <v>4.8739356957462974</v>
      </c>
      <c r="BG12" s="22">
        <f t="shared" si="7"/>
        <v>33.62102133675814</v>
      </c>
      <c r="BH12" s="62">
        <f t="shared" si="8"/>
        <v>326.95435467009145</v>
      </c>
      <c r="BI12" s="62">
        <f ca="1">AVERAGE(OFFSET($BH$3,0,0,'Données projet'!$E$11+1,1))-AVERAGE(OFFSET($H$3,0,0,'Données projet'!$E$11+1,1))</f>
        <v>140.99869591649082</v>
      </c>
      <c r="BJ12" s="62">
        <f t="shared" si="38"/>
        <v>425.5885140588652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0.2</v>
      </c>
      <c r="BY12" s="13">
        <f>IF('Données projet'!$A$114&gt;35,BY11+BX12-CG11,IF(A12&lt;'Données projet'!$A$114,$BV$205^A12,IF(A12='Données projet'!$A$114,'Données projet'!$B$114,BY11+BX12-CG11)))</f>
        <v>1.7117698594097051</v>
      </c>
      <c r="BZ12" s="14">
        <f>BY12*VLOOKUP('Données projet'!$B$12,Paramètres!$A$1:$I$89,3,0)*VLOOKUP('Données projet'!$B$12,Paramètres!$A$1:$I$89,5,0)</f>
        <v>1.5488093687939011</v>
      </c>
      <c r="CA12" s="14">
        <f t="shared" si="39"/>
        <v>0.6783194475328107</v>
      </c>
      <c r="CB12" s="22">
        <f t="shared" si="10"/>
        <v>3.8789160217690224</v>
      </c>
      <c r="CC12" s="62">
        <f t="shared" si="11"/>
        <v>297.21224935510236</v>
      </c>
      <c r="CD12" s="62">
        <f ca="1">AVERAGE(OFFSET($CC$3,0,0,'Données projet'!$E$12+1,1))-AVERAGE(OFFSET($H$3,0,0,'Données projet'!$E$12+1,1))</f>
        <v>37.174340347509542</v>
      </c>
      <c r="CE12" s="62">
        <f t="shared" si="40"/>
        <v>-42.822755675927624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0.2</v>
      </c>
      <c r="CT12" s="13">
        <f>IF('Données projet'!$A$140&gt;35,CT11+CS12-DB11,IF(A12&lt;'Données projet'!$A$140,$CQ$205^A12,IF(A12='Données projet'!$A$140,'Données projet'!$B$140,CT11+CS12-DB11)))</f>
        <v>1.7117698594097051</v>
      </c>
      <c r="CU12" s="18">
        <f>CT12*VLOOKUP('Données projet'!$B$13,Paramètres!$A$1:$I$89,3,0)*VLOOKUP('Données projet'!$B$13,Paramètres!$A$1:$I$89,5,0)</f>
        <v>1.7891418570550237</v>
      </c>
      <c r="CV12" s="14">
        <f t="shared" si="41"/>
        <v>0.77052900073751307</v>
      </c>
      <c r="CW12" s="22">
        <f t="shared" si="13"/>
        <v>4.4580934106553345</v>
      </c>
      <c r="CX12" s="62">
        <f t="shared" si="14"/>
        <v>297.79142674398867</v>
      </c>
      <c r="CY12" s="62">
        <f ca="1">AVERAGE(OFFSET($CX$3,0,0,'Données projet'!$E$13+1,1))-AVERAGE(OFFSET($H$3,0,0,'Données projet'!$E$13+1,1))</f>
        <v>63.282881814092605</v>
      </c>
      <c r="CZ12" s="62">
        <f t="shared" si="42"/>
        <v>-40.869120230674525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8.1120000000000019</v>
      </c>
      <c r="D13" s="12">
        <f t="shared" si="32"/>
        <v>2.9299318202987461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85.235964928621911</v>
      </c>
      <c r="H13" s="70">
        <f t="shared" si="1"/>
        <v>312.56469792035364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13</v>
      </c>
      <c r="N13" s="14">
        <f>IF('Données projet'!$A$36&gt;35,N12+M13-V12,IF(A13&lt;'Données projet'!$A$36,$K$205^A13,IF(A13='Données projet'!$A$36,'Données projet'!$B$36,N12+M13-V12)))</f>
        <v>38</v>
      </c>
      <c r="O13" s="14">
        <f>N13*VLOOKUP('Données projet'!$B$9,Paramètres!$A$1:$I$89,3,0)*VLOOKUP('Données projet'!$B$9,Paramètres!$A$1:$I$89,5,0)</f>
        <v>19.325279999999999</v>
      </c>
      <c r="P13" s="14">
        <f t="shared" si="33"/>
        <v>6.3091785388931543</v>
      </c>
      <c r="Q13" s="22">
        <f t="shared" si="2"/>
        <v>44.646681955238904</v>
      </c>
      <c r="R13" s="62">
        <f t="shared" si="0"/>
        <v>337.98001528857219</v>
      </c>
      <c r="S13" s="62">
        <f ca="1">AVERAGE(OFFSET($R$3,0,0,'Données projet'!$E$9+1,1))-AVERAGE(OFFSET($H$3,0,0,'Données projet'!$E$9+1,1))</f>
        <v>121.64341556501768</v>
      </c>
      <c r="T13" s="62">
        <f t="shared" si="34"/>
        <v>370.21160497429781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13</v>
      </c>
      <c r="AI13" s="14">
        <f>IF('Données projet'!$A$62&gt;35,AI12+AH13-AQ12,IF(A13&lt;'Données projet'!$A$62,$AF$205^A13,IF(A13='Données projet'!$A$62,'Données projet'!$B$62,AI12+AH13-AQ12)))</f>
        <v>38</v>
      </c>
      <c r="AJ13" s="14">
        <f>AI13*VLOOKUP('Données projet'!$B$10,Paramètres!$A$1:$I$89,3,0)*VLOOKUP('Données projet'!$B$10,Paramètres!$A$1:$I$89,5,0)</f>
        <v>21.933600000000002</v>
      </c>
      <c r="AK13" s="14">
        <f t="shared" si="35"/>
        <v>7.0559710349657756</v>
      </c>
      <c r="AL13" s="22">
        <f t="shared" si="4"/>
        <v>50.490169552565398</v>
      </c>
      <c r="AM13" s="62">
        <f t="shared" si="5"/>
        <v>343.82350288589873</v>
      </c>
      <c r="AN13" s="62">
        <f ca="1">AVERAGE(OFFSET($AM$3,0,0,'Données projet'!$E$10+1,1))-AVERAGE(OFFSET($H$3,0,0,'Données projet'!$E$10+1,1))</f>
        <v>140.99869591649082</v>
      </c>
      <c r="AO13" s="62">
        <f t="shared" si="36"/>
        <v>425.5885140588652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13</v>
      </c>
      <c r="BD13" s="13">
        <f>IF('Données projet'!$A$88&gt;35,BD12+BC13-BL12,IF(A13&lt;'Données projet'!$A$88,$BA$205^A13,IF(A13='Données projet'!$A$88,'Données projet'!$B$88,BD12+BC13-BL12)))</f>
        <v>38</v>
      </c>
      <c r="BE13" s="14">
        <f>BD13*VLOOKUP('Données projet'!$B$11,Paramètres!$A$1:$I$89,3,0)*VLOOKUP('Données projet'!$B$11,Paramètres!$A$1:$I$89,5,0)</f>
        <v>21.933600000000002</v>
      </c>
      <c r="BF13" s="14">
        <f t="shared" si="37"/>
        <v>7.0559710349657756</v>
      </c>
      <c r="BG13" s="22">
        <f t="shared" si="7"/>
        <v>50.490169552565398</v>
      </c>
      <c r="BH13" s="62">
        <f t="shared" si="8"/>
        <v>343.82350288589873</v>
      </c>
      <c r="BI13" s="62">
        <f ca="1">AVERAGE(OFFSET($BH$3,0,0,'Données projet'!$E$11+1,1))-AVERAGE(OFFSET($H$3,0,0,'Données projet'!$E$11+1,1))</f>
        <v>140.99869591649082</v>
      </c>
      <c r="BJ13" s="62">
        <f t="shared" si="38"/>
        <v>425.5885140588652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0.2</v>
      </c>
      <c r="BY13" s="13">
        <f>IF('Données projet'!$A$114&gt;35,BY12+BX13-CG12,IF(A13&lt;'Données projet'!$A$114,$BV$205^A13,IF(A13='Données projet'!$A$114,'Données projet'!$B$114,BY12+BX13-CG12)))</f>
        <v>1.8171205928321399</v>
      </c>
      <c r="BZ13" s="14">
        <f>BY13*VLOOKUP('Données projet'!$B$12,Paramètres!$A$1:$I$89,3,0)*VLOOKUP('Données projet'!$B$12,Paramètres!$A$1:$I$89,5,0)</f>
        <v>1.6441307123945201</v>
      </c>
      <c r="CA13" s="14">
        <f t="shared" si="39"/>
        <v>0.71507799984173481</v>
      </c>
      <c r="CB13" s="22">
        <f t="shared" si="10"/>
        <v>4.1089551738114771</v>
      </c>
      <c r="CC13" s="62">
        <f t="shared" si="11"/>
        <v>297.44228850714478</v>
      </c>
      <c r="CD13" s="62">
        <f ca="1">AVERAGE(OFFSET($CC$3,0,0,'Données projet'!$E$12+1,1))-AVERAGE(OFFSET($H$3,0,0,'Données projet'!$E$12+1,1))</f>
        <v>37.174340347509542</v>
      </c>
      <c r="CE13" s="62">
        <f t="shared" si="40"/>
        <v>-42.822755675927624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0.2</v>
      </c>
      <c r="CT13" s="13">
        <f>IF('Données projet'!$A$140&gt;35,CT12+CS13-DB12,IF(A13&lt;'Données projet'!$A$140,$CQ$205^A13,IF(A13='Données projet'!$A$140,'Données projet'!$B$140,CT12+CS13-DB12)))</f>
        <v>1.8171205928321399</v>
      </c>
      <c r="CU13" s="18">
        <f>CT13*VLOOKUP('Données projet'!$B$13,Paramètres!$A$1:$I$89,3,0)*VLOOKUP('Données projet'!$B$13,Paramètres!$A$1:$I$89,5,0)</f>
        <v>1.8992544436281529</v>
      </c>
      <c r="CV13" s="14">
        <f t="shared" si="41"/>
        <v>0.81228444602538086</v>
      </c>
      <c r="CW13" s="22">
        <f t="shared" si="13"/>
        <v>4.7225968994799041</v>
      </c>
      <c r="CX13" s="62">
        <f t="shared" si="14"/>
        <v>298.05593023281324</v>
      </c>
      <c r="CY13" s="62">
        <f ca="1">AVERAGE(OFFSET($CX$3,0,0,'Données projet'!$E$13+1,1))-AVERAGE(OFFSET($H$3,0,0,'Données projet'!$E$13+1,1))</f>
        <v>63.282881814092605</v>
      </c>
      <c r="CZ13" s="62">
        <f t="shared" si="42"/>
        <v>-40.869120230674525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8.9232000000000014</v>
      </c>
      <c r="D14" s="12">
        <f t="shared" si="32"/>
        <v>3.187367140202428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93.485079678755596</v>
      </c>
      <c r="H14" s="70">
        <f t="shared" si="1"/>
        <v>314.42590443585254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13</v>
      </c>
      <c r="N14" s="14">
        <f>IF('Données projet'!$A$36&gt;35,N13+M14-V13,IF(A14&lt;'Données projet'!$A$36,$K$205^A14,IF(A14='Données projet'!$A$36,'Données projet'!$B$36,N13+M14-V13)))</f>
        <v>51</v>
      </c>
      <c r="O14" s="14">
        <f>N14*VLOOKUP('Données projet'!$B$9,Paramètres!$A$1:$I$89,3,0)*VLOOKUP('Données projet'!$B$9,Paramètres!$A$1:$I$89,5,0)</f>
        <v>25.936560000000004</v>
      </c>
      <c r="P14" s="14">
        <f t="shared" si="33"/>
        <v>8.1824816304360635</v>
      </c>
      <c r="Q14" s="22">
        <f t="shared" si="2"/>
        <v>59.423997506342801</v>
      </c>
      <c r="R14" s="62">
        <f t="shared" si="0"/>
        <v>352.75733083967611</v>
      </c>
      <c r="S14" s="62">
        <f ca="1">AVERAGE(OFFSET($R$3,0,0,'Données projet'!$E$9+1,1))-AVERAGE(OFFSET($H$3,0,0,'Données projet'!$E$9+1,1))</f>
        <v>121.64341556501768</v>
      </c>
      <c r="T14" s="62">
        <f t="shared" si="34"/>
        <v>370.21160497429781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13</v>
      </c>
      <c r="AI14" s="14">
        <f>IF('Données projet'!$A$62&gt;35,AI13+AH14-AQ13,IF(A14&lt;'Données projet'!$A$62,$AF$205^A14,IF(A14='Données projet'!$A$62,'Données projet'!$B$62,AI13+AH14-AQ13)))</f>
        <v>51</v>
      </c>
      <c r="AJ14" s="14">
        <f>AI14*VLOOKUP('Données projet'!$B$10,Paramètres!$A$1:$I$89,3,0)*VLOOKUP('Données projet'!$B$10,Paramètres!$A$1:$I$89,5,0)</f>
        <v>29.437200000000004</v>
      </c>
      <c r="AK14" s="14">
        <f t="shared" si="35"/>
        <v>9.1510096001539196</v>
      </c>
      <c r="AL14" s="22">
        <f t="shared" si="4"/>
        <v>67.207798386934755</v>
      </c>
      <c r="AM14" s="62">
        <f t="shared" si="5"/>
        <v>360.54113172026808</v>
      </c>
      <c r="AN14" s="62">
        <f ca="1">AVERAGE(OFFSET($AM$3,0,0,'Données projet'!$E$10+1,1))-AVERAGE(OFFSET($H$3,0,0,'Données projet'!$E$10+1,1))</f>
        <v>140.99869591649082</v>
      </c>
      <c r="AO14" s="62">
        <f t="shared" si="36"/>
        <v>425.5885140588652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13</v>
      </c>
      <c r="BD14" s="13">
        <f>IF('Données projet'!$A$88&gt;35,BD13+BC14-BL13,IF(A14&lt;'Données projet'!$A$88,$BA$205^A14,IF(A14='Données projet'!$A$88,'Données projet'!$B$88,BD13+BC14-BL13)))</f>
        <v>51</v>
      </c>
      <c r="BE14" s="14">
        <f>BD14*VLOOKUP('Données projet'!$B$11,Paramètres!$A$1:$I$89,3,0)*VLOOKUP('Données projet'!$B$11,Paramètres!$A$1:$I$89,5,0)</f>
        <v>29.437200000000004</v>
      </c>
      <c r="BF14" s="14">
        <f t="shared" si="37"/>
        <v>9.1510096001539196</v>
      </c>
      <c r="BG14" s="22">
        <f t="shared" si="7"/>
        <v>67.207798386934755</v>
      </c>
      <c r="BH14" s="62">
        <f t="shared" si="8"/>
        <v>360.54113172026808</v>
      </c>
      <c r="BI14" s="62">
        <f ca="1">AVERAGE(OFFSET($BH$3,0,0,'Données projet'!$E$11+1,1))-AVERAGE(OFFSET($H$3,0,0,'Données projet'!$E$11+1,1))</f>
        <v>140.99869591649082</v>
      </c>
      <c r="BJ14" s="62">
        <f t="shared" si="38"/>
        <v>425.5885140588652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0.2</v>
      </c>
      <c r="BY14" s="13">
        <f>IF('Données projet'!$A$114&gt;35,BY13+BX14-CG13,IF(A14&lt;'Données projet'!$A$114,$BV$205^A14,IF(A14='Données projet'!$A$114,'Données projet'!$B$114,BY13+BX14-CG13)))</f>
        <v>1.9289551283682955</v>
      </c>
      <c r="BZ14" s="14">
        <f>BY14*VLOOKUP('Données projet'!$B$12,Paramètres!$A$1:$I$89,3,0)*VLOOKUP('Données projet'!$B$12,Paramètres!$A$1:$I$89,5,0)</f>
        <v>1.7453186001476337</v>
      </c>
      <c r="CA14" s="14">
        <f t="shared" si="39"/>
        <v>0.75382852093876074</v>
      </c>
      <c r="CB14" s="22">
        <f t="shared" si="10"/>
        <v>4.3526812358921365</v>
      </c>
      <c r="CC14" s="62">
        <f t="shared" si="11"/>
        <v>297.68601456922545</v>
      </c>
      <c r="CD14" s="62">
        <f ca="1">AVERAGE(OFFSET($CC$3,0,0,'Données projet'!$E$12+1,1))-AVERAGE(OFFSET($H$3,0,0,'Données projet'!$E$12+1,1))</f>
        <v>37.174340347509542</v>
      </c>
      <c r="CE14" s="62">
        <f t="shared" si="40"/>
        <v>-42.822755675927624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0.2</v>
      </c>
      <c r="CT14" s="13">
        <f>IF('Données projet'!$A$140&gt;35,CT13+CS14-DB13,IF(A14&lt;'Données projet'!$A$140,$CQ$205^A14,IF(A14='Données projet'!$A$140,'Données projet'!$B$140,CT13+CS14-DB13)))</f>
        <v>1.9289551283682955</v>
      </c>
      <c r="CU14" s="18">
        <f>CT14*VLOOKUP('Données projet'!$B$13,Paramètres!$A$1:$I$89,3,0)*VLOOKUP('Données projet'!$B$13,Paramètres!$A$1:$I$89,5,0)</f>
        <v>2.016143900170543</v>
      </c>
      <c r="CV14" s="14">
        <f t="shared" si="41"/>
        <v>0.85630264483650242</v>
      </c>
      <c r="CW14" s="22">
        <f t="shared" si="13"/>
        <v>5.0028443992206038</v>
      </c>
      <c r="CX14" s="62">
        <f t="shared" si="14"/>
        <v>298.33617773255389</v>
      </c>
      <c r="CY14" s="62">
        <f ca="1">AVERAGE(OFFSET($CX$3,0,0,'Données projet'!$E$13+1,1))-AVERAGE(OFFSET($H$3,0,0,'Données projet'!$E$13+1,1))</f>
        <v>63.282881814092605</v>
      </c>
      <c r="CZ14" s="62">
        <f t="shared" si="42"/>
        <v>-40.869120230674525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9.7344000000000008</v>
      </c>
      <c r="D15" s="12">
        <f t="shared" si="32"/>
        <v>3.442088746331315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101.7132464629084</v>
      </c>
      <c r="H15" s="70">
        <f t="shared" si="1"/>
        <v>316.28238456652701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64</v>
      </c>
      <c r="L15" s="13">
        <f>VLOOKUP(A15,'Données projet'!$A$35:$I$55,9,0)</f>
        <v>13</v>
      </c>
      <c r="M15" s="13">
        <f t="array" ref="M15">INDEX(L:L,MIN(IF(ISNUMBER(L15:L211),ROW(L15:L211),"")))</f>
        <v>13</v>
      </c>
      <c r="N15" s="14">
        <f>IF('Données projet'!$A$36&gt;35,N14+M15-V14,IF(A15&lt;'Données projet'!$A$36,$K$205^A15,IF(A15='Données projet'!$A$36,'Données projet'!$B$36,N14+M15-V14)))</f>
        <v>64</v>
      </c>
      <c r="O15" s="14">
        <f>N15*VLOOKUP('Données projet'!$B$9,Paramètres!$A$1:$I$89,3,0)*VLOOKUP('Données projet'!$B$9,Paramètres!$A$1:$I$89,5,0)</f>
        <v>32.547840000000001</v>
      </c>
      <c r="P15" s="14">
        <f t="shared" si="33"/>
        <v>10.000383535316583</v>
      </c>
      <c r="Q15" s="22">
        <f t="shared" si="2"/>
        <v>74.104822657343036</v>
      </c>
      <c r="R15" s="62">
        <f t="shared" si="0"/>
        <v>367.43815599067636</v>
      </c>
      <c r="S15" s="62">
        <f ca="1">AVERAGE(OFFSET($R$3,0,0,'Données projet'!$E$9+1,1))-AVERAGE(OFFSET($H$3,0,0,'Données projet'!$E$9+1,1))</f>
        <v>121.64341556501768</v>
      </c>
      <c r="T15" s="62">
        <f t="shared" si="34"/>
        <v>370.21160497429781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64</v>
      </c>
      <c r="AG15" s="13">
        <f>VLOOKUP(A15,'Données projet'!$A$61:$I$81,9,0)</f>
        <v>13</v>
      </c>
      <c r="AH15" s="13">
        <f t="array" ref="AH15">INDEX(AG:AG,MIN(IF(ISNUMBER(AG15:AG211),ROW(AG15:AG211),"")))</f>
        <v>13</v>
      </c>
      <c r="AI15" s="14">
        <f>IF('Données projet'!$A$62&gt;35,AI14+AH15-AQ14,IF(A15&lt;'Données projet'!$A$62,$AF$205^A15,IF(A15='Données projet'!$A$62,'Données projet'!$B$62,AI14+AH15-AQ14)))</f>
        <v>64</v>
      </c>
      <c r="AJ15" s="14">
        <f>AI15*VLOOKUP('Données projet'!$B$10,Paramètres!$A$1:$I$89,3,0)*VLOOKUP('Données projet'!$B$10,Paramètres!$A$1:$I$89,5,0)</f>
        <v>36.940800000000003</v>
      </c>
      <c r="AK15" s="14">
        <f t="shared" si="35"/>
        <v>11.184089359455896</v>
      </c>
      <c r="AL15" s="22">
        <f t="shared" si="4"/>
        <v>83.817515634385686</v>
      </c>
      <c r="AM15" s="62">
        <f t="shared" si="5"/>
        <v>377.15084896771901</v>
      </c>
      <c r="AN15" s="62">
        <f ca="1">AVERAGE(OFFSET($AM$3,0,0,'Données projet'!$E$10+1,1))-AVERAGE(OFFSET($H$3,0,0,'Données projet'!$E$10+1,1))</f>
        <v>140.99869591649082</v>
      </c>
      <c r="AO15" s="62">
        <f t="shared" si="36"/>
        <v>425.5885140588652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>
        <f>VLOOKUP(A15,'Données projet'!$A$87:$I$107,2,0)</f>
        <v>64</v>
      </c>
      <c r="BB15" s="13">
        <f>VLOOKUP(A15,'Données projet'!$A$87:$I$107,9,0)</f>
        <v>13</v>
      </c>
      <c r="BC15" s="13">
        <f t="array" ref="BC15">INDEX(BB:BB,MIN(IF(ISNUMBER(BB15:BB211),ROW(BB15:BB211),"")))</f>
        <v>13</v>
      </c>
      <c r="BD15" s="13">
        <f>IF('Données projet'!$A$88&gt;35,BD14+BC15-BL14,IF(A15&lt;'Données projet'!$A$88,$BA$205^A15,IF(A15='Données projet'!$A$88,'Données projet'!$B$88,BD14+BC15-BL14)))</f>
        <v>64</v>
      </c>
      <c r="BE15" s="14">
        <f>BD15*VLOOKUP('Données projet'!$B$11,Paramètres!$A$1:$I$89,3,0)*VLOOKUP('Données projet'!$B$11,Paramètres!$A$1:$I$89,5,0)</f>
        <v>36.940800000000003</v>
      </c>
      <c r="BF15" s="14">
        <f t="shared" si="37"/>
        <v>11.184089359455896</v>
      </c>
      <c r="BG15" s="22">
        <f t="shared" si="7"/>
        <v>83.817515634385686</v>
      </c>
      <c r="BH15" s="62">
        <f t="shared" si="8"/>
        <v>377.15084896771901</v>
      </c>
      <c r="BI15" s="62">
        <f ca="1">AVERAGE(OFFSET($BH$3,0,0,'Données projet'!$E$11+1,1))-AVERAGE(OFFSET($H$3,0,0,'Données projet'!$E$11+1,1))</f>
        <v>140.99869591649082</v>
      </c>
      <c r="BJ15" s="62">
        <f t="shared" si="38"/>
        <v>425.5885140588652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0.2</v>
      </c>
      <c r="BY15" s="13">
        <f>IF('Données projet'!$A$114&gt;35,BY14+BX15-CG14,IF(A15&lt;'Données projet'!$A$114,$BV$205^A15,IF(A15='Données projet'!$A$114,'Données projet'!$B$114,BY14+BX15-CG14)))</f>
        <v>2.0476725110792193</v>
      </c>
      <c r="BZ15" s="14">
        <f>BY15*VLOOKUP('Données projet'!$B$12,Paramètres!$A$1:$I$89,3,0)*VLOOKUP('Données projet'!$B$12,Paramètres!$A$1:$I$89,5,0)</f>
        <v>1.8527340880244776</v>
      </c>
      <c r="CA15" s="14">
        <f t="shared" si="39"/>
        <v>0.79467895685014733</v>
      </c>
      <c r="CB15" s="22">
        <f t="shared" si="10"/>
        <v>4.6109110531566389</v>
      </c>
      <c r="CC15" s="62">
        <f t="shared" si="11"/>
        <v>297.94424438648997</v>
      </c>
      <c r="CD15" s="62">
        <f ca="1">AVERAGE(OFFSET($CC$3,0,0,'Données projet'!$E$12+1,1))-AVERAGE(OFFSET($H$3,0,0,'Données projet'!$E$12+1,1))</f>
        <v>37.174340347509542</v>
      </c>
      <c r="CE15" s="62">
        <f t="shared" si="40"/>
        <v>-42.822755675927624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0.2</v>
      </c>
      <c r="CT15" s="13">
        <f>IF('Données projet'!$A$140&gt;35,CT14+CS15-DB14,IF(A15&lt;'Données projet'!$A$140,$CQ$205^A15,IF(A15='Données projet'!$A$140,'Données projet'!$B$140,CT14+CS15-DB14)))</f>
        <v>2.0476725110792193</v>
      </c>
      <c r="CU15" s="18">
        <f>CT15*VLOOKUP('Données projet'!$B$13,Paramètres!$A$1:$I$89,3,0)*VLOOKUP('Données projet'!$B$13,Paramètres!$A$1:$I$89,5,0)</f>
        <v>2.1402273085800001</v>
      </c>
      <c r="CV15" s="14">
        <f t="shared" si="41"/>
        <v>0.90270621719017563</v>
      </c>
      <c r="CW15" s="22">
        <f t="shared" si="13"/>
        <v>5.299775890716389</v>
      </c>
      <c r="CX15" s="62">
        <f t="shared" si="14"/>
        <v>298.63310922404969</v>
      </c>
      <c r="CY15" s="62">
        <f ca="1">AVERAGE(OFFSET($CX$3,0,0,'Données projet'!$E$13+1,1))-AVERAGE(OFFSET($H$3,0,0,'Données projet'!$E$13+1,1))</f>
        <v>63.282881814092605</v>
      </c>
      <c r="CZ15" s="62">
        <f t="shared" si="42"/>
        <v>-40.869120230674525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10.5456</v>
      </c>
      <c r="D16" s="12">
        <f t="shared" si="32"/>
        <v>3.6943484919296665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109.92240941138691</v>
      </c>
      <c r="H16" s="70">
        <f t="shared" si="1"/>
        <v>318.13457695677749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18.333333333333332</v>
      </c>
      <c r="N16" s="14">
        <f>IF('Données projet'!$A$36&gt;35,N15+M16-V15,IF(A16&lt;'Données projet'!$A$36,$K$205^A16,IF(A16='Données projet'!$A$36,'Données projet'!$B$36,N15+M16-V15)))</f>
        <v>82.333333333333329</v>
      </c>
      <c r="O16" s="14">
        <f>N16*VLOOKUP('Données projet'!$B$9,Paramètres!$A$1:$I$89,3,0)*VLOOKUP('Données projet'!$B$9,Paramètres!$A$1:$I$89,5,0)</f>
        <v>41.87144</v>
      </c>
      <c r="P16" s="14">
        <f t="shared" si="33"/>
        <v>12.493344584944932</v>
      </c>
      <c r="Q16" s="22">
        <f t="shared" si="2"/>
        <v>94.68533315211242</v>
      </c>
      <c r="R16" s="62">
        <f t="shared" si="0"/>
        <v>388.01866648544575</v>
      </c>
      <c r="S16" s="62">
        <f ca="1">AVERAGE(OFFSET($R$3,0,0,'Données projet'!$E$9+1,1))-AVERAGE(OFFSET($H$3,0,0,'Données projet'!$E$9+1,1))</f>
        <v>121.64341556501768</v>
      </c>
      <c r="T16" s="62">
        <f t="shared" si="34"/>
        <v>370.21160497429781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18.333333333333332</v>
      </c>
      <c r="AI16" s="14">
        <f>IF('Données projet'!$A$62&gt;35,AI15+AH16-AQ15,IF(A16&lt;'Données projet'!$A$62,$AF$205^A16,IF(A16='Données projet'!$A$62,'Données projet'!$B$62,AI15+AH16-AQ15)))</f>
        <v>82.333333333333329</v>
      </c>
      <c r="AJ16" s="14">
        <f>AI16*VLOOKUP('Données projet'!$B$10,Paramètres!$A$1:$I$89,3,0)*VLOOKUP('Données projet'!$B$10,Paramètres!$A$1:$I$89,5,0)</f>
        <v>47.522799999999997</v>
      </c>
      <c r="AK16" s="14">
        <f t="shared" si="35"/>
        <v>13.972132343029701</v>
      </c>
      <c r="AL16" s="22">
        <f t="shared" si="4"/>
        <v>107.10367383077671</v>
      </c>
      <c r="AM16" s="62">
        <f t="shared" si="5"/>
        <v>400.43700716411001</v>
      </c>
      <c r="AN16" s="62">
        <f ca="1">AVERAGE(OFFSET($AM$3,0,0,'Données projet'!$E$10+1,1))-AVERAGE(OFFSET($H$3,0,0,'Données projet'!$E$10+1,1))</f>
        <v>140.99869591649082</v>
      </c>
      <c r="AO16" s="62">
        <f t="shared" si="36"/>
        <v>425.5885140588652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18.333333333333332</v>
      </c>
      <c r="BD16" s="13">
        <f>IF('Données projet'!$A$88&gt;35,BD15+BC16-BL15,IF(A16&lt;'Données projet'!$A$88,$BA$205^A16,IF(A16='Données projet'!$A$88,'Données projet'!$B$88,BD15+BC16-BL15)))</f>
        <v>82.333333333333329</v>
      </c>
      <c r="BE16" s="14">
        <f>BD16*VLOOKUP('Données projet'!$B$11,Paramètres!$A$1:$I$89,3,0)*VLOOKUP('Données projet'!$B$11,Paramètres!$A$1:$I$89,5,0)</f>
        <v>47.522799999999997</v>
      </c>
      <c r="BF16" s="14">
        <f t="shared" si="37"/>
        <v>13.972132343029701</v>
      </c>
      <c r="BG16" s="22">
        <f t="shared" si="7"/>
        <v>107.10367383077671</v>
      </c>
      <c r="BH16" s="62">
        <f t="shared" si="8"/>
        <v>400.43700716411001</v>
      </c>
      <c r="BI16" s="62">
        <f ca="1">AVERAGE(OFFSET($BH$3,0,0,'Données projet'!$E$11+1,1))-AVERAGE(OFFSET($H$3,0,0,'Données projet'!$E$11+1,1))</f>
        <v>140.99869591649082</v>
      </c>
      <c r="BJ16" s="62">
        <f t="shared" si="38"/>
        <v>425.5885140588652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0.2</v>
      </c>
      <c r="BY16" s="13">
        <f>IF('Données projet'!$A$114&gt;35,BY15+BX16-CG15,IF(A16&lt;'Données projet'!$A$114,$BV$205^A16,IF(A16='Données projet'!$A$114,'Données projet'!$B$114,BY15+BX16-CG15)))</f>
        <v>2.1736963452210039</v>
      </c>
      <c r="BZ16" s="14">
        <f>BY16*VLOOKUP('Données projet'!$B$12,Paramètres!$A$1:$I$89,3,0)*VLOOKUP('Données projet'!$B$12,Paramètres!$A$1:$I$89,5,0)</f>
        <v>1.9667604531559642</v>
      </c>
      <c r="CA16" s="14">
        <f t="shared" si="39"/>
        <v>0.83774310326438439</v>
      </c>
      <c r="CB16" s="22">
        <f t="shared" si="10"/>
        <v>4.8845103607654403</v>
      </c>
      <c r="CC16" s="62">
        <f t="shared" si="11"/>
        <v>298.21784369409875</v>
      </c>
      <c r="CD16" s="62">
        <f ca="1">AVERAGE(OFFSET($CC$3,0,0,'Données projet'!$E$12+1,1))-AVERAGE(OFFSET($H$3,0,0,'Données projet'!$E$12+1,1))</f>
        <v>37.174340347509542</v>
      </c>
      <c r="CE16" s="62">
        <f t="shared" si="40"/>
        <v>-42.822755675927624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0.2</v>
      </c>
      <c r="CT16" s="13">
        <f>IF('Données projet'!$A$140&gt;35,CT15+CS16-DB15,IF(A16&lt;'Données projet'!$A$140,$CQ$205^A16,IF(A16='Données projet'!$A$140,'Données projet'!$B$140,CT15+CS16-DB15)))</f>
        <v>2.1736963452210039</v>
      </c>
      <c r="CU16" s="18">
        <f>CT16*VLOOKUP('Données projet'!$B$13,Paramètres!$A$1:$I$89,3,0)*VLOOKUP('Données projet'!$B$13,Paramètres!$A$1:$I$89,5,0)</f>
        <v>2.2719474200249934</v>
      </c>
      <c r="CV16" s="14">
        <f t="shared" si="41"/>
        <v>0.95162442796072999</v>
      </c>
      <c r="CW16" s="22">
        <f t="shared" si="13"/>
        <v>5.6143876352418012</v>
      </c>
      <c r="CX16" s="62">
        <f t="shared" si="14"/>
        <v>298.94772096857514</v>
      </c>
      <c r="CY16" s="62">
        <f ca="1">AVERAGE(OFFSET($CX$3,0,0,'Données projet'!$E$13+1,1))-AVERAGE(OFFSET($H$3,0,0,'Données projet'!$E$13+1,1))</f>
        <v>63.282881814092605</v>
      </c>
      <c r="CZ16" s="62">
        <f t="shared" si="42"/>
        <v>-40.869120230674525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11.3568</v>
      </c>
      <c r="D17" s="12">
        <f t="shared" si="32"/>
        <v>3.9443572825295607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118.11419656689486</v>
      </c>
      <c r="H17" s="70">
        <f t="shared" si="1"/>
        <v>319.98284893373898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18.333333333333332</v>
      </c>
      <c r="N17" s="14">
        <f>IF('Données projet'!$A$36&gt;35,N16+M17-V16,IF(A17&lt;'Données projet'!$A$36,$K$205^A17,IF(A17='Données projet'!$A$36,'Données projet'!$B$36,N16+M17-V16)))</f>
        <v>100.66666666666666</v>
      </c>
      <c r="O17" s="14">
        <f>N17*VLOOKUP('Données projet'!$B$9,Paramètres!$A$1:$I$89,3,0)*VLOOKUP('Données projet'!$B$9,Paramètres!$A$1:$I$89,5,0)</f>
        <v>51.195039999999999</v>
      </c>
      <c r="P17" s="14">
        <f t="shared" si="33"/>
        <v>14.921958420943362</v>
      </c>
      <c r="Q17" s="22">
        <f t="shared" si="2"/>
        <v>115.15377224980968</v>
      </c>
      <c r="R17" s="62">
        <f t="shared" si="0"/>
        <v>408.48710558314298</v>
      </c>
      <c r="S17" s="62">
        <f ca="1">AVERAGE(OFFSET($R$3,0,0,'Données projet'!$E$9+1,1))-AVERAGE(OFFSET($H$3,0,0,'Données projet'!$E$9+1,1))</f>
        <v>121.64341556501768</v>
      </c>
      <c r="T17" s="62">
        <f t="shared" si="34"/>
        <v>370.21160497429781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18.333333333333332</v>
      </c>
      <c r="AI17" s="14">
        <f>IF('Données projet'!$A$62&gt;35,AI16+AH17-AQ16,IF(A17&lt;'Données projet'!$A$62,$AF$205^A17,IF(A17='Données projet'!$A$62,'Données projet'!$B$62,AI16+AH17-AQ16)))</f>
        <v>100.66666666666666</v>
      </c>
      <c r="AJ17" s="14">
        <f>AI17*VLOOKUP('Données projet'!$B$10,Paramètres!$A$1:$I$89,3,0)*VLOOKUP('Données projet'!$B$10,Paramètres!$A$1:$I$89,5,0)</f>
        <v>58.104799999999997</v>
      </c>
      <c r="AK17" s="14">
        <f t="shared" si="35"/>
        <v>16.688211587940135</v>
      </c>
      <c r="AL17" s="22">
        <f t="shared" si="4"/>
        <v>130.26449518232906</v>
      </c>
      <c r="AM17" s="62">
        <f t="shared" si="5"/>
        <v>423.5978285156624</v>
      </c>
      <c r="AN17" s="62">
        <f ca="1">AVERAGE(OFFSET($AM$3,0,0,'Données projet'!$E$10+1,1))-AVERAGE(OFFSET($H$3,0,0,'Données projet'!$E$10+1,1))</f>
        <v>140.99869591649082</v>
      </c>
      <c r="AO17" s="62">
        <f t="shared" si="36"/>
        <v>425.5885140588652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18.333333333333332</v>
      </c>
      <c r="BD17" s="13">
        <f>IF('Données projet'!$A$88&gt;35,BD16+BC17-BL16,IF(A17&lt;'Données projet'!$A$88,$BA$205^A17,IF(A17='Données projet'!$A$88,'Données projet'!$B$88,BD16+BC17-BL16)))</f>
        <v>100.66666666666666</v>
      </c>
      <c r="BE17" s="14">
        <f>BD17*VLOOKUP('Données projet'!$B$11,Paramètres!$A$1:$I$89,3,0)*VLOOKUP('Données projet'!$B$11,Paramètres!$A$1:$I$89,5,0)</f>
        <v>58.104799999999997</v>
      </c>
      <c r="BF17" s="14">
        <f t="shared" si="37"/>
        <v>16.688211587940135</v>
      </c>
      <c r="BG17" s="22">
        <f t="shared" si="7"/>
        <v>130.26449518232906</v>
      </c>
      <c r="BH17" s="62">
        <f t="shared" si="8"/>
        <v>423.5978285156624</v>
      </c>
      <c r="BI17" s="62">
        <f ca="1">AVERAGE(OFFSET($BH$3,0,0,'Données projet'!$E$11+1,1))-AVERAGE(OFFSET($H$3,0,0,'Données projet'!$E$11+1,1))</f>
        <v>140.99869591649082</v>
      </c>
      <c r="BJ17" s="62">
        <f t="shared" si="38"/>
        <v>425.5885140588652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0.2</v>
      </c>
      <c r="BY17" s="13">
        <f>IF('Données projet'!$A$114&gt;35,BY16+BX17-CG16,IF(A17&lt;'Données projet'!$A$114,$BV$205^A17,IF(A17='Données projet'!$A$114,'Données projet'!$B$114,BY16+BX17-CG16)))</f>
        <v>2.3074763057383993</v>
      </c>
      <c r="BZ17" s="14">
        <f>BY17*VLOOKUP('Données projet'!$B$12,Paramètres!$A$1:$I$89,3,0)*VLOOKUP('Données projet'!$B$12,Paramètres!$A$1:$I$89,5,0)</f>
        <v>2.0878045614321037</v>
      </c>
      <c r="CA17" s="14">
        <f t="shared" si="39"/>
        <v>0.88314092252902321</v>
      </c>
      <c r="CB17" s="22">
        <f t="shared" si="10"/>
        <v>5.1743967178989623</v>
      </c>
      <c r="CC17" s="62">
        <f t="shared" si="11"/>
        <v>298.50773005123227</v>
      </c>
      <c r="CD17" s="62">
        <f ca="1">AVERAGE(OFFSET($CC$3,0,0,'Données projet'!$E$12+1,1))-AVERAGE(OFFSET($H$3,0,0,'Données projet'!$E$12+1,1))</f>
        <v>37.174340347509542</v>
      </c>
      <c r="CE17" s="62">
        <f t="shared" si="40"/>
        <v>-42.822755675927624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0.2</v>
      </c>
      <c r="CT17" s="13">
        <f>IF('Données projet'!$A$140&gt;35,CT16+CS17-DB16,IF(A17&lt;'Données projet'!$A$140,$CQ$205^A17,IF(A17='Données projet'!$A$140,'Données projet'!$B$140,CT16+CS17-DB16)))</f>
        <v>2.3074763057383993</v>
      </c>
      <c r="CU17" s="18">
        <f>CT17*VLOOKUP('Données projet'!$B$13,Paramètres!$A$1:$I$89,3,0)*VLOOKUP('Données projet'!$B$13,Paramètres!$A$1:$I$89,5,0)</f>
        <v>2.4117742347577753</v>
      </c>
      <c r="CV17" s="14">
        <f t="shared" si="41"/>
        <v>1.0031935469663478</v>
      </c>
      <c r="CW17" s="22">
        <f t="shared" si="13"/>
        <v>5.9477355531695144</v>
      </c>
      <c r="CX17" s="62">
        <f t="shared" si="14"/>
        <v>299.28106888650285</v>
      </c>
      <c r="CY17" s="62">
        <f ca="1">AVERAGE(OFFSET($CX$3,0,0,'Données projet'!$E$13+1,1))-AVERAGE(OFFSET($H$3,0,0,'Données projet'!$E$13+1,1))</f>
        <v>63.282881814092605</v>
      </c>
      <c r="CZ17" s="62">
        <f t="shared" si="42"/>
        <v>-40.869120230674525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18" s="12">
        <f t="shared" si="32"/>
        <v>4.1922941870296242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126.28999021566726</v>
      </c>
      <c r="H18" s="70">
        <f t="shared" si="1"/>
        <v>321.82751237574325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119</v>
      </c>
      <c r="L18" s="13">
        <f>VLOOKUP(A18,'Données projet'!$A$35:$I$55,9,0)</f>
        <v>18.333333333333332</v>
      </c>
      <c r="M18" s="13">
        <f t="array" ref="M18">INDEX(L:L,MIN(IF(ISNUMBER(L18:L214),ROW(L18:L214),"")))</f>
        <v>18.333333333333332</v>
      </c>
      <c r="N18" s="14">
        <f>IF('Données projet'!$A$36&gt;35,N17+M18-V17,IF(A18&lt;'Données projet'!$A$36,$K$205^A18,IF(A18='Données projet'!$A$36,'Données projet'!$B$36,N17+M18-V17)))</f>
        <v>118.99999999999999</v>
      </c>
      <c r="O18" s="14">
        <f>N18*VLOOKUP('Données projet'!$B$9,Paramètres!$A$1:$I$89,3,0)*VLOOKUP('Données projet'!$B$9,Paramètres!$A$1:$I$89,5,0)</f>
        <v>60.518639999999998</v>
      </c>
      <c r="P18" s="14">
        <f t="shared" si="33"/>
        <v>17.299331719845753</v>
      </c>
      <c r="Q18" s="22">
        <f t="shared" si="2"/>
        <v>135.53296741206469</v>
      </c>
      <c r="R18" s="62">
        <f t="shared" si="0"/>
        <v>428.86630074539801</v>
      </c>
      <c r="S18" s="62">
        <f ca="1">AVERAGE(OFFSET($R$3,0,0,'Données projet'!$E$9+1,1))-AVERAGE(OFFSET($H$3,0,0,'Données projet'!$E$9+1,1))</f>
        <v>121.64341556501768</v>
      </c>
      <c r="T18" s="62">
        <f t="shared" si="34"/>
        <v>370.21160497429781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119</v>
      </c>
      <c r="AG18" s="13">
        <f>VLOOKUP(A18,'Données projet'!$A$61:$I$81,9,0)</f>
        <v>18.333333333333332</v>
      </c>
      <c r="AH18" s="13">
        <f t="array" ref="AH18">INDEX(AG:AG,MIN(IF(ISNUMBER(AG18:AG214),ROW(AG18:AG214),"")))</f>
        <v>18.333333333333332</v>
      </c>
      <c r="AI18" s="14">
        <f>IF('Données projet'!$A$62&gt;35,AI17+AH18-AQ17,IF(A18&lt;'Données projet'!$A$62,$AF$205^A18,IF(A18='Données projet'!$A$62,'Données projet'!$B$62,AI17+AH18-AQ17)))</f>
        <v>118.99999999999999</v>
      </c>
      <c r="AJ18" s="14">
        <f>AI18*VLOOKUP('Données projet'!$B$10,Paramètres!$A$1:$I$89,3,0)*VLOOKUP('Données projet'!$B$10,Paramètres!$A$1:$I$89,5,0)</f>
        <v>68.686799999999991</v>
      </c>
      <c r="AK18" s="14">
        <f t="shared" si="35"/>
        <v>19.346985156154787</v>
      </c>
      <c r="AL18" s="22">
        <f t="shared" si="4"/>
        <v>153.32550914696955</v>
      </c>
      <c r="AM18" s="62">
        <f t="shared" si="5"/>
        <v>446.65884248030284</v>
      </c>
      <c r="AN18" s="62">
        <f ca="1">AVERAGE(OFFSET($AM$3,0,0,'Données projet'!$E$10+1,1))-AVERAGE(OFFSET($H$3,0,0,'Données projet'!$E$10+1,1))</f>
        <v>140.99869591649082</v>
      </c>
      <c r="AO18" s="62">
        <f t="shared" si="36"/>
        <v>425.5885140588652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119</v>
      </c>
      <c r="BB18" s="13">
        <f>VLOOKUP(A18,'Données projet'!$A$87:$I$107,9,0)</f>
        <v>18.333333333333332</v>
      </c>
      <c r="BC18" s="13">
        <f t="array" ref="BC18">INDEX(BB:BB,MIN(IF(ISNUMBER(BB18:BB214),ROW(BB18:BB214),"")))</f>
        <v>18.333333333333332</v>
      </c>
      <c r="BD18" s="13">
        <f>IF('Données projet'!$A$88&gt;35,BD17+BC18-BL17,IF(A18&lt;'Données projet'!$A$88,$BA$205^A18,IF(A18='Données projet'!$A$88,'Données projet'!$B$88,BD17+BC18-BL17)))</f>
        <v>118.99999999999999</v>
      </c>
      <c r="BE18" s="14">
        <f>BD18*VLOOKUP('Données projet'!$B$11,Paramètres!$A$1:$I$89,3,0)*VLOOKUP('Données projet'!$B$11,Paramètres!$A$1:$I$89,5,0)</f>
        <v>68.686799999999991</v>
      </c>
      <c r="BF18" s="14">
        <f t="shared" si="37"/>
        <v>19.346985156154787</v>
      </c>
      <c r="BG18" s="22">
        <f t="shared" si="7"/>
        <v>153.32550914696955</v>
      </c>
      <c r="BH18" s="62">
        <f t="shared" si="8"/>
        <v>446.65884248030284</v>
      </c>
      <c r="BI18" s="62">
        <f ca="1">AVERAGE(OFFSET($BH$3,0,0,'Données projet'!$E$11+1,1))-AVERAGE(OFFSET($H$3,0,0,'Données projet'!$E$11+1,1))</f>
        <v>140.99869591649082</v>
      </c>
      <c r="BJ18" s="62">
        <f t="shared" si="38"/>
        <v>425.5885140588652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0.2</v>
      </c>
      <c r="BY18" s="13">
        <f>IF('Données projet'!$A$114&gt;35,BY17+BX18-CG17,IF(A18&lt;'Données projet'!$A$114,$BV$205^A18,IF(A18='Données projet'!$A$114,'Données projet'!$B$114,BY17+BX18-CG17)))</f>
        <v>2.4494897427831783</v>
      </c>
      <c r="BZ18" s="14">
        <f>BY18*VLOOKUP('Données projet'!$B$12,Paramètres!$A$1:$I$89,3,0)*VLOOKUP('Données projet'!$B$12,Paramètres!$A$1:$I$89,5,0)</f>
        <v>2.2162983192702197</v>
      </c>
      <c r="CA18" s="14">
        <f t="shared" si="39"/>
        <v>0.93099887782576296</v>
      </c>
      <c r="CB18" s="22">
        <f t="shared" si="10"/>
        <v>5.4815426182755038</v>
      </c>
      <c r="CC18" s="62">
        <f t="shared" si="11"/>
        <v>298.81487595160883</v>
      </c>
      <c r="CD18" s="62">
        <f ca="1">AVERAGE(OFFSET($CC$3,0,0,'Données projet'!$E$12+1,1))-AVERAGE(OFFSET($H$3,0,0,'Données projet'!$E$12+1,1))</f>
        <v>37.174340347509542</v>
      </c>
      <c r="CE18" s="62">
        <f t="shared" si="40"/>
        <v>-42.822755675927624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0.2</v>
      </c>
      <c r="CT18" s="13">
        <f>IF('Données projet'!$A$140&gt;35,CT17+CS18-DB17,IF(A18&lt;'Données projet'!$A$140,$CQ$205^A18,IF(A18='Données projet'!$A$140,'Données projet'!$B$140,CT17+CS18-DB17)))</f>
        <v>2.4494897427831783</v>
      </c>
      <c r="CU18" s="18">
        <f>CT18*VLOOKUP('Données projet'!$B$13,Paramètres!$A$1:$I$89,3,0)*VLOOKUP('Données projet'!$B$13,Paramètres!$A$1:$I$89,5,0)</f>
        <v>2.5602066791569782</v>
      </c>
      <c r="CV18" s="14">
        <f t="shared" si="41"/>
        <v>1.0575572285713246</v>
      </c>
      <c r="CW18" s="22">
        <f t="shared" si="13"/>
        <v>6.3009388059601266</v>
      </c>
      <c r="CX18" s="62">
        <f t="shared" si="14"/>
        <v>299.63427213929344</v>
      </c>
      <c r="CY18" s="62">
        <f ca="1">AVERAGE(OFFSET($CX$3,0,0,'Données projet'!$E$13+1,1))-AVERAGE(OFFSET($H$3,0,0,'Données projet'!$E$13+1,1))</f>
        <v>63.282881814092605</v>
      </c>
      <c r="CZ18" s="62">
        <f t="shared" si="42"/>
        <v>-40.869120230674525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12.979199999999999</v>
      </c>
      <c r="D19" s="12">
        <f t="shared" si="32"/>
        <v>4.4383130477080952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134.45097791213269</v>
      </c>
      <c r="H19" s="70">
        <f t="shared" si="1"/>
        <v>323.66883522475825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21.666666666666668</v>
      </c>
      <c r="N19" s="14">
        <f>IF('Données projet'!$A$36&gt;35,N18+M19-V18,IF(A19&lt;'Données projet'!$A$36,$K$205^A19,IF(A19='Données projet'!$A$36,'Données projet'!$B$36,N18+M19-V18)))</f>
        <v>140.66666666666666</v>
      </c>
      <c r="O19" s="14">
        <f>N19*VLOOKUP('Données projet'!$B$9,Paramètres!$A$1:$I$89,3,0)*VLOOKUP('Données projet'!$B$9,Paramètres!$A$1:$I$89,5,0)</f>
        <v>71.537439999999989</v>
      </c>
      <c r="P19" s="14">
        <f t="shared" si="33"/>
        <v>20.054774008029923</v>
      </c>
      <c r="Q19" s="22">
        <f t="shared" si="2"/>
        <v>159.52310606398541</v>
      </c>
      <c r="R19" s="62">
        <f t="shared" si="0"/>
        <v>452.8564393973187</v>
      </c>
      <c r="S19" s="62">
        <f ca="1">AVERAGE(OFFSET($R$3,0,0,'Données projet'!$E$9+1,1))-AVERAGE(OFFSET($H$3,0,0,'Données projet'!$E$9+1,1))</f>
        <v>121.64341556501768</v>
      </c>
      <c r="T19" s="62">
        <f t="shared" si="34"/>
        <v>370.21160497429781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21.666666666666668</v>
      </c>
      <c r="AI19" s="14">
        <f>IF('Données projet'!$A$62&gt;35,AI18+AH19-AQ18,IF(A19&lt;'Données projet'!$A$62,$AF$205^A19,IF(A19='Données projet'!$A$62,'Données projet'!$B$62,AI18+AH19-AQ18)))</f>
        <v>140.66666666666666</v>
      </c>
      <c r="AJ19" s="14">
        <f>AI19*VLOOKUP('Données projet'!$B$10,Paramètres!$A$1:$I$89,3,0)*VLOOKUP('Données projet'!$B$10,Paramètres!$A$1:$I$89,5,0)</f>
        <v>81.192799999999991</v>
      </c>
      <c r="AK19" s="14">
        <f t="shared" si="35"/>
        <v>22.428578243764289</v>
      </c>
      <c r="AL19" s="22">
        <f t="shared" si="4"/>
        <v>180.47390044122278</v>
      </c>
      <c r="AM19" s="62">
        <f t="shared" si="5"/>
        <v>473.8072337745561</v>
      </c>
      <c r="AN19" s="62">
        <f ca="1">AVERAGE(OFFSET($AM$3,0,0,'Données projet'!$E$10+1,1))-AVERAGE(OFFSET($H$3,0,0,'Données projet'!$E$10+1,1))</f>
        <v>140.99869591649082</v>
      </c>
      <c r="AO19" s="62">
        <f t="shared" si="36"/>
        <v>425.5885140588652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21.666666666666668</v>
      </c>
      <c r="BD19" s="13">
        <f>IF('Données projet'!$A$88&gt;35,BD18+BC19-BL18,IF(A19&lt;'Données projet'!$A$88,$BA$205^A19,IF(A19='Données projet'!$A$88,'Données projet'!$B$88,BD18+BC19-BL18)))</f>
        <v>140.66666666666666</v>
      </c>
      <c r="BE19" s="14">
        <f>BD19*VLOOKUP('Données projet'!$B$11,Paramètres!$A$1:$I$89,3,0)*VLOOKUP('Données projet'!$B$11,Paramètres!$A$1:$I$89,5,0)</f>
        <v>81.192799999999991</v>
      </c>
      <c r="BF19" s="14">
        <f t="shared" si="37"/>
        <v>22.428578243764289</v>
      </c>
      <c r="BG19" s="22">
        <f t="shared" si="7"/>
        <v>180.47390044122278</v>
      </c>
      <c r="BH19" s="62">
        <f t="shared" si="8"/>
        <v>473.8072337745561</v>
      </c>
      <c r="BI19" s="62">
        <f ca="1">AVERAGE(OFFSET($BH$3,0,0,'Données projet'!$E$11+1,1))-AVERAGE(OFFSET($H$3,0,0,'Données projet'!$E$11+1,1))</f>
        <v>140.99869591649082</v>
      </c>
      <c r="BJ19" s="62">
        <f t="shared" si="38"/>
        <v>425.5885140588652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0.2</v>
      </c>
      <c r="BY19" s="13">
        <f>IF('Données projet'!$A$114&gt;35,BY18+BX19-CG18,IF(A19&lt;'Données projet'!$A$114,$BV$205^A19,IF(A19='Données projet'!$A$114,'Données projet'!$B$114,BY18+BX19-CG18)))</f>
        <v>2.6002433849824445</v>
      </c>
      <c r="BZ19" s="14">
        <f>BY19*VLOOKUP('Données projet'!$B$12,Paramètres!$A$1:$I$89,3,0)*VLOOKUP('Données projet'!$B$12,Paramètres!$A$1:$I$89,5,0)</f>
        <v>2.3527002147321157</v>
      </c>
      <c r="CA19" s="14">
        <f t="shared" si="39"/>
        <v>0.98145028545469237</v>
      </c>
      <c r="CB19" s="22">
        <f t="shared" si="10"/>
        <v>5.8069787878253569</v>
      </c>
      <c r="CC19" s="62">
        <f t="shared" si="11"/>
        <v>299.14031212115867</v>
      </c>
      <c r="CD19" s="62">
        <f ca="1">AVERAGE(OFFSET($CC$3,0,0,'Données projet'!$E$12+1,1))-AVERAGE(OFFSET($H$3,0,0,'Données projet'!$E$12+1,1))</f>
        <v>37.174340347509542</v>
      </c>
      <c r="CE19" s="62">
        <f t="shared" si="40"/>
        <v>-42.822755675927624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0.2</v>
      </c>
      <c r="CT19" s="13">
        <f>IF('Données projet'!$A$140&gt;35,CT18+CS19-DB18,IF(A19&lt;'Données projet'!$A$140,$CQ$205^A19,IF(A19='Données projet'!$A$140,'Données projet'!$B$140,CT18+CS19-DB18)))</f>
        <v>2.6002433849824445</v>
      </c>
      <c r="CU19" s="18">
        <f>CT19*VLOOKUP('Données projet'!$B$13,Paramètres!$A$1:$I$89,3,0)*VLOOKUP('Données projet'!$B$13,Paramètres!$A$1:$I$89,5,0)</f>
        <v>2.7177743859836512</v>
      </c>
      <c r="CV19" s="14">
        <f t="shared" si="41"/>
        <v>1.1148669118592116</v>
      </c>
      <c r="CW19" s="22">
        <f t="shared" si="13"/>
        <v>6.675183593742986</v>
      </c>
      <c r="CX19" s="62">
        <f t="shared" si="14"/>
        <v>300.0085169270763</v>
      </c>
      <c r="CY19" s="62">
        <f ca="1">AVERAGE(OFFSET($CX$3,0,0,'Données projet'!$E$13+1,1))-AVERAGE(OFFSET($H$3,0,0,'Données projet'!$E$13+1,1))</f>
        <v>63.282881814092605</v>
      </c>
      <c r="CZ19" s="62">
        <f t="shared" si="42"/>
        <v>-40.869120230674525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13.790399999999998</v>
      </c>
      <c r="D20" s="12">
        <f t="shared" si="32"/>
        <v>4.6825473896592289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142.59819037631684</v>
      </c>
      <c r="H20" s="70">
        <f t="shared" si="1"/>
        <v>325.50705003698982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21.666666666666668</v>
      </c>
      <c r="N20" s="14">
        <f>IF('Données projet'!$A$36&gt;35,N19+M20-V19,IF(A20&lt;'Données projet'!$A$36,$K$205^A20,IF(A20='Données projet'!$A$36,'Données projet'!$B$36,N19+M20-V19)))</f>
        <v>162.33333333333331</v>
      </c>
      <c r="O20" s="14">
        <f>N20*VLOOKUP('Données projet'!$B$9,Paramètres!$A$1:$I$89,3,0)*VLOOKUP('Données projet'!$B$9,Paramètres!$A$1:$I$89,5,0)</f>
        <v>82.556240000000003</v>
      </c>
      <c r="P20" s="14">
        <f t="shared" si="33"/>
        <v>22.76104937317395</v>
      </c>
      <c r="Q20" s="22">
        <f t="shared" si="2"/>
        <v>183.42761232494459</v>
      </c>
      <c r="R20" s="62">
        <f t="shared" si="0"/>
        <v>476.76094565827793</v>
      </c>
      <c r="S20" s="62">
        <f ca="1">AVERAGE(OFFSET($R$3,0,0,'Données projet'!$E$9+1,1))-AVERAGE(OFFSET($H$3,0,0,'Données projet'!$E$9+1,1))</f>
        <v>121.64341556501768</v>
      </c>
      <c r="T20" s="62">
        <f t="shared" si="34"/>
        <v>370.21160497429781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21.666666666666668</v>
      </c>
      <c r="AI20" s="14">
        <f>IF('Données projet'!$A$62&gt;35,AI19+AH20-AQ19,IF(A20&lt;'Données projet'!$A$62,$AF$205^A20,IF(A20='Données projet'!$A$62,'Données projet'!$B$62,AI19+AH20-AQ19)))</f>
        <v>162.33333333333331</v>
      </c>
      <c r="AJ20" s="14">
        <f>AI20*VLOOKUP('Données projet'!$B$10,Paramètres!$A$1:$I$89,3,0)*VLOOKUP('Données projet'!$B$10,Paramètres!$A$1:$I$89,5,0)</f>
        <v>93.698799999999991</v>
      </c>
      <c r="AK20" s="14">
        <f t="shared" si="35"/>
        <v>25.455184714223691</v>
      </c>
      <c r="AL20" s="22">
        <f t="shared" si="4"/>
        <v>207.52652337727292</v>
      </c>
      <c r="AM20" s="62">
        <f t="shared" si="5"/>
        <v>500.85985671060621</v>
      </c>
      <c r="AN20" s="62">
        <f ca="1">AVERAGE(OFFSET($AM$3,0,0,'Données projet'!$E$10+1,1))-AVERAGE(OFFSET($H$3,0,0,'Données projet'!$E$10+1,1))</f>
        <v>140.99869591649082</v>
      </c>
      <c r="AO20" s="62">
        <f t="shared" si="36"/>
        <v>425.5885140588652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21.666666666666668</v>
      </c>
      <c r="BD20" s="13">
        <f>IF('Données projet'!$A$88&gt;35,BD19+BC20-BL19,IF(A20&lt;'Données projet'!$A$88,$BA$205^A20,IF(A20='Données projet'!$A$88,'Données projet'!$B$88,BD19+BC20-BL19)))</f>
        <v>162.33333333333331</v>
      </c>
      <c r="BE20" s="14">
        <f>BD20*VLOOKUP('Données projet'!$B$11,Paramètres!$A$1:$I$89,3,0)*VLOOKUP('Données projet'!$B$11,Paramètres!$A$1:$I$89,5,0)</f>
        <v>93.698799999999991</v>
      </c>
      <c r="BF20" s="14">
        <f t="shared" si="37"/>
        <v>25.455184714223691</v>
      </c>
      <c r="BG20" s="22">
        <f t="shared" si="7"/>
        <v>207.52652337727292</v>
      </c>
      <c r="BH20" s="62">
        <f t="shared" si="8"/>
        <v>500.85985671060621</v>
      </c>
      <c r="BI20" s="62">
        <f ca="1">AVERAGE(OFFSET($BH$3,0,0,'Données projet'!$E$11+1,1))-AVERAGE(OFFSET($H$3,0,0,'Données projet'!$E$11+1,1))</f>
        <v>140.99869591649082</v>
      </c>
      <c r="BJ20" s="62">
        <f t="shared" si="38"/>
        <v>425.5885140588652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0.2</v>
      </c>
      <c r="BY20" s="13">
        <f>IF('Données projet'!$A$114&gt;35,BY19+BX20-CG19,IF(A20&lt;'Données projet'!$A$114,$BV$205^A20,IF(A20='Données projet'!$A$114,'Données projet'!$B$114,BY19+BX20-CG19)))</f>
        <v>2.76027514753445</v>
      </c>
      <c r="BZ20" s="14">
        <f>BY20*VLOOKUP('Données projet'!$B$12,Paramètres!$A$1:$I$89,3,0)*VLOOKUP('Données projet'!$B$12,Paramètres!$A$1:$I$89,5,0)</f>
        <v>2.4974969534891702</v>
      </c>
      <c r="CA20" s="14">
        <f t="shared" si="39"/>
        <v>1.0346356862090316</v>
      </c>
      <c r="CB20" s="22">
        <f t="shared" si="10"/>
        <v>6.1517976808077011</v>
      </c>
      <c r="CC20" s="62">
        <f t="shared" si="11"/>
        <v>299.48513101414102</v>
      </c>
      <c r="CD20" s="62">
        <f ca="1">AVERAGE(OFFSET($CC$3,0,0,'Données projet'!$E$12+1,1))-AVERAGE(OFFSET($H$3,0,0,'Données projet'!$E$12+1,1))</f>
        <v>37.174340347509542</v>
      </c>
      <c r="CE20" s="62">
        <f t="shared" si="40"/>
        <v>-42.822755675927624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0.2</v>
      </c>
      <c r="CT20" s="13">
        <f>IF('Données projet'!$A$140&gt;35,CT19+CS20-DB19,IF(A20&lt;'Données projet'!$A$140,$CQ$205^A20,IF(A20='Données projet'!$A$140,'Données projet'!$B$140,CT19+CS20-DB19)))</f>
        <v>2.76027514753445</v>
      </c>
      <c r="CU20" s="18">
        <f>CT20*VLOOKUP('Données projet'!$B$13,Paramètres!$A$1:$I$89,3,0)*VLOOKUP('Données projet'!$B$13,Paramètres!$A$1:$I$89,5,0)</f>
        <v>2.8850395842030077</v>
      </c>
      <c r="CV20" s="14">
        <f t="shared" si="41"/>
        <v>1.1752822424915874</v>
      </c>
      <c r="CW20" s="22">
        <f t="shared" si="13"/>
        <v>7.0717271814930873</v>
      </c>
      <c r="CX20" s="62">
        <f t="shared" si="14"/>
        <v>300.4050605148264</v>
      </c>
      <c r="CY20" s="62">
        <f ca="1">AVERAGE(OFFSET($CX$3,0,0,'Données projet'!$E$13+1,1))-AVERAGE(OFFSET($H$3,0,0,'Données projet'!$E$13+1,1))</f>
        <v>63.282881814092605</v>
      </c>
      <c r="CZ20" s="62">
        <f t="shared" si="42"/>
        <v>-40.869120230674525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14.601599999999998</v>
      </c>
      <c r="D21" s="12">
        <f t="shared" si="32"/>
        <v>4.9251141417391402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150.73253021693372</v>
      </c>
      <c r="H21" s="70">
        <f t="shared" si="1"/>
        <v>327.34236046352896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184</v>
      </c>
      <c r="L21" s="13">
        <f>VLOOKUP(A21,'Données projet'!$A$35:$I$55,9,0)</f>
        <v>21.666666666666668</v>
      </c>
      <c r="M21" s="13">
        <f t="array" ref="M21">INDEX(L:L,MIN(IF(ISNUMBER(L21:L217),ROW(L21:L217),"")))</f>
        <v>21.666666666666668</v>
      </c>
      <c r="N21" s="14">
        <f>IF('Données projet'!$A$36&gt;35,N20+M21-V20,IF(A21&lt;'Données projet'!$A$36,$K$205^A21,IF(A21='Données projet'!$A$36,'Données projet'!$B$36,N20+M21-V20)))</f>
        <v>183.99999999999997</v>
      </c>
      <c r="O21" s="14">
        <f>N21*VLOOKUP('Données projet'!$B$9,Paramètres!$A$1:$I$89,3,0)*VLOOKUP('Données projet'!$B$9,Paramètres!$A$1:$I$89,5,0)</f>
        <v>93.575040000000001</v>
      </c>
      <c r="P21" s="14">
        <f t="shared" si="33"/>
        <v>25.425474099877103</v>
      </c>
      <c r="Q21" s="22">
        <f t="shared" si="2"/>
        <v>207.25922872395259</v>
      </c>
      <c r="R21" s="62">
        <f t="shared" si="0"/>
        <v>500.59256205728593</v>
      </c>
      <c r="S21" s="62">
        <f ca="1">AVERAGE(OFFSET($R$3,0,0,'Données projet'!$E$9+1,1))-AVERAGE(OFFSET($H$3,0,0,'Données projet'!$E$9+1,1))</f>
        <v>121.64341556501768</v>
      </c>
      <c r="T21" s="62">
        <f t="shared" si="34"/>
        <v>370.21160497429781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184</v>
      </c>
      <c r="AG21" s="13">
        <f>VLOOKUP(A21,'Données projet'!$A$61:$I$81,9,0)</f>
        <v>21.666666666666668</v>
      </c>
      <c r="AH21" s="13">
        <f t="array" ref="AH21">INDEX(AG:AG,MIN(IF(ISNUMBER(AG21:AG217),ROW(AG21:AG217),"")))</f>
        <v>21.666666666666668</v>
      </c>
      <c r="AI21" s="14">
        <f>IF('Données projet'!$A$62&gt;35,AI20+AH21-AQ20,IF(A21&lt;'Données projet'!$A$62,$AF$205^A21,IF(A21='Données projet'!$A$62,'Données projet'!$B$62,AI20+AH21-AQ20)))</f>
        <v>183.99999999999997</v>
      </c>
      <c r="AJ21" s="14">
        <f>AI21*VLOOKUP('Données projet'!$B$10,Paramètres!$A$1:$I$89,3,0)*VLOOKUP('Données projet'!$B$10,Paramètres!$A$1:$I$89,5,0)</f>
        <v>106.20479999999998</v>
      </c>
      <c r="AK21" s="14">
        <f t="shared" si="35"/>
        <v>28.434986851787247</v>
      </c>
      <c r="AL21" s="22">
        <f t="shared" si="4"/>
        <v>234.49762876686273</v>
      </c>
      <c r="AM21" s="62">
        <f t="shared" si="5"/>
        <v>527.83096210019607</v>
      </c>
      <c r="AN21" s="62">
        <f ca="1">AVERAGE(OFFSET($AM$3,0,0,'Données projet'!$E$10+1,1))-AVERAGE(OFFSET($H$3,0,0,'Données projet'!$E$10+1,1))</f>
        <v>140.99869591649082</v>
      </c>
      <c r="AO21" s="62">
        <f t="shared" si="36"/>
        <v>425.5885140588652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>
        <f>VLOOKUP(A21,'Données projet'!$A$87:$I$107,2,0)</f>
        <v>184</v>
      </c>
      <c r="BB21" s="13">
        <f>VLOOKUP(A21,'Données projet'!$A$87:$I$107,9,0)</f>
        <v>21.666666666666668</v>
      </c>
      <c r="BC21" s="13">
        <f t="array" ref="BC21">INDEX(BB:BB,MIN(IF(ISNUMBER(BB21:BB217),ROW(BB21:BB217),"")))</f>
        <v>21.666666666666668</v>
      </c>
      <c r="BD21" s="13">
        <f>IF('Données projet'!$A$88&gt;35,BD20+BC21-BL20,IF(A21&lt;'Données projet'!$A$88,$BA$205^A21,IF(A21='Données projet'!$A$88,'Données projet'!$B$88,BD20+BC21-BL20)))</f>
        <v>183.99999999999997</v>
      </c>
      <c r="BE21" s="14">
        <f>BD21*VLOOKUP('Données projet'!$B$11,Paramètres!$A$1:$I$89,3,0)*VLOOKUP('Données projet'!$B$11,Paramètres!$A$1:$I$89,5,0)</f>
        <v>106.20479999999998</v>
      </c>
      <c r="BF21" s="14">
        <f t="shared" si="37"/>
        <v>28.434986851787247</v>
      </c>
      <c r="BG21" s="22">
        <f t="shared" si="7"/>
        <v>234.49762876686273</v>
      </c>
      <c r="BH21" s="62">
        <f t="shared" si="8"/>
        <v>527.83096210019607</v>
      </c>
      <c r="BI21" s="62">
        <f ca="1">AVERAGE(OFFSET($BH$3,0,0,'Données projet'!$E$11+1,1))-AVERAGE(OFFSET($H$3,0,0,'Données projet'!$E$11+1,1))</f>
        <v>140.99869591649082</v>
      </c>
      <c r="BJ21" s="62">
        <f t="shared" si="38"/>
        <v>425.5885140588652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0.2</v>
      </c>
      <c r="BY21" s="13">
        <f>IF('Données projet'!$A$114&gt;35,BY20+BX21-CG20,IF(A21&lt;'Données projet'!$A$114,$BV$205^A21,IF(A21='Données projet'!$A$114,'Données projet'!$B$114,BY20+BX21-CG20)))</f>
        <v>2.9301560515835221</v>
      </c>
      <c r="BZ21" s="14">
        <f>BY21*VLOOKUP('Données projet'!$B$12,Paramètres!$A$1:$I$89,3,0)*VLOOKUP('Données projet'!$B$12,Paramètres!$A$1:$I$89,5,0)</f>
        <v>2.6512051954727709</v>
      </c>
      <c r="CA21" s="14">
        <f t="shared" si="39"/>
        <v>1.090703236874907</v>
      </c>
      <c r="CB21" s="22">
        <f t="shared" si="10"/>
        <v>6.5171571863388733</v>
      </c>
      <c r="CC21" s="62">
        <f t="shared" si="11"/>
        <v>299.85049051967218</v>
      </c>
      <c r="CD21" s="62">
        <f ca="1">AVERAGE(OFFSET($CC$3,0,0,'Données projet'!$E$12+1,1))-AVERAGE(OFFSET($H$3,0,0,'Données projet'!$E$12+1,1))</f>
        <v>37.174340347509542</v>
      </c>
      <c r="CE21" s="62">
        <f t="shared" si="40"/>
        <v>-42.822755675927624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0.2</v>
      </c>
      <c r="CT21" s="13">
        <f>IF('Données projet'!$A$140&gt;35,CT20+CS21-DB20,IF(A21&lt;'Données projet'!$A$140,$CQ$205^A21,IF(A21='Données projet'!$A$140,'Données projet'!$B$140,CT20+CS21-DB20)))</f>
        <v>2.9301560515835221</v>
      </c>
      <c r="CU21" s="18">
        <f>CT21*VLOOKUP('Données projet'!$B$13,Paramètres!$A$1:$I$89,3,0)*VLOOKUP('Données projet'!$B$13,Paramètres!$A$1:$I$89,5,0)</f>
        <v>3.0625991051150976</v>
      </c>
      <c r="CV21" s="14">
        <f t="shared" si="41"/>
        <v>1.2389715174276226</v>
      </c>
      <c r="CW21" s="22">
        <f t="shared" si="13"/>
        <v>7.4919021675952377</v>
      </c>
      <c r="CX21" s="62">
        <f t="shared" si="14"/>
        <v>300.82523550092856</v>
      </c>
      <c r="CY21" s="62">
        <f ca="1">AVERAGE(OFFSET($CX$3,0,0,'Données projet'!$E$13+1,1))-AVERAGE(OFFSET($H$3,0,0,'Données projet'!$E$13+1,1))</f>
        <v>63.282881814092605</v>
      </c>
      <c r="CZ21" s="62">
        <f t="shared" si="42"/>
        <v>-40.869120230674525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15.412799999999997</v>
      </c>
      <c r="D22" s="12">
        <f t="shared" si="32"/>
        <v>5.1661165069289936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158.85479408857466</v>
      </c>
      <c r="H22" s="70">
        <f t="shared" si="1"/>
        <v>329.17494624956799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23</v>
      </c>
      <c r="N22" s="14">
        <f>IF('Données projet'!$A$36&gt;35,N21+M22-V21,IF(A22&lt;'Données projet'!$A$36,$K$205^A22,IF(A22='Données projet'!$A$36,'Données projet'!$B$36,N21+M22-V21)))</f>
        <v>206.99999999999997</v>
      </c>
      <c r="O22" s="14">
        <f>N22*VLOOKUP('Données projet'!$B$9,Paramètres!$A$1:$I$89,3,0)*VLOOKUP('Données projet'!$B$9,Paramètres!$A$1:$I$89,5,0)</f>
        <v>105.27192000000001</v>
      </c>
      <c r="P22" s="14">
        <f t="shared" si="33"/>
        <v>28.21417973533687</v>
      </c>
      <c r="Q22" s="22">
        <f t="shared" si="2"/>
        <v>232.4882903723784</v>
      </c>
      <c r="R22" s="62">
        <f t="shared" si="0"/>
        <v>525.82162370571177</v>
      </c>
      <c r="S22" s="62">
        <f ca="1">AVERAGE(OFFSET($R$3,0,0,'Données projet'!$E$9+1,1))-AVERAGE(OFFSET($H$3,0,0,'Données projet'!$E$9+1,1))</f>
        <v>121.64341556501768</v>
      </c>
      <c r="T22" s="62">
        <f t="shared" si="34"/>
        <v>370.21160497429781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23</v>
      </c>
      <c r="AI22" s="14">
        <f>IF('Données projet'!$A$62&gt;35,AI21+AH22-AQ21,IF(A22&lt;'Données projet'!$A$62,$AF$205^A22,IF(A22='Données projet'!$A$62,'Données projet'!$B$62,AI21+AH22-AQ21)))</f>
        <v>206.99999999999997</v>
      </c>
      <c r="AJ22" s="14">
        <f>AI22*VLOOKUP('Données projet'!$B$10,Paramètres!$A$1:$I$89,3,0)*VLOOKUP('Données projet'!$B$10,Paramètres!$A$1:$I$89,5,0)</f>
        <v>119.48039999999999</v>
      </c>
      <c r="AK22" s="14">
        <f t="shared" si="35"/>
        <v>31.553780537454941</v>
      </c>
      <c r="AL22" s="22">
        <f t="shared" si="4"/>
        <v>263.05119776940063</v>
      </c>
      <c r="AM22" s="62">
        <f t="shared" si="5"/>
        <v>556.38453110273394</v>
      </c>
      <c r="AN22" s="62">
        <f ca="1">AVERAGE(OFFSET($AM$3,0,0,'Données projet'!$E$10+1,1))-AVERAGE(OFFSET($H$3,0,0,'Données projet'!$E$10+1,1))</f>
        <v>140.99869591649082</v>
      </c>
      <c r="AO22" s="62">
        <f t="shared" si="36"/>
        <v>425.5885140588652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23</v>
      </c>
      <c r="BD22" s="13">
        <f>IF('Données projet'!$A$88&gt;35,BD21+BC22-BL21,IF(A22&lt;'Données projet'!$A$88,$BA$205^A22,IF(A22='Données projet'!$A$88,'Données projet'!$B$88,BD21+BC22-BL21)))</f>
        <v>206.99999999999997</v>
      </c>
      <c r="BE22" s="14">
        <f>BD22*VLOOKUP('Données projet'!$B$11,Paramètres!$A$1:$I$89,3,0)*VLOOKUP('Données projet'!$B$11,Paramètres!$A$1:$I$89,5,0)</f>
        <v>119.48039999999999</v>
      </c>
      <c r="BF22" s="14">
        <f t="shared" si="37"/>
        <v>31.553780537454941</v>
      </c>
      <c r="BG22" s="22">
        <f t="shared" si="7"/>
        <v>263.05119776940063</v>
      </c>
      <c r="BH22" s="62">
        <f t="shared" si="8"/>
        <v>556.38453110273394</v>
      </c>
      <c r="BI22" s="62">
        <f ca="1">AVERAGE(OFFSET($BH$3,0,0,'Données projet'!$E$11+1,1))-AVERAGE(OFFSET($H$3,0,0,'Données projet'!$E$11+1,1))</f>
        <v>140.99869591649082</v>
      </c>
      <c r="BJ22" s="62">
        <f t="shared" si="38"/>
        <v>425.5885140588652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0.2</v>
      </c>
      <c r="BY22" s="13">
        <f>IF('Données projet'!$A$114&gt;35,BY21+BX22-CG21,IF(A22&lt;'Données projet'!$A$114,$BV$205^A22,IF(A22='Données projet'!$A$114,'Données projet'!$B$114,BY21+BX22-CG21)))</f>
        <v>3.1104922617227522</v>
      </c>
      <c r="BZ22" s="14">
        <f>BY22*VLOOKUP('Données projet'!$B$12,Paramètres!$A$1:$I$89,3,0)*VLOOKUP('Données projet'!$B$12,Paramètres!$A$1:$I$89,5,0)</f>
        <v>2.8143733984067461</v>
      </c>
      <c r="CA22" s="14">
        <f t="shared" si="39"/>
        <v>1.149809122946734</v>
      </c>
      <c r="CB22" s="22">
        <f t="shared" si="10"/>
        <v>6.9042845580239769</v>
      </c>
      <c r="CC22" s="62">
        <f t="shared" si="11"/>
        <v>300.23761789135727</v>
      </c>
      <c r="CD22" s="62">
        <f ca="1">AVERAGE(OFFSET($CC$3,0,0,'Données projet'!$E$12+1,1))-AVERAGE(OFFSET($H$3,0,0,'Données projet'!$E$12+1,1))</f>
        <v>37.174340347509542</v>
      </c>
      <c r="CE22" s="62">
        <f t="shared" si="40"/>
        <v>-42.822755675927624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0.2</v>
      </c>
      <c r="CT22" s="13">
        <f>IF('Données projet'!$A$140&gt;35,CT21+CS22-DB21,IF(A22&lt;'Données projet'!$A$140,$CQ$205^A22,IF(A22='Données projet'!$A$140,'Données projet'!$B$140,CT21+CS22-DB21)))</f>
        <v>3.1104922617227522</v>
      </c>
      <c r="CU22" s="18">
        <f>CT22*VLOOKUP('Données projet'!$B$13,Paramètres!$A$1:$I$89,3,0)*VLOOKUP('Données projet'!$B$13,Paramètres!$A$1:$I$89,5,0)</f>
        <v>3.2510865119526211</v>
      </c>
      <c r="CV22" s="14">
        <f t="shared" si="41"/>
        <v>1.3061121537432685</v>
      </c>
      <c r="CW22" s="22">
        <f t="shared" si="13"/>
        <v>7.9371210094203404</v>
      </c>
      <c r="CX22" s="62">
        <f t="shared" si="14"/>
        <v>301.27045434275368</v>
      </c>
      <c r="CY22" s="62">
        <f ca="1">AVERAGE(OFFSET($CX$3,0,0,'Données projet'!$E$13+1,1))-AVERAGE(OFFSET($H$3,0,0,'Données projet'!$E$13+1,1))</f>
        <v>63.282881814092605</v>
      </c>
      <c r="CZ22" s="62">
        <f t="shared" si="42"/>
        <v>-40.869120230674525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16.223999999999997</v>
      </c>
      <c r="D23" s="12">
        <f t="shared" si="32"/>
        <v>5.4056462111722139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166.96569005115393</v>
      </c>
      <c r="H23" s="70">
        <f t="shared" si="1"/>
        <v>331.0049671511249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23</v>
      </c>
      <c r="N23" s="14">
        <f>IF('Données projet'!$A$36&gt;35,N22+M23-V22,IF(A23&lt;'Données projet'!$A$36,$K$205^A23,IF(A23='Données projet'!$A$36,'Données projet'!$B$36,N22+M23-V22)))</f>
        <v>229.99999999999997</v>
      </c>
      <c r="O23" s="14">
        <f>N23*VLOOKUP('Données projet'!$B$9,Paramètres!$A$1:$I$89,3,0)*VLOOKUP('Données projet'!$B$9,Paramètres!$A$1:$I$89,5,0)</f>
        <v>116.96879999999999</v>
      </c>
      <c r="P23" s="14">
        <f t="shared" si="33"/>
        <v>30.966972418998537</v>
      </c>
      <c r="Q23" s="22">
        <f t="shared" si="2"/>
        <v>257.65480362975569</v>
      </c>
      <c r="R23" s="62">
        <f t="shared" si="0"/>
        <v>550.988136963089</v>
      </c>
      <c r="S23" s="62">
        <f ca="1">AVERAGE(OFFSET($R$3,0,0,'Données projet'!$E$9+1,1))-AVERAGE(OFFSET($H$3,0,0,'Données projet'!$E$9+1,1))</f>
        <v>121.64341556501768</v>
      </c>
      <c r="T23" s="62">
        <f t="shared" si="34"/>
        <v>370.21160497429781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23</v>
      </c>
      <c r="AI23" s="14">
        <f>IF('Données projet'!$A$62&gt;35,AI22+AH23-AQ22,IF(A23&lt;'Données projet'!$A$62,$AF$205^A23,IF(A23='Données projet'!$A$62,'Données projet'!$B$62,AI22+AH23-AQ22)))</f>
        <v>229.99999999999997</v>
      </c>
      <c r="AJ23" s="14">
        <f>AI23*VLOOKUP('Données projet'!$B$10,Paramètres!$A$1:$I$89,3,0)*VLOOKUP('Données projet'!$B$10,Paramètres!$A$1:$I$89,5,0)</f>
        <v>132.756</v>
      </c>
      <c r="AK23" s="14">
        <f t="shared" si="35"/>
        <v>34.632410397339967</v>
      </c>
      <c r="AL23" s="22">
        <f t="shared" si="4"/>
        <v>291.53481477536712</v>
      </c>
      <c r="AM23" s="62">
        <f t="shared" si="5"/>
        <v>584.86814810870044</v>
      </c>
      <c r="AN23" s="62">
        <f ca="1">AVERAGE(OFFSET($AM$3,0,0,'Données projet'!$E$10+1,1))-AVERAGE(OFFSET($H$3,0,0,'Données projet'!$E$10+1,1))</f>
        <v>140.99869591649082</v>
      </c>
      <c r="AO23" s="62">
        <f t="shared" si="36"/>
        <v>425.5885140588652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23</v>
      </c>
      <c r="BD23" s="13">
        <f>IF('Données projet'!$A$88&gt;35,BD22+BC23-BL22,IF(A23&lt;'Données projet'!$A$88,$BA$205^A23,IF(A23='Données projet'!$A$88,'Données projet'!$B$88,BD22+BC23-BL22)))</f>
        <v>229.99999999999997</v>
      </c>
      <c r="BE23" s="14">
        <f>BD23*VLOOKUP('Données projet'!$B$11,Paramètres!$A$1:$I$89,3,0)*VLOOKUP('Données projet'!$B$11,Paramètres!$A$1:$I$89,5,0)</f>
        <v>132.756</v>
      </c>
      <c r="BF23" s="14">
        <f t="shared" si="37"/>
        <v>34.632410397339967</v>
      </c>
      <c r="BG23" s="22">
        <f t="shared" si="7"/>
        <v>291.53481477536712</v>
      </c>
      <c r="BH23" s="62">
        <f t="shared" si="8"/>
        <v>584.86814810870044</v>
      </c>
      <c r="BI23" s="62">
        <f ca="1">AVERAGE(OFFSET($BH$3,0,0,'Données projet'!$E$11+1,1))-AVERAGE(OFFSET($H$3,0,0,'Données projet'!$E$11+1,1))</f>
        <v>140.99869591649082</v>
      </c>
      <c r="BJ23" s="62">
        <f t="shared" si="38"/>
        <v>425.5885140588652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0.2</v>
      </c>
      <c r="BY23" s="13">
        <f>IF('Données projet'!$A$114&gt;35,BY22+BX23-CG22,IF(A23&lt;'Données projet'!$A$114,$BV$205^A23,IF(A23='Données projet'!$A$114,'Données projet'!$B$114,BY22+BX23-CG22)))</f>
        <v>3.3019272488946276</v>
      </c>
      <c r="BZ23" s="14">
        <f>BY23*VLOOKUP('Données projet'!$B$12,Paramètres!$A$1:$I$89,3,0)*VLOOKUP('Données projet'!$B$12,Paramètres!$A$1:$I$89,5,0)</f>
        <v>2.9875837747998588</v>
      </c>
      <c r="CA23" s="14">
        <f t="shared" si="39"/>
        <v>1.2121179937079121</v>
      </c>
      <c r="CB23" s="22">
        <f t="shared" si="10"/>
        <v>7.3144805801510335</v>
      </c>
      <c r="CC23" s="62">
        <f t="shared" si="11"/>
        <v>300.64781391348436</v>
      </c>
      <c r="CD23" s="62">
        <f ca="1">AVERAGE(OFFSET($CC$3,0,0,'Données projet'!$E$12+1,1))-AVERAGE(OFFSET($H$3,0,0,'Données projet'!$E$12+1,1))</f>
        <v>37.174340347509542</v>
      </c>
      <c r="CE23" s="62">
        <f t="shared" si="40"/>
        <v>-42.822755675927624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0.2</v>
      </c>
      <c r="CT23" s="13">
        <f>IF('Données projet'!$A$140&gt;35,CT22+CS23-DB22,IF(A23&lt;'Données projet'!$A$140,$CQ$205^A23,IF(A23='Données projet'!$A$140,'Données projet'!$B$140,CT22+CS23-DB22)))</f>
        <v>3.3019272488946276</v>
      </c>
      <c r="CU23" s="18">
        <f>CT23*VLOOKUP('Données projet'!$B$13,Paramètres!$A$1:$I$89,3,0)*VLOOKUP('Données projet'!$B$13,Paramètres!$A$1:$I$89,5,0)</f>
        <v>3.4511743605446656</v>
      </c>
      <c r="CV23" s="14">
        <f t="shared" si="41"/>
        <v>1.3768911828560542</v>
      </c>
      <c r="CW23" s="22">
        <f t="shared" si="13"/>
        <v>8.4088808214229189</v>
      </c>
      <c r="CX23" s="62">
        <f t="shared" si="14"/>
        <v>301.74221415475625</v>
      </c>
      <c r="CY23" s="62">
        <f ca="1">AVERAGE(OFFSET($CX$3,0,0,'Données projet'!$E$13+1,1))-AVERAGE(OFFSET($H$3,0,0,'Données projet'!$E$13+1,1))</f>
        <v>63.282881814092605</v>
      </c>
      <c r="CZ23" s="62">
        <f t="shared" si="42"/>
        <v>-40.869120230674525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17.035199999999996</v>
      </c>
      <c r="D24" s="12">
        <f t="shared" si="32"/>
        <v>5.6437852896626746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175.06585135879956</v>
      </c>
      <c r="H24" s="70">
        <f t="shared" si="1"/>
        <v>332.83256604616247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253</v>
      </c>
      <c r="L24" s="13">
        <f>VLOOKUP(A24,'Données projet'!$A$35:$I$55,9,0)</f>
        <v>23</v>
      </c>
      <c r="M24" s="13">
        <f t="array" ref="M24">INDEX(L:L,MIN(IF(ISNUMBER(L24:L220),ROW(L24:L220),"")))</f>
        <v>23</v>
      </c>
      <c r="N24" s="14">
        <f>IF('Données projet'!$A$36&gt;35,N23+M24-V23,IF(A24&lt;'Données projet'!$A$36,$K$205^A24,IF(A24='Données projet'!$A$36,'Données projet'!$B$36,N23+M24-V23)))</f>
        <v>252.99999999999997</v>
      </c>
      <c r="O24" s="14">
        <f>N24*VLOOKUP('Données projet'!$B$9,Paramètres!$A$1:$I$89,3,0)*VLOOKUP('Données projet'!$B$9,Paramètres!$A$1:$I$89,5,0)</f>
        <v>128.66568000000001</v>
      </c>
      <c r="P24" s="14">
        <f t="shared" si="33"/>
        <v>33.687852268796711</v>
      </c>
      <c r="Q24" s="22">
        <f t="shared" si="2"/>
        <v>282.76573536815431</v>
      </c>
      <c r="R24" s="62">
        <f t="shared" si="0"/>
        <v>576.09906870148757</v>
      </c>
      <c r="S24" s="62">
        <f ca="1">AVERAGE(OFFSET($R$3,0,0,'Données projet'!$E$9+1,1))-AVERAGE(OFFSET($H$3,0,0,'Données projet'!$E$9+1,1))</f>
        <v>121.64341556501768</v>
      </c>
      <c r="T24" s="62">
        <f t="shared" si="34"/>
        <v>370.21160497429781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>
        <f>VLOOKUP(A24,'Données projet'!$A$61:$I$81,2,0)</f>
        <v>253</v>
      </c>
      <c r="AG24" s="13">
        <f>VLOOKUP(A24,'Données projet'!$A$61:$I$81,9,0)</f>
        <v>23</v>
      </c>
      <c r="AH24" s="13">
        <f t="array" ref="AH24">INDEX(AG:AG,MIN(IF(ISNUMBER(AG24:AG220),ROW(AG24:AG220),"")))</f>
        <v>23</v>
      </c>
      <c r="AI24" s="14">
        <f>IF('Données projet'!$A$62&gt;35,AI23+AH24-AQ23,IF(A24&lt;'Données projet'!$A$62,$AF$205^A24,IF(A24='Données projet'!$A$62,'Données projet'!$B$62,AI23+AH24-AQ23)))</f>
        <v>252.99999999999997</v>
      </c>
      <c r="AJ24" s="14">
        <f>AI24*VLOOKUP('Données projet'!$B$10,Paramètres!$A$1:$I$89,3,0)*VLOOKUP('Données projet'!$B$10,Paramètres!$A$1:$I$89,5,0)</f>
        <v>146.03159999999997</v>
      </c>
      <c r="AK24" s="14">
        <f t="shared" si="35"/>
        <v>37.675350027507093</v>
      </c>
      <c r="AL24" s="22">
        <f t="shared" si="4"/>
        <v>319.95627129790813</v>
      </c>
      <c r="AM24" s="62">
        <f t="shared" si="5"/>
        <v>613.28960463124145</v>
      </c>
      <c r="AN24" s="62">
        <f ca="1">AVERAGE(OFFSET($AM$3,0,0,'Données projet'!$E$10+1,1))-AVERAGE(OFFSET($H$3,0,0,'Données projet'!$E$10+1,1))</f>
        <v>140.99869591649082</v>
      </c>
      <c r="AO24" s="62">
        <f t="shared" si="36"/>
        <v>425.5885140588652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>
        <f>VLOOKUP(A24,'Données projet'!$A$87:$I$107,2,0)</f>
        <v>253</v>
      </c>
      <c r="BB24" s="13">
        <f>VLOOKUP(A24,'Données projet'!$A$87:$I$107,9,0)</f>
        <v>23</v>
      </c>
      <c r="BC24" s="13">
        <f t="array" ref="BC24">INDEX(BB:BB,MIN(IF(ISNUMBER(BB24:BB220),ROW(BB24:BB220),"")))</f>
        <v>23</v>
      </c>
      <c r="BD24" s="13">
        <f>IF('Données projet'!$A$88&gt;35,BD23+BC24-BL23,IF(A24&lt;'Données projet'!$A$88,$BA$205^A24,IF(A24='Données projet'!$A$88,'Données projet'!$B$88,BD23+BC24-BL23)))</f>
        <v>252.99999999999997</v>
      </c>
      <c r="BE24" s="14">
        <f>BD24*VLOOKUP('Données projet'!$B$11,Paramètres!$A$1:$I$89,3,0)*VLOOKUP('Données projet'!$B$11,Paramètres!$A$1:$I$89,5,0)</f>
        <v>146.03159999999997</v>
      </c>
      <c r="BF24" s="14">
        <f t="shared" si="37"/>
        <v>37.675350027507093</v>
      </c>
      <c r="BG24" s="22">
        <f t="shared" si="7"/>
        <v>319.95627129790813</v>
      </c>
      <c r="BH24" s="62">
        <f t="shared" si="8"/>
        <v>613.28960463124145</v>
      </c>
      <c r="BI24" s="62">
        <f ca="1">AVERAGE(OFFSET($BH$3,0,0,'Données projet'!$E$11+1,1))-AVERAGE(OFFSET($H$3,0,0,'Données projet'!$E$11+1,1))</f>
        <v>140.99869591649082</v>
      </c>
      <c r="BJ24" s="62">
        <f t="shared" si="38"/>
        <v>425.5885140588652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0.2</v>
      </c>
      <c r="BY24" s="13">
        <f>IF('Données projet'!$A$114&gt;35,BY23+BX24-CG23,IF(A24&lt;'Données projet'!$A$114,$BV$205^A24,IF(A24='Données projet'!$A$114,'Données projet'!$B$114,BY23+BX24-CG23)))</f>
        <v>3.5051440864071934</v>
      </c>
      <c r="BZ24" s="14">
        <f>BY24*VLOOKUP('Données projet'!$B$12,Paramètres!$A$1:$I$89,3,0)*VLOOKUP('Données projet'!$B$12,Paramètres!$A$1:$I$89,5,0)</f>
        <v>3.1714543693812289</v>
      </c>
      <c r="CA24" s="14">
        <f t="shared" si="39"/>
        <v>1.2778034208888056</v>
      </c>
      <c r="CB24" s="22">
        <f t="shared" si="10"/>
        <v>7.7491239847203097</v>
      </c>
      <c r="CC24" s="62">
        <f t="shared" si="11"/>
        <v>301.08245731805363</v>
      </c>
      <c r="CD24" s="62">
        <f ca="1">AVERAGE(OFFSET($CC$3,0,0,'Données projet'!$E$12+1,1))-AVERAGE(OFFSET($H$3,0,0,'Données projet'!$E$12+1,1))</f>
        <v>37.174340347509542</v>
      </c>
      <c r="CE24" s="62">
        <f t="shared" si="40"/>
        <v>-42.822755675927624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0.2</v>
      </c>
      <c r="CT24" s="13">
        <f>IF('Données projet'!$A$140&gt;35,CT23+CS24-DB23,IF(A24&lt;'Données projet'!$A$140,$CQ$205^A24,IF(A24='Données projet'!$A$140,'Données projet'!$B$140,CT23+CS24-DB23)))</f>
        <v>3.5051440864071934</v>
      </c>
      <c r="CU24" s="18">
        <f>CT24*VLOOKUP('Données projet'!$B$13,Paramètres!$A$1:$I$89,3,0)*VLOOKUP('Données projet'!$B$13,Paramètres!$A$1:$I$89,5,0)</f>
        <v>3.6635765991127989</v>
      </c>
      <c r="CV24" s="14">
        <f t="shared" si="41"/>
        <v>1.4515057715322279</v>
      </c>
      <c r="CW24" s="22">
        <f t="shared" si="13"/>
        <v>8.9087684622067549</v>
      </c>
      <c r="CX24" s="62">
        <f t="shared" si="14"/>
        <v>302.24210179554007</v>
      </c>
      <c r="CY24" s="62">
        <f ca="1">AVERAGE(OFFSET($CX$3,0,0,'Données projet'!$E$13+1,1))-AVERAGE(OFFSET($H$3,0,0,'Données projet'!$E$13+1,1))</f>
        <v>63.282881814092605</v>
      </c>
      <c r="CZ24" s="62">
        <f t="shared" si="42"/>
        <v>-40.869120230674525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17.846399999999996</v>
      </c>
      <c r="D25" s="12">
        <f t="shared" si="32"/>
        <v>5.8806075232471633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183.15584754787281</v>
      </c>
      <c r="H25" s="70">
        <f t="shared" si="1"/>
        <v>334.65787143632213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22</v>
      </c>
      <c r="N25" s="14">
        <f>IF('Données projet'!$A$36&gt;35,N24+M25-V24,IF(A25&lt;'Données projet'!$A$36,$K$205^A25,IF(A25='Données projet'!$A$36,'Données projet'!$B$36,N24+M25-V24)))</f>
        <v>275</v>
      </c>
      <c r="O25" s="14">
        <f>N25*VLOOKUP('Données projet'!$B$9,Paramètres!$A$1:$I$89,3,0)*VLOOKUP('Données projet'!$B$9,Paramètres!$A$1:$I$89,5,0)</f>
        <v>139.85400000000001</v>
      </c>
      <c r="P25" s="14">
        <f t="shared" si="33"/>
        <v>36.263556914404674</v>
      </c>
      <c r="Q25" s="22">
        <f t="shared" si="2"/>
        <v>306.73807829258823</v>
      </c>
      <c r="R25" s="62">
        <f t="shared" si="0"/>
        <v>600.07141162592154</v>
      </c>
      <c r="S25" s="62">
        <f ca="1">AVERAGE(OFFSET($R$3,0,0,'Données projet'!$E$9+1,1))-AVERAGE(OFFSET($H$3,0,0,'Données projet'!$E$9+1,1))</f>
        <v>121.64341556501768</v>
      </c>
      <c r="T25" s="62">
        <f t="shared" si="34"/>
        <v>370.21160497429781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22</v>
      </c>
      <c r="AI25" s="14">
        <f>IF('Données projet'!$A$62&gt;35,AI24+AH25-AQ24,IF(A25&lt;'Données projet'!$A$62,$AF$205^A25,IF(A25='Données projet'!$A$62,'Données projet'!$B$62,AI24+AH25-AQ24)))</f>
        <v>275</v>
      </c>
      <c r="AJ25" s="14">
        <f>AI25*VLOOKUP('Données projet'!$B$10,Paramètres!$A$1:$I$89,3,0)*VLOOKUP('Données projet'!$B$10,Paramètres!$A$1:$I$89,5,0)</f>
        <v>158.73000000000002</v>
      </c>
      <c r="AK25" s="14">
        <f t="shared" si="35"/>
        <v>40.55593063907196</v>
      </c>
      <c r="AL25" s="22">
        <f t="shared" si="4"/>
        <v>347.08966252971703</v>
      </c>
      <c r="AM25" s="62">
        <f t="shared" si="5"/>
        <v>640.42299586305035</v>
      </c>
      <c r="AN25" s="62">
        <f ca="1">AVERAGE(OFFSET($AM$3,0,0,'Données projet'!$E$10+1,1))-AVERAGE(OFFSET($H$3,0,0,'Données projet'!$E$10+1,1))</f>
        <v>140.99869591649082</v>
      </c>
      <c r="AO25" s="62">
        <f t="shared" si="36"/>
        <v>425.5885140588652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22</v>
      </c>
      <c r="BD25" s="13">
        <f>IF('Données projet'!$A$88&gt;35,BD24+BC25-BL24,IF(A25&lt;'Données projet'!$A$88,$BA$205^A25,IF(A25='Données projet'!$A$88,'Données projet'!$B$88,BD24+BC25-BL24)))</f>
        <v>275</v>
      </c>
      <c r="BE25" s="14">
        <f>BD25*VLOOKUP('Données projet'!$B$11,Paramètres!$A$1:$I$89,3,0)*VLOOKUP('Données projet'!$B$11,Paramètres!$A$1:$I$89,5,0)</f>
        <v>158.73000000000002</v>
      </c>
      <c r="BF25" s="14">
        <f t="shared" si="37"/>
        <v>40.55593063907196</v>
      </c>
      <c r="BG25" s="22">
        <f t="shared" si="7"/>
        <v>347.08966252971703</v>
      </c>
      <c r="BH25" s="62">
        <f t="shared" si="8"/>
        <v>640.42299586305035</v>
      </c>
      <c r="BI25" s="62">
        <f ca="1">AVERAGE(OFFSET($BH$3,0,0,'Données projet'!$E$11+1,1))-AVERAGE(OFFSET($H$3,0,0,'Données projet'!$E$11+1,1))</f>
        <v>140.99869591649082</v>
      </c>
      <c r="BJ25" s="62">
        <f t="shared" si="38"/>
        <v>425.5885140588652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0.2</v>
      </c>
      <c r="BY25" s="13">
        <f>IF('Données projet'!$A$114&gt;35,BY24+BX25-CG24,IF(A25&lt;'Données projet'!$A$114,$BV$205^A25,IF(A25='Données projet'!$A$114,'Données projet'!$B$114,BY24+BX25-CG24)))</f>
        <v>3.7208678872583478</v>
      </c>
      <c r="BZ25" s="14">
        <f>BY25*VLOOKUP('Données projet'!$B$12,Paramètres!$A$1:$I$89,3,0)*VLOOKUP('Données projet'!$B$12,Paramètres!$A$1:$I$89,5,0)</f>
        <v>3.3666412643913528</v>
      </c>
      <c r="CA25" s="14">
        <f t="shared" si="39"/>
        <v>1.3470483821796895</v>
      </c>
      <c r="CB25" s="22">
        <f t="shared" si="10"/>
        <v>8.2096761344445657</v>
      </c>
      <c r="CC25" s="62">
        <f t="shared" si="11"/>
        <v>301.54300946777789</v>
      </c>
      <c r="CD25" s="62">
        <f ca="1">AVERAGE(OFFSET($CC$3,0,0,'Données projet'!$E$12+1,1))-AVERAGE(OFFSET($H$3,0,0,'Données projet'!$E$12+1,1))</f>
        <v>37.174340347509542</v>
      </c>
      <c r="CE25" s="62">
        <f t="shared" si="40"/>
        <v>-42.822755675927624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0.2</v>
      </c>
      <c r="CT25" s="13">
        <f>IF('Données projet'!$A$140&gt;35,CT24+CS25-DB24,IF(A25&lt;'Données projet'!$A$140,$CQ$205^A25,IF(A25='Données projet'!$A$140,'Données projet'!$B$140,CT24+CS25-DB24)))</f>
        <v>3.7208678872583478</v>
      </c>
      <c r="CU25" s="18">
        <f>CT25*VLOOKUP('Données projet'!$B$13,Paramètres!$A$1:$I$89,3,0)*VLOOKUP('Données projet'!$B$13,Paramètres!$A$1:$I$89,5,0)</f>
        <v>3.8890511157624252</v>
      </c>
      <c r="CV25" s="14">
        <f t="shared" si="41"/>
        <v>1.5301637711276057</v>
      </c>
      <c r="CW25" s="22">
        <f t="shared" si="13"/>
        <v>9.4384659280001362</v>
      </c>
      <c r="CX25" s="62">
        <f t="shared" si="14"/>
        <v>302.77179926133346</v>
      </c>
      <c r="CY25" s="62">
        <f ca="1">AVERAGE(OFFSET($CX$3,0,0,'Données projet'!$E$13+1,1))-AVERAGE(OFFSET($H$3,0,0,'Données projet'!$E$13+1,1))</f>
        <v>63.282881814092605</v>
      </c>
      <c r="CZ25" s="62">
        <f t="shared" si="42"/>
        <v>-40.869120230674525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18.657599999999995</v>
      </c>
      <c r="D26" s="12">
        <f t="shared" si="32"/>
        <v>6.1161796062812925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191.23619345199589</v>
      </c>
      <c r="H26" s="70">
        <f t="shared" si="1"/>
        <v>336.48099948093989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22</v>
      </c>
      <c r="N26" s="14">
        <f>IF('Données projet'!$A$36&gt;35,N25+M26-V25,IF(A26&lt;'Données projet'!$A$36,$K$205^A26,IF(A26='Données projet'!$A$36,'Données projet'!$B$36,N25+M26-V25)))</f>
        <v>297</v>
      </c>
      <c r="O26" s="14">
        <f>N26*VLOOKUP('Données projet'!$B$9,Paramètres!$A$1:$I$89,3,0)*VLOOKUP('Données projet'!$B$9,Paramètres!$A$1:$I$89,5,0)</f>
        <v>151.04232000000002</v>
      </c>
      <c r="P26" s="14">
        <f t="shared" si="33"/>
        <v>38.81536103249411</v>
      </c>
      <c r="Q26" s="22">
        <f t="shared" si="2"/>
        <v>330.66879446492726</v>
      </c>
      <c r="R26" s="62">
        <f t="shared" si="0"/>
        <v>624.00212779826052</v>
      </c>
      <c r="S26" s="62">
        <f ca="1">AVERAGE(OFFSET($R$3,0,0,'Données projet'!$E$9+1,1))-AVERAGE(OFFSET($H$3,0,0,'Données projet'!$E$9+1,1))</f>
        <v>121.64341556501768</v>
      </c>
      <c r="T26" s="62">
        <f t="shared" si="34"/>
        <v>370.21160497429781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22</v>
      </c>
      <c r="AI26" s="14">
        <f>IF('Données projet'!$A$62&gt;35,AI25+AH26-AQ25,IF(A26&lt;'Données projet'!$A$62,$AF$205^A26,IF(A26='Données projet'!$A$62,'Données projet'!$B$62,AI25+AH26-AQ25)))</f>
        <v>297</v>
      </c>
      <c r="AJ26" s="14">
        <f>AI26*VLOOKUP('Données projet'!$B$10,Paramètres!$A$1:$I$89,3,0)*VLOOKUP('Données projet'!$B$10,Paramètres!$A$1:$I$89,5,0)</f>
        <v>171.42840000000001</v>
      </c>
      <c r="AK26" s="14">
        <f t="shared" si="35"/>
        <v>43.409781712258415</v>
      </c>
      <c r="AL26" s="22">
        <f t="shared" si="4"/>
        <v>374.17649981551676</v>
      </c>
      <c r="AM26" s="62">
        <f t="shared" si="5"/>
        <v>667.50983314885002</v>
      </c>
      <c r="AN26" s="62">
        <f ca="1">AVERAGE(OFFSET($AM$3,0,0,'Données projet'!$E$10+1,1))-AVERAGE(OFFSET($H$3,0,0,'Données projet'!$E$10+1,1))</f>
        <v>140.99869591649082</v>
      </c>
      <c r="AO26" s="62">
        <f t="shared" si="36"/>
        <v>425.5885140588652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22</v>
      </c>
      <c r="BD26" s="13">
        <f>IF('Données projet'!$A$88&gt;35,BD25+BC26-BL25,IF(A26&lt;'Données projet'!$A$88,$BA$205^A26,IF(A26='Données projet'!$A$88,'Données projet'!$B$88,BD25+BC26-BL25)))</f>
        <v>297</v>
      </c>
      <c r="BE26" s="14">
        <f>BD26*VLOOKUP('Données projet'!$B$11,Paramètres!$A$1:$I$89,3,0)*VLOOKUP('Données projet'!$B$11,Paramètres!$A$1:$I$89,5,0)</f>
        <v>171.42840000000001</v>
      </c>
      <c r="BF26" s="14">
        <f t="shared" si="37"/>
        <v>43.409781712258415</v>
      </c>
      <c r="BG26" s="22">
        <f t="shared" si="7"/>
        <v>374.17649981551676</v>
      </c>
      <c r="BH26" s="62">
        <f t="shared" si="8"/>
        <v>667.50983314885002</v>
      </c>
      <c r="BI26" s="62">
        <f ca="1">AVERAGE(OFFSET($BH$3,0,0,'Données projet'!$E$11+1,1))-AVERAGE(OFFSET($H$3,0,0,'Données projet'!$E$11+1,1))</f>
        <v>140.99869591649082</v>
      </c>
      <c r="BJ26" s="62">
        <f t="shared" si="38"/>
        <v>425.5885140588652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0.2</v>
      </c>
      <c r="BY26" s="13">
        <f>IF('Données projet'!$A$114&gt;35,BY25+BX26-CG25,IF(A26&lt;'Données projet'!$A$114,$BV$205^A26,IF(A26='Données projet'!$A$114,'Données projet'!$B$114,BY25+BX26-CG25)))</f>
        <v>3.9498683914650461</v>
      </c>
      <c r="BZ26" s="14">
        <f>BY26*VLOOKUP('Données projet'!$B$12,Paramètres!$A$1:$I$89,3,0)*VLOOKUP('Données projet'!$B$12,Paramètres!$A$1:$I$89,5,0)</f>
        <v>3.5738409205975734</v>
      </c>
      <c r="CA26" s="14">
        <f t="shared" si="39"/>
        <v>1.4200457709455603</v>
      </c>
      <c r="CB26" s="22">
        <f t="shared" si="10"/>
        <v>8.6976859877709582</v>
      </c>
      <c r="CC26" s="62">
        <f t="shared" si="11"/>
        <v>302.03101932110428</v>
      </c>
      <c r="CD26" s="62">
        <f ca="1">AVERAGE(OFFSET($CC$3,0,0,'Données projet'!$E$12+1,1))-AVERAGE(OFFSET($H$3,0,0,'Données projet'!$E$12+1,1))</f>
        <v>37.174340347509542</v>
      </c>
      <c r="CE26" s="62">
        <f t="shared" si="40"/>
        <v>-42.822755675927624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0.2</v>
      </c>
      <c r="CT26" s="13">
        <f>IF('Données projet'!$A$140&gt;35,CT25+CS26-DB25,IF(A26&lt;'Données projet'!$A$140,$CQ$205^A26,IF(A26='Données projet'!$A$140,'Données projet'!$B$140,CT25+CS26-DB25)))</f>
        <v>3.9498683914650461</v>
      </c>
      <c r="CU26" s="18">
        <f>CT26*VLOOKUP('Données projet'!$B$13,Paramètres!$A$1:$I$89,3,0)*VLOOKUP('Données projet'!$B$13,Paramètres!$A$1:$I$89,5,0)</f>
        <v>4.1284024427592669</v>
      </c>
      <c r="CV26" s="14">
        <f t="shared" si="41"/>
        <v>1.6130842965921128</v>
      </c>
      <c r="CW26" s="22">
        <f t="shared" si="13"/>
        <v>9.9997560710369875</v>
      </c>
      <c r="CX26" s="62">
        <f t="shared" si="14"/>
        <v>303.3330894043703</v>
      </c>
      <c r="CY26" s="62">
        <f ca="1">AVERAGE(OFFSET($CX$3,0,0,'Données projet'!$E$13+1,1))-AVERAGE(OFFSET($H$3,0,0,'Données projet'!$E$13+1,1))</f>
        <v>63.282881814092605</v>
      </c>
      <c r="CZ26" s="62">
        <f t="shared" si="42"/>
        <v>-40.869120230674525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19.468799999999995</v>
      </c>
      <c r="D27" s="12">
        <f t="shared" si="32"/>
        <v>6.3505621056489936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199.30735660500974</v>
      </c>
      <c r="H27" s="70">
        <f t="shared" si="1"/>
        <v>338.30205566733866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319</v>
      </c>
      <c r="L27" s="13">
        <f>VLOOKUP(A27,'Données projet'!$A$35:$I$55,9,0)</f>
        <v>22</v>
      </c>
      <c r="M27" s="13">
        <f t="array" ref="M27">INDEX(L:L,MIN(IF(ISNUMBER(L27:L223),ROW(L27:L223),"")))</f>
        <v>22</v>
      </c>
      <c r="N27" s="14">
        <f>IF('Données projet'!$A$36&gt;35,N26+M27-V26,IF(A27&lt;'Données projet'!$A$36,$K$205^A27,IF(A27='Données projet'!$A$36,'Données projet'!$B$36,N26+M27-V26)))</f>
        <v>319</v>
      </c>
      <c r="O27" s="14">
        <f>N27*VLOOKUP('Données projet'!$B$9,Paramètres!$A$1:$I$89,3,0)*VLOOKUP('Données projet'!$B$9,Paramètres!$A$1:$I$89,5,0)</f>
        <v>162.23063999999999</v>
      </c>
      <c r="P27" s="14">
        <f t="shared" si="33"/>
        <v>41.34523635268306</v>
      </c>
      <c r="Q27" s="22">
        <f t="shared" si="2"/>
        <v>354.56131798092298</v>
      </c>
      <c r="R27" s="62">
        <f t="shared" si="0"/>
        <v>647.89465131425629</v>
      </c>
      <c r="S27" s="62">
        <f ca="1">AVERAGE(OFFSET($R$3,0,0,'Données projet'!$E$9+1,1))-AVERAGE(OFFSET($H$3,0,0,'Données projet'!$E$9+1,1))</f>
        <v>121.64341556501768</v>
      </c>
      <c r="T27" s="62">
        <f t="shared" si="34"/>
        <v>370.21160497429781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>
        <f>VLOOKUP(A27,'Données projet'!$A$61:$I$81,2,0)</f>
        <v>319</v>
      </c>
      <c r="AG27" s="13">
        <f>VLOOKUP(A27,'Données projet'!$A$61:$I$81,9,0)</f>
        <v>22</v>
      </c>
      <c r="AH27" s="13">
        <f t="array" ref="AH27">INDEX(AG:AG,MIN(IF(ISNUMBER(AG27:AG223),ROW(AG27:AG223),"")))</f>
        <v>22</v>
      </c>
      <c r="AI27" s="14">
        <f>IF('Données projet'!$A$62&gt;35,AI26+AH27-AQ26,IF(A27&lt;'Données projet'!$A$62,$AF$205^A27,IF(A27='Données projet'!$A$62,'Données projet'!$B$62,AI26+AH27-AQ26)))</f>
        <v>319</v>
      </c>
      <c r="AJ27" s="14">
        <f>AI27*VLOOKUP('Données projet'!$B$10,Paramètres!$A$1:$I$89,3,0)*VLOOKUP('Données projet'!$B$10,Paramètres!$A$1:$I$89,5,0)</f>
        <v>184.1268</v>
      </c>
      <c r="AK27" s="14">
        <f t="shared" si="35"/>
        <v>46.239108362516738</v>
      </c>
      <c r="AL27" s="22">
        <f t="shared" si="4"/>
        <v>401.22062373138328</v>
      </c>
      <c r="AM27" s="62">
        <f t="shared" si="5"/>
        <v>694.55395706471654</v>
      </c>
      <c r="AN27" s="62">
        <f ca="1">AVERAGE(OFFSET($AM$3,0,0,'Données projet'!$E$10+1,1))-AVERAGE(OFFSET($H$3,0,0,'Données projet'!$E$10+1,1))</f>
        <v>140.99869591649082</v>
      </c>
      <c r="AO27" s="62">
        <f t="shared" si="36"/>
        <v>425.5885140588652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>
        <f>VLOOKUP(A27,'Données projet'!$A$87:$I$107,2,0)</f>
        <v>319</v>
      </c>
      <c r="BB27" s="13">
        <f>VLOOKUP(A27,'Données projet'!$A$87:$I$107,9,0)</f>
        <v>22</v>
      </c>
      <c r="BC27" s="13">
        <f t="array" ref="BC27">INDEX(BB:BB,MIN(IF(ISNUMBER(BB27:BB223),ROW(BB27:BB223),"")))</f>
        <v>22</v>
      </c>
      <c r="BD27" s="13">
        <f>IF('Données projet'!$A$88&gt;35,BD26+BC27-BL26,IF(A27&lt;'Données projet'!$A$88,$BA$205^A27,IF(A27='Données projet'!$A$88,'Données projet'!$B$88,BD26+BC27-BL26)))</f>
        <v>319</v>
      </c>
      <c r="BE27" s="14">
        <f>BD27*VLOOKUP('Données projet'!$B$11,Paramètres!$A$1:$I$89,3,0)*VLOOKUP('Données projet'!$B$11,Paramètres!$A$1:$I$89,5,0)</f>
        <v>184.1268</v>
      </c>
      <c r="BF27" s="14">
        <f t="shared" si="37"/>
        <v>46.239108362516738</v>
      </c>
      <c r="BG27" s="22">
        <f t="shared" si="7"/>
        <v>401.22062373138328</v>
      </c>
      <c r="BH27" s="62">
        <f t="shared" si="8"/>
        <v>694.55395706471654</v>
      </c>
      <c r="BI27" s="62">
        <f ca="1">AVERAGE(OFFSET($BH$3,0,0,'Données projet'!$E$11+1,1))-AVERAGE(OFFSET($H$3,0,0,'Données projet'!$E$11+1,1))</f>
        <v>140.99869591649082</v>
      </c>
      <c r="BJ27" s="62">
        <f t="shared" si="38"/>
        <v>425.5885140588652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0.2</v>
      </c>
      <c r="BY27" s="13">
        <f>IF('Données projet'!$A$114&gt;35,BY26+BX27-CG26,IF(A27&lt;'Données projet'!$A$114,$BV$205^A27,IF(A27='Données projet'!$A$114,'Données projet'!$B$114,BY26+BX27-CG26)))</f>
        <v>4.1929627126294768</v>
      </c>
      <c r="BZ27" s="14">
        <f>BY27*VLOOKUP('Données projet'!$B$12,Paramètres!$A$1:$I$89,3,0)*VLOOKUP('Données projet'!$B$12,Paramètres!$A$1:$I$89,5,0)</f>
        <v>3.7937926623871503</v>
      </c>
      <c r="CA27" s="14">
        <f t="shared" si="39"/>
        <v>1.4969989335627121</v>
      </c>
      <c r="CB27" s="22">
        <f t="shared" si="10"/>
        <v>9.2147953629460098</v>
      </c>
      <c r="CC27" s="62">
        <f t="shared" si="11"/>
        <v>302.54812869627932</v>
      </c>
      <c r="CD27" s="62">
        <f ca="1">AVERAGE(OFFSET($CC$3,0,0,'Données projet'!$E$12+1,1))-AVERAGE(OFFSET($H$3,0,0,'Données projet'!$E$12+1,1))</f>
        <v>37.174340347509542</v>
      </c>
      <c r="CE27" s="62">
        <f t="shared" si="40"/>
        <v>-42.822755675927624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0.2</v>
      </c>
      <c r="CT27" s="13">
        <f>IF('Données projet'!$A$140&gt;35,CT26+CS27-DB26,IF(A27&lt;'Données projet'!$A$140,$CQ$205^A27,IF(A27='Données projet'!$A$140,'Données projet'!$B$140,CT26+CS27-DB26)))</f>
        <v>4.1929627126294768</v>
      </c>
      <c r="CU27" s="18">
        <f>CT27*VLOOKUP('Données projet'!$B$13,Paramètres!$A$1:$I$89,3,0)*VLOOKUP('Données projet'!$B$13,Paramètres!$A$1:$I$89,5,0)</f>
        <v>4.3824846272403297</v>
      </c>
      <c r="CV27" s="14">
        <f t="shared" si="41"/>
        <v>1.7004983368509496</v>
      </c>
      <c r="CW27" s="22">
        <f t="shared" si="13"/>
        <v>10.594528662458979</v>
      </c>
      <c r="CX27" s="62">
        <f t="shared" si="14"/>
        <v>303.92786199579228</v>
      </c>
      <c r="CY27" s="62">
        <f ca="1">AVERAGE(OFFSET($CX$3,0,0,'Données projet'!$E$13+1,1))-AVERAGE(OFFSET($H$3,0,0,'Données projet'!$E$13+1,1))</f>
        <v>63.282881814092605</v>
      </c>
      <c r="CZ27" s="62">
        <f t="shared" si="42"/>
        <v>-40.869120230674525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20.279999999999994</v>
      </c>
      <c r="D28" s="12">
        <f t="shared" si="32"/>
        <v>6.5838102554415281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207.36976337533807</v>
      </c>
      <c r="H28" s="70">
        <f t="shared" si="1"/>
        <v>340.12113619489395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20.333333333333332</v>
      </c>
      <c r="N28" s="14">
        <f>IF('Données projet'!$A$36&gt;35,N27+M28-V27,IF(A28&lt;'Données projet'!$A$36,$K$205^A28,IF(A28='Données projet'!$A$36,'Données projet'!$B$36,N27+M28-V27)))</f>
        <v>339.33333333333331</v>
      </c>
      <c r="O28" s="14">
        <f>N28*VLOOKUP('Données projet'!$B$9,Paramètres!$A$1:$I$89,3,0)*VLOOKUP('Données projet'!$B$9,Paramètres!$A$1:$I$89,5,0)</f>
        <v>172.57136</v>
      </c>
      <c r="P28" s="14">
        <f t="shared" si="33"/>
        <v>43.66541854708187</v>
      </c>
      <c r="Q28" s="22">
        <f t="shared" si="2"/>
        <v>376.61238930283429</v>
      </c>
      <c r="R28" s="62">
        <f t="shared" si="0"/>
        <v>669.9457226361676</v>
      </c>
      <c r="S28" s="62">
        <f ca="1">AVERAGE(OFFSET($R$3,0,0,'Données projet'!$E$9+1,1))-AVERAGE(OFFSET($H$3,0,0,'Données projet'!$E$9+1,1))</f>
        <v>121.64341556501768</v>
      </c>
      <c r="T28" s="62">
        <f t="shared" si="34"/>
        <v>370.21160497429781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20.333333333333332</v>
      </c>
      <c r="AI28" s="14">
        <f>IF('Données projet'!$A$62&gt;35,AI27+AH28-AQ27,IF(A28&lt;'Données projet'!$A$62,$AF$205^A28,IF(A28='Données projet'!$A$62,'Données projet'!$B$62,AI27+AH28-AQ27)))</f>
        <v>339.33333333333331</v>
      </c>
      <c r="AJ28" s="14">
        <f>AI28*VLOOKUP('Données projet'!$B$10,Paramètres!$A$1:$I$89,3,0)*VLOOKUP('Données projet'!$B$10,Paramètres!$A$1:$I$89,5,0)</f>
        <v>195.86320000000001</v>
      </c>
      <c r="AK28" s="14">
        <f t="shared" si="35"/>
        <v>48.833921341512472</v>
      </c>
      <c r="AL28" s="22">
        <f t="shared" si="4"/>
        <v>426.18081966980088</v>
      </c>
      <c r="AM28" s="62">
        <f t="shared" si="5"/>
        <v>719.5141530031342</v>
      </c>
      <c r="AN28" s="62">
        <f ca="1">AVERAGE(OFFSET($AM$3,0,0,'Données projet'!$E$10+1,1))-AVERAGE(OFFSET($H$3,0,0,'Données projet'!$E$10+1,1))</f>
        <v>140.99869591649082</v>
      </c>
      <c r="AO28" s="62">
        <f t="shared" si="36"/>
        <v>425.5885140588652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20.333333333333332</v>
      </c>
      <c r="BD28" s="13">
        <f>IF('Données projet'!$A$88&gt;35,BD27+BC28-BL27,IF(A28&lt;'Données projet'!$A$88,$BA$205^A28,IF(A28='Données projet'!$A$88,'Données projet'!$B$88,BD27+BC28-BL27)))</f>
        <v>339.33333333333331</v>
      </c>
      <c r="BE28" s="14">
        <f>BD28*VLOOKUP('Données projet'!$B$11,Paramètres!$A$1:$I$89,3,0)*VLOOKUP('Données projet'!$B$11,Paramètres!$A$1:$I$89,5,0)</f>
        <v>195.86320000000001</v>
      </c>
      <c r="BF28" s="14">
        <f t="shared" si="37"/>
        <v>48.833921341512472</v>
      </c>
      <c r="BG28" s="22">
        <f t="shared" si="7"/>
        <v>426.18081966980088</v>
      </c>
      <c r="BH28" s="62">
        <f t="shared" si="8"/>
        <v>719.5141530031342</v>
      </c>
      <c r="BI28" s="62">
        <f ca="1">AVERAGE(OFFSET($BH$3,0,0,'Données projet'!$E$11+1,1))-AVERAGE(OFFSET($H$3,0,0,'Données projet'!$E$11+1,1))</f>
        <v>140.99869591649082</v>
      </c>
      <c r="BJ28" s="62">
        <f t="shared" si="38"/>
        <v>425.5885140588652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0.2</v>
      </c>
      <c r="BY28" s="13">
        <f>IF('Données projet'!$A$114&gt;35,BY27+BX28-CG27,IF(A28&lt;'Données projet'!$A$114,$BV$205^A28,IF(A28='Données projet'!$A$114,'Données projet'!$B$114,BY27+BX28-CG27)))</f>
        <v>4.4510182535424141</v>
      </c>
      <c r="BZ28" s="14">
        <f>BY28*VLOOKUP('Données projet'!$B$12,Paramètres!$A$1:$I$89,3,0)*VLOOKUP('Données projet'!$B$12,Paramètres!$A$1:$I$89,5,0)</f>
        <v>4.0272813158051761</v>
      </c>
      <c r="CA28" s="14">
        <f t="shared" si="39"/>
        <v>1.5781222358739093</v>
      </c>
      <c r="CB28" s="22">
        <f t="shared" si="10"/>
        <v>9.7627445191744062</v>
      </c>
      <c r="CC28" s="62">
        <f t="shared" si="11"/>
        <v>303.09607785250773</v>
      </c>
      <c r="CD28" s="62">
        <f ca="1">AVERAGE(OFFSET($CC$3,0,0,'Données projet'!$E$12+1,1))-AVERAGE(OFFSET($H$3,0,0,'Données projet'!$E$12+1,1))</f>
        <v>37.174340347509542</v>
      </c>
      <c r="CE28" s="62">
        <f t="shared" si="40"/>
        <v>-42.822755675927624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0.2</v>
      </c>
      <c r="CT28" s="13">
        <f>IF('Données projet'!$A$140&gt;35,CT27+CS28-DB27,IF(A28&lt;'Données projet'!$A$140,$CQ$205^A28,IF(A28='Données projet'!$A$140,'Données projet'!$B$140,CT27+CS28-DB27)))</f>
        <v>4.4510182535424141</v>
      </c>
      <c r="CU28" s="18">
        <f>CT28*VLOOKUP('Données projet'!$B$13,Paramètres!$A$1:$I$89,3,0)*VLOOKUP('Données projet'!$B$13,Paramètres!$A$1:$I$89,5,0)</f>
        <v>4.6522042786025315</v>
      </c>
      <c r="CV28" s="14">
        <f t="shared" si="41"/>
        <v>1.7926493982626899</v>
      </c>
      <c r="CW28" s="22">
        <f t="shared" si="13"/>
        <v>11.224786820540261</v>
      </c>
      <c r="CX28" s="62">
        <f t="shared" si="14"/>
        <v>304.55812015387357</v>
      </c>
      <c r="CY28" s="62">
        <f ca="1">AVERAGE(OFFSET($CX$3,0,0,'Données projet'!$E$13+1,1))-AVERAGE(OFFSET($H$3,0,0,'Données projet'!$E$13+1,1))</f>
        <v>63.282881814092605</v>
      </c>
      <c r="CZ28" s="62">
        <f t="shared" si="42"/>
        <v>-40.869120230674525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21.091199999999994</v>
      </c>
      <c r="D29" s="12">
        <f t="shared" si="32"/>
        <v>6.8159746209088015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215.42380409122578</v>
      </c>
      <c r="H29" s="70">
        <f t="shared" si="1"/>
        <v>341.93832913141614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20.333333333333332</v>
      </c>
      <c r="N29" s="14">
        <f>IF('Données projet'!$A$36&gt;35,N28+M29-V28,IF(A29&lt;'Données projet'!$A$36,$K$205^A29,IF(A29='Données projet'!$A$36,'Données projet'!$B$36,N28+M29-V28)))</f>
        <v>359.66666666666663</v>
      </c>
      <c r="O29" s="14">
        <f>N29*VLOOKUP('Données projet'!$B$9,Paramètres!$A$1:$I$89,3,0)*VLOOKUP('Données projet'!$B$9,Paramètres!$A$1:$I$89,5,0)</f>
        <v>182.91207999999997</v>
      </c>
      <c r="P29" s="14">
        <f t="shared" si="33"/>
        <v>45.969463926288931</v>
      </c>
      <c r="Q29" s="22">
        <f t="shared" si="2"/>
        <v>398.63535567161983</v>
      </c>
      <c r="R29" s="62">
        <f t="shared" si="0"/>
        <v>691.96868900495315</v>
      </c>
      <c r="S29" s="62">
        <f ca="1">AVERAGE(OFFSET($R$3,0,0,'Données projet'!$E$9+1,1))-AVERAGE(OFFSET($H$3,0,0,'Données projet'!$E$9+1,1))</f>
        <v>121.64341556501768</v>
      </c>
      <c r="T29" s="62">
        <f t="shared" si="34"/>
        <v>370.21160497429781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20.333333333333332</v>
      </c>
      <c r="AI29" s="14">
        <f>IF('Données projet'!$A$62&gt;35,AI28+AH29-AQ28,IF(A29&lt;'Données projet'!$A$62,$AF$205^A29,IF(A29='Données projet'!$A$62,'Données projet'!$B$62,AI28+AH29-AQ28)))</f>
        <v>359.66666666666663</v>
      </c>
      <c r="AJ29" s="14">
        <f>AI29*VLOOKUP('Données projet'!$B$10,Paramètres!$A$1:$I$89,3,0)*VLOOKUP('Données projet'!$B$10,Paramètres!$A$1:$I$89,5,0)</f>
        <v>207.59959999999998</v>
      </c>
      <c r="AK29" s="14">
        <f t="shared" si="35"/>
        <v>51.410687454361153</v>
      </c>
      <c r="AL29" s="22">
        <f t="shared" si="4"/>
        <v>451.10958398301227</v>
      </c>
      <c r="AM29" s="62">
        <f t="shared" si="5"/>
        <v>744.44291731634553</v>
      </c>
      <c r="AN29" s="62">
        <f ca="1">AVERAGE(OFFSET($AM$3,0,0,'Données projet'!$E$10+1,1))-AVERAGE(OFFSET($H$3,0,0,'Données projet'!$E$10+1,1))</f>
        <v>140.99869591649082</v>
      </c>
      <c r="AO29" s="62">
        <f t="shared" si="36"/>
        <v>425.5885140588652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20.333333333333332</v>
      </c>
      <c r="BD29" s="13">
        <f>IF('Données projet'!$A$88&gt;35,BD28+BC29-BL28,IF(A29&lt;'Données projet'!$A$88,$BA$205^A29,IF(A29='Données projet'!$A$88,'Données projet'!$B$88,BD28+BC29-BL28)))</f>
        <v>359.66666666666663</v>
      </c>
      <c r="BE29" s="14">
        <f>BD29*VLOOKUP('Données projet'!$B$11,Paramètres!$A$1:$I$89,3,0)*VLOOKUP('Données projet'!$B$11,Paramètres!$A$1:$I$89,5,0)</f>
        <v>207.59959999999998</v>
      </c>
      <c r="BF29" s="14">
        <f t="shared" si="37"/>
        <v>51.410687454361153</v>
      </c>
      <c r="BG29" s="22">
        <f t="shared" si="7"/>
        <v>451.10958398301227</v>
      </c>
      <c r="BH29" s="62">
        <f t="shared" si="8"/>
        <v>744.44291731634553</v>
      </c>
      <c r="BI29" s="62">
        <f ca="1">AVERAGE(OFFSET($BH$3,0,0,'Données projet'!$E$11+1,1))-AVERAGE(OFFSET($H$3,0,0,'Données projet'!$E$11+1,1))</f>
        <v>140.99869591649082</v>
      </c>
      <c r="BJ29" s="62">
        <f t="shared" si="38"/>
        <v>425.5885140588652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0.2</v>
      </c>
      <c r="BY29" s="13">
        <f>IF('Données projet'!$A$114&gt;35,BY28+BX29-CG28,IF(A29&lt;'Données projet'!$A$114,$BV$205^A29,IF(A29='Données projet'!$A$114,'Données projet'!$B$114,BY28+BX29-CG28)))</f>
        <v>4.72495580122715</v>
      </c>
      <c r="BZ29" s="14">
        <f>BY29*VLOOKUP('Données projet'!$B$12,Paramètres!$A$1:$I$89,3,0)*VLOOKUP('Données projet'!$B$12,Paramètres!$A$1:$I$89,5,0)</f>
        <v>4.2751400089503253</v>
      </c>
      <c r="CA29" s="14">
        <f t="shared" si="39"/>
        <v>1.6636416603401252</v>
      </c>
      <c r="CB29" s="22">
        <f t="shared" si="10"/>
        <v>10.343378074014201</v>
      </c>
      <c r="CC29" s="62">
        <f t="shared" si="11"/>
        <v>303.67671140734751</v>
      </c>
      <c r="CD29" s="62">
        <f ca="1">AVERAGE(OFFSET($CC$3,0,0,'Données projet'!$E$12+1,1))-AVERAGE(OFFSET($H$3,0,0,'Données projet'!$E$12+1,1))</f>
        <v>37.174340347509542</v>
      </c>
      <c r="CE29" s="62">
        <f t="shared" si="40"/>
        <v>-42.822755675927624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0.2</v>
      </c>
      <c r="CT29" s="13">
        <f>IF('Données projet'!$A$140&gt;35,CT28+CS29-DB28,IF(A29&lt;'Données projet'!$A$140,$CQ$205^A29,IF(A29='Données projet'!$A$140,'Données projet'!$B$140,CT28+CS29-DB28)))</f>
        <v>4.72495580122715</v>
      </c>
      <c r="CU29" s="18">
        <f>CT29*VLOOKUP('Données projet'!$B$13,Paramètres!$A$1:$I$89,3,0)*VLOOKUP('Données projet'!$B$13,Paramètres!$A$1:$I$89,5,0)</f>
        <v>4.9385238034426173</v>
      </c>
      <c r="CV29" s="14">
        <f t="shared" si="41"/>
        <v>1.8897941829467719</v>
      </c>
      <c r="CW29" s="22">
        <f t="shared" si="13"/>
        <v>11.892653826294852</v>
      </c>
      <c r="CX29" s="62">
        <f t="shared" si="14"/>
        <v>305.22598715962818</v>
      </c>
      <c r="CY29" s="62">
        <f ca="1">AVERAGE(OFFSET($CX$3,0,0,'Données projet'!$E$13+1,1))-AVERAGE(OFFSET($H$3,0,0,'Données projet'!$E$13+1,1))</f>
        <v>63.282881814092605</v>
      </c>
      <c r="CZ29" s="62">
        <f t="shared" si="42"/>
        <v>-40.869120230674525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21.902399999999993</v>
      </c>
      <c r="D30" s="12">
        <f t="shared" si="32"/>
        <v>7.047101657391166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223.4698373553002</v>
      </c>
      <c r="H30" s="70">
        <f t="shared" si="1"/>
        <v>343.7537153866229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>
        <f>VLOOKUP(A30,'Données projet'!$A$35:$I$55,2,0)</f>
        <v>380</v>
      </c>
      <c r="L30" s="13">
        <f>VLOOKUP(A30,'Données projet'!$A$35:$I$55,9,0)</f>
        <v>20.333333333333332</v>
      </c>
      <c r="M30" s="13">
        <f t="array" ref="M30">INDEX(L:L,MIN(IF(ISNUMBER(L30:L226),ROW(L30:L226),"")))</f>
        <v>20.333333333333332</v>
      </c>
      <c r="N30" s="14">
        <f>IF('Données projet'!$A$36&gt;35,N29+M30-V29,IF(A30&lt;'Données projet'!$A$36,$K$205^A30,IF(A30='Données projet'!$A$36,'Données projet'!$B$36,N29+M30-V29)))</f>
        <v>379.99999999999994</v>
      </c>
      <c r="O30" s="14">
        <f>N30*VLOOKUP('Données projet'!$B$9,Paramètres!$A$1:$I$89,3,0)*VLOOKUP('Données projet'!$B$9,Paramètres!$A$1:$I$89,5,0)</f>
        <v>193.25279999999998</v>
      </c>
      <c r="P30" s="14">
        <f t="shared" si="33"/>
        <v>48.258388723973674</v>
      </c>
      <c r="Q30" s="22">
        <f t="shared" si="2"/>
        <v>420.63198702758746</v>
      </c>
      <c r="R30" s="62">
        <f t="shared" si="0"/>
        <v>713.96532036092071</v>
      </c>
      <c r="S30" s="62">
        <f ca="1">AVERAGE(OFFSET($R$3,0,0,'Données projet'!$E$9+1,1))-AVERAGE(OFFSET($H$3,0,0,'Données projet'!$E$9+1,1))</f>
        <v>121.64341556501768</v>
      </c>
      <c r="T30" s="62">
        <f t="shared" si="34"/>
        <v>370.21160497429781</v>
      </c>
      <c r="U30" s="16">
        <f>IF(ISNA(VLOOKUP(A30,'Données projet'!$A$35:$I$55,3,0)),0,VLOOKUP(A30,'Données projet'!$A$35:$I$55,3,0))</f>
        <v>1</v>
      </c>
      <c r="V30" s="16">
        <f>IF(ISNA(VLOOKUP(A30,'Données projet'!$A$35:$I$55,4,0)),0,VLOOKUP(A30,'Données projet'!$A$35:$I$55,4,0))</f>
        <v>380</v>
      </c>
      <c r="W30" s="17">
        <f>IF(ISNA(VLOOKUP(A30,'Données projet'!$A$35:$I$55,5,0)),0%,VLOOKUP(A30,'Données projet'!$A$35:$I$55,5,0)*VLOOKUP('Données projet'!$B$9,Paramètres!$A$1:$I$89,7,0))</f>
        <v>0.378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80.754123049162416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80.754123049162416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>
        <f>VLOOKUP(A30,'Données projet'!$A$61:$I$81,2,0)</f>
        <v>380</v>
      </c>
      <c r="AG30" s="13">
        <f>VLOOKUP(A30,'Données projet'!$A$61:$I$81,9,0)</f>
        <v>20.333333333333332</v>
      </c>
      <c r="AH30" s="13">
        <f t="array" ref="AH30">INDEX(AG:AG,MIN(IF(ISNUMBER(AG30:AG226),ROW(AG30:AG226),"")))</f>
        <v>20.333333333333332</v>
      </c>
      <c r="AI30" s="14">
        <f>IF('Données projet'!$A$62&gt;35,AI29+AH30-AQ29,IF(A30&lt;'Données projet'!$A$62,$AF$205^A30,IF(A30='Données projet'!$A$62,'Données projet'!$B$62,AI29+AH30-AQ29)))</f>
        <v>379.99999999999994</v>
      </c>
      <c r="AJ30" s="14">
        <f>AI30*VLOOKUP('Données projet'!$B$10,Paramètres!$A$1:$I$89,3,0)*VLOOKUP('Données projet'!$B$10,Paramètres!$A$1:$I$89,5,0)</f>
        <v>219.33599999999996</v>
      </c>
      <c r="AK30" s="14">
        <f t="shared" si="35"/>
        <v>53.970543222289891</v>
      </c>
      <c r="AL30" s="22">
        <f t="shared" si="4"/>
        <v>476.00889611215479</v>
      </c>
      <c r="AM30" s="62">
        <f t="shared" si="5"/>
        <v>769.3422294454881</v>
      </c>
      <c r="AN30" s="62">
        <f ca="1">AVERAGE(OFFSET($AM$3,0,0,'Données projet'!$E$10+1,1))-AVERAGE(OFFSET($H$3,0,0,'Données projet'!$E$10+1,1))</f>
        <v>140.99869591649082</v>
      </c>
      <c r="AO30" s="62">
        <f t="shared" si="36"/>
        <v>425.5885140588652</v>
      </c>
      <c r="AP30" s="16">
        <f>IF(ISNA(VLOOKUP(A30,'Données projet'!$A$61:$I$81,3,0)),0,VLOOKUP(A30,'Données projet'!$A$61:$I$81,3,0))</f>
        <v>1</v>
      </c>
      <c r="AQ30" s="16">
        <f>IF(ISNA(VLOOKUP(A30,'Données projet'!$A$61:$I$81,4,0)),0,VLOOKUP(A30,'Données projet'!$A$61:$I$81,4,0))</f>
        <v>380</v>
      </c>
      <c r="AR30" s="17">
        <f>IF(ISNA(VLOOKUP(A30,'Données projet'!$A$61:$I$81,5,0)),0%,VLOOKUP(A30,'Données projet'!$A$61:$I$81,5,0)*VLOOKUP('Données projet'!$B$10,Paramètres!$A$1:$I$89,7,0))</f>
        <v>0.378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91.653452540460407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91.653452540460407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>
        <f>VLOOKUP(A30,'Données projet'!$A$87:$I$107,2,0)</f>
        <v>380</v>
      </c>
      <c r="BB30" s="13">
        <f>VLOOKUP(A30,'Données projet'!$A$87:$I$107,9,0)</f>
        <v>20.333333333333332</v>
      </c>
      <c r="BC30" s="13">
        <f t="array" ref="BC30">INDEX(BB:BB,MIN(IF(ISNUMBER(BB30:BB226),ROW(BB30:BB226),"")))</f>
        <v>20.333333333333332</v>
      </c>
      <c r="BD30" s="13">
        <f>IF('Données projet'!$A$88&gt;35,BD29+BC30-BL29,IF(A30&lt;'Données projet'!$A$88,$BA$205^A30,IF(A30='Données projet'!$A$88,'Données projet'!$B$88,BD29+BC30-BL29)))</f>
        <v>379.99999999999994</v>
      </c>
      <c r="BE30" s="14">
        <f>BD30*VLOOKUP('Données projet'!$B$11,Paramètres!$A$1:$I$89,3,0)*VLOOKUP('Données projet'!$B$11,Paramètres!$A$1:$I$89,5,0)</f>
        <v>219.33599999999996</v>
      </c>
      <c r="BF30" s="14">
        <f t="shared" si="37"/>
        <v>53.970543222289891</v>
      </c>
      <c r="BG30" s="22">
        <f t="shared" si="7"/>
        <v>476.00889611215479</v>
      </c>
      <c r="BH30" s="62">
        <f t="shared" si="8"/>
        <v>769.3422294454881</v>
      </c>
      <c r="BI30" s="62">
        <f ca="1">AVERAGE(OFFSET($BH$3,0,0,'Données projet'!$E$11+1,1))-AVERAGE(OFFSET($H$3,0,0,'Données projet'!$E$11+1,1))</f>
        <v>140.99869591649082</v>
      </c>
      <c r="BJ30" s="62">
        <f t="shared" si="38"/>
        <v>425.5885140588652</v>
      </c>
      <c r="BK30" s="16">
        <f>IF(ISNA(VLOOKUP(A30,'Données projet'!$A$87:$I$107,3,0)),0,VLOOKUP(A30,'Données projet'!$A$87:$I$107,3,0))</f>
        <v>1</v>
      </c>
      <c r="BL30" s="16">
        <f>IF(ISNA(VLOOKUP(A30,'Données projet'!$A$87:$I$107,4,0)),0,VLOOKUP(A30,'Données projet'!$A$87:$I$107,4,0))</f>
        <v>380</v>
      </c>
      <c r="BM30" s="17">
        <f>IF(ISNA(VLOOKUP(A30,'Données projet'!$A$87:$I$107,5,0)),0%,VLOOKUP(A30,'Données projet'!$A$87:$I$107,5,0)*VLOOKUP('Données projet'!$B$11,Paramètres!$A$1:$I$89,7,0))</f>
        <v>0.378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91.653452540460407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91.653452540460407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0.2</v>
      </c>
      <c r="BY30" s="13">
        <f>IF('Données projet'!$A$114&gt;35,BY29+BX30-CG29,IF(A30&lt;'Données projet'!$A$114,$BV$205^A30,IF(A30='Données projet'!$A$114,'Données projet'!$B$114,BY29+BX30-CG29)))</f>
        <v>5.0157528124676221</v>
      </c>
      <c r="BZ30" s="14">
        <f>BY30*VLOOKUP('Données projet'!$B$12,Paramètres!$A$1:$I$89,3,0)*VLOOKUP('Données projet'!$B$12,Paramètres!$A$1:$I$89,5,0)</f>
        <v>4.5382531447207048</v>
      </c>
      <c r="CA30" s="14">
        <f t="shared" si="39"/>
        <v>1.7537954355522967</v>
      </c>
      <c r="CB30" s="22">
        <f t="shared" si="10"/>
        <v>10.95865127730881</v>
      </c>
      <c r="CC30" s="62">
        <f t="shared" si="11"/>
        <v>304.29198461064215</v>
      </c>
      <c r="CD30" s="62">
        <f ca="1">AVERAGE(OFFSET($CC$3,0,0,'Données projet'!$E$12+1,1))-AVERAGE(OFFSET($H$3,0,0,'Données projet'!$E$12+1,1))</f>
        <v>37.174340347509542</v>
      </c>
      <c r="CE30" s="62">
        <f t="shared" si="40"/>
        <v>-42.822755675927624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0.2</v>
      </c>
      <c r="CT30" s="13">
        <f>IF('Données projet'!$A$140&gt;35,CT29+CS30-DB29,IF(A30&lt;'Données projet'!$A$140,$CQ$205^A30,IF(A30='Données projet'!$A$140,'Données projet'!$B$140,CT29+CS30-DB29)))</f>
        <v>5.0157528124676221</v>
      </c>
      <c r="CU30" s="18">
        <f>CT30*VLOOKUP('Données projet'!$B$13,Paramètres!$A$1:$I$89,3,0)*VLOOKUP('Données projet'!$B$13,Paramètres!$A$1:$I$89,5,0)</f>
        <v>5.2424648395911593</v>
      </c>
      <c r="CV30" s="14">
        <f t="shared" si="41"/>
        <v>1.9922033038699769</v>
      </c>
      <c r="CW30" s="22">
        <f t="shared" si="13"/>
        <v>12.60038034986148</v>
      </c>
      <c r="CX30" s="62">
        <f t="shared" si="14"/>
        <v>305.93371368319481</v>
      </c>
      <c r="CY30" s="62">
        <f ca="1">AVERAGE(OFFSET($CX$3,0,0,'Données projet'!$E$13+1,1))-AVERAGE(OFFSET($H$3,0,0,'Données projet'!$E$13+1,1))</f>
        <v>63.282881814092605</v>
      </c>
      <c r="CZ30" s="62">
        <f t="shared" si="42"/>
        <v>-40.869120230674525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22.713599999999992</v>
      </c>
      <c r="D31" s="12">
        <f t="shared" si="32"/>
        <v>7.2772341841187966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231.50819370196962</v>
      </c>
      <c r="H31" s="70">
        <f t="shared" si="1"/>
        <v>345.5673695373402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-5.6843418860808015E-14</v>
      </c>
      <c r="O31" s="14">
        <f>N31*VLOOKUP('Données projet'!$B$9,Paramètres!$A$1:$I$89,3,0)*VLOOKUP('Données projet'!$B$9,Paramètres!$A$1:$I$89,5,0)</f>
        <v>-2.8908289095852525E-14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121.64341556501768</v>
      </c>
      <c r="T31" s="62">
        <f t="shared" si="34"/>
        <v>370.21160497429781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79.170583951319855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79.170583951319855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-5.6843418860808015E-14</v>
      </c>
      <c r="AJ31" s="14">
        <f>AI31*VLOOKUP('Données projet'!$B$10,Paramètres!$A$1:$I$89,3,0)*VLOOKUP('Données projet'!$B$10,Paramètres!$A$1:$I$89,5,0)</f>
        <v>-3.2810021366458389E-14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140.99869591649082</v>
      </c>
      <c r="AO31" s="62">
        <f t="shared" si="36"/>
        <v>425.5885140588652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89.856184239228057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89.856184239228057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-5.6843418860808015E-14</v>
      </c>
      <c r="BE31" s="14">
        <f>BD31*VLOOKUP('Données projet'!$B$11,Paramètres!$A$1:$I$89,3,0)*VLOOKUP('Données projet'!$B$11,Paramètres!$A$1:$I$89,5,0)</f>
        <v>-3.2810021366458389E-14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140.99869591649082</v>
      </c>
      <c r="BJ31" s="62">
        <f t="shared" si="38"/>
        <v>425.5885140588652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89.856184239228057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89.856184239228057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0.2</v>
      </c>
      <c r="BY31" s="13">
        <f>IF('Données projet'!$A$114&gt;35,BY30+BX31-CG30,IF(A31&lt;'Données projet'!$A$114,$BV$205^A31,IF(A31='Données projet'!$A$114,'Données projet'!$B$114,BY30+BX31-CG30)))</f>
        <v>5.3244469015441309</v>
      </c>
      <c r="BZ31" s="14">
        <f>BY31*VLOOKUP('Données projet'!$B$12,Paramètres!$A$1:$I$89,3,0)*VLOOKUP('Données projet'!$B$12,Paramètres!$A$1:$I$89,5,0)</f>
        <v>4.8175595565171294</v>
      </c>
      <c r="CA31" s="14">
        <f t="shared" si="39"/>
        <v>1.8488346998567204</v>
      </c>
      <c r="CB31" s="22">
        <f t="shared" si="10"/>
        <v>11.610636663184456</v>
      </c>
      <c r="CC31" s="62">
        <f t="shared" si="11"/>
        <v>304.94396999651775</v>
      </c>
      <c r="CD31" s="62">
        <f ca="1">AVERAGE(OFFSET($CC$3,0,0,'Données projet'!$E$12+1,1))-AVERAGE(OFFSET($H$3,0,0,'Données projet'!$E$12+1,1))</f>
        <v>37.174340347509542</v>
      </c>
      <c r="CE31" s="62">
        <f t="shared" si="40"/>
        <v>-42.822755675927624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0.2</v>
      </c>
      <c r="CT31" s="13">
        <f>IF('Données projet'!$A$140&gt;35,CT30+CS31-DB30,IF(A31&lt;'Données projet'!$A$140,$CQ$205^A31,IF(A31='Données projet'!$A$140,'Données projet'!$B$140,CT30+CS31-DB30)))</f>
        <v>5.3244469015441309</v>
      </c>
      <c r="CU31" s="18">
        <f>CT31*VLOOKUP('Données projet'!$B$13,Paramètres!$A$1:$I$89,3,0)*VLOOKUP('Données projet'!$B$13,Paramètres!$A$1:$I$89,5,0)</f>
        <v>5.5651119014939257</v>
      </c>
      <c r="CV31" s="14">
        <f t="shared" si="41"/>
        <v>2.1001620386838913</v>
      </c>
      <c r="CW31" s="22">
        <f t="shared" si="13"/>
        <v>13.350352112476365</v>
      </c>
      <c r="CX31" s="62">
        <f t="shared" si="14"/>
        <v>306.68368544580966</v>
      </c>
      <c r="CY31" s="62">
        <f ca="1">AVERAGE(OFFSET($CX$3,0,0,'Données projet'!$E$13+1,1))-AVERAGE(OFFSET($H$3,0,0,'Données projet'!$E$13+1,1))</f>
        <v>63.282881814092605</v>
      </c>
      <c r="CZ31" s="62">
        <f t="shared" si="42"/>
        <v>-40.869120230674525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23.524799999999992</v>
      </c>
      <c r="D32" s="12">
        <f t="shared" si="32"/>
        <v>7.5064117884233523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239.53917871765393</v>
      </c>
      <c r="H32" s="70">
        <f t="shared" si="1"/>
        <v>347.37936053150395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-5.6843418860808015E-14</v>
      </c>
      <c r="O32" s="14">
        <f>N32*VLOOKUP('Données projet'!$B$9,Paramètres!$A$1:$I$89,3,0)*VLOOKUP('Données projet'!$B$9,Paramètres!$A$1:$I$89,5,0)</f>
        <v>-2.8908289095852525E-14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121.64341556501768</v>
      </c>
      <c r="T32" s="62">
        <f t="shared" si="34"/>
        <v>370.21160497429781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77.618097089322518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77.618097089322518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-5.6843418860808015E-14</v>
      </c>
      <c r="AJ32" s="14">
        <f>AI32*VLOOKUP('Données projet'!$B$10,Paramètres!$A$1:$I$89,3,0)*VLOOKUP('Données projet'!$B$10,Paramètres!$A$1:$I$89,5,0)</f>
        <v>-3.2810021366458389E-14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140.99869591649082</v>
      </c>
      <c r="AO32" s="62">
        <f t="shared" si="36"/>
        <v>425.5885140588652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88.094159273157459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88.094159273157459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-5.6843418860808015E-14</v>
      </c>
      <c r="BE32" s="14">
        <f>BD32*VLOOKUP('Données projet'!$B$11,Paramètres!$A$1:$I$89,3,0)*VLOOKUP('Données projet'!$B$11,Paramètres!$A$1:$I$89,5,0)</f>
        <v>-3.2810021366458389E-14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140.99869591649082</v>
      </c>
      <c r="BJ32" s="62">
        <f t="shared" si="38"/>
        <v>425.5885140588652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88.094159273157459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88.094159273157459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0.2</v>
      </c>
      <c r="BY32" s="13">
        <f>IF('Données projet'!$A$114&gt;35,BY31+BX32-CG31,IF(A32&lt;'Données projet'!$A$114,$BV$205^A32,IF(A32='Données projet'!$A$114,'Données projet'!$B$114,BY31+BX32-CG31)))</f>
        <v>5.6521395426214314</v>
      </c>
      <c r="BZ32" s="14">
        <f>BY32*VLOOKUP('Données projet'!$B$12,Paramètres!$A$1:$I$89,3,0)*VLOOKUP('Données projet'!$B$12,Paramètres!$A$1:$I$89,5,0)</f>
        <v>5.1140558581638702</v>
      </c>
      <c r="CA32" s="14">
        <f t="shared" si="39"/>
        <v>1.949024200942711</v>
      </c>
      <c r="CB32" s="22">
        <f t="shared" si="10"/>
        <v>12.301531102943962</v>
      </c>
      <c r="CC32" s="62">
        <f t="shared" si="11"/>
        <v>305.63486443627727</v>
      </c>
      <c r="CD32" s="62">
        <f ca="1">AVERAGE(OFFSET($CC$3,0,0,'Données projet'!$E$12+1,1))-AVERAGE(OFFSET($H$3,0,0,'Données projet'!$E$12+1,1))</f>
        <v>37.174340347509542</v>
      </c>
      <c r="CE32" s="62">
        <f t="shared" si="40"/>
        <v>-42.822755675927624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0.2</v>
      </c>
      <c r="CT32" s="13">
        <f>IF('Données projet'!$A$140&gt;35,CT31+CS32-DB31,IF(A32&lt;'Données projet'!$A$140,$CQ$205^A32,IF(A32='Données projet'!$A$140,'Données projet'!$B$140,CT31+CS32-DB31)))</f>
        <v>5.6521395426214314</v>
      </c>
      <c r="CU32" s="18">
        <f>CT32*VLOOKUP('Données projet'!$B$13,Paramètres!$A$1:$I$89,3,0)*VLOOKUP('Données projet'!$B$13,Paramètres!$A$1:$I$89,5,0)</f>
        <v>5.907616249947921</v>
      </c>
      <c r="CV32" s="14">
        <f t="shared" si="41"/>
        <v>2.2139711244132885</v>
      </c>
      <c r="CW32" s="22">
        <f t="shared" si="13"/>
        <v>14.145098010345771</v>
      </c>
      <c r="CX32" s="62">
        <f t="shared" si="14"/>
        <v>307.47843134367906</v>
      </c>
      <c r="CY32" s="62">
        <f ca="1">AVERAGE(OFFSET($CX$3,0,0,'Données projet'!$E$13+1,1))-AVERAGE(OFFSET($H$3,0,0,'Données projet'!$E$13+1,1))</f>
        <v>63.282881814092605</v>
      </c>
      <c r="CZ32" s="62">
        <f t="shared" si="42"/>
        <v>-40.869120230674525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24.335999999999991</v>
      </c>
      <c r="D33" s="12">
        <f t="shared" si="32"/>
        <v>7.7346711726299739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247.56307571854711</v>
      </c>
      <c r="H33" s="70">
        <f t="shared" si="1"/>
        <v>349.18975229233047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-5.6843418860808015E-14</v>
      </c>
      <c r="O33" s="14">
        <f>N33*VLOOKUP('Données projet'!$B$9,Paramètres!$A$1:$I$89,3,0)*VLOOKUP('Données projet'!$B$9,Paramètres!$A$1:$I$89,5,0)</f>
        <v>-2.8908289095852525E-14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121.64341556501768</v>
      </c>
      <c r="T33" s="62">
        <f t="shared" si="34"/>
        <v>370.21160497429781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76.096053547765464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76.096053547765464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-5.6843418860808015E-14</v>
      </c>
      <c r="AJ33" s="14">
        <f>AI33*VLOOKUP('Données projet'!$B$10,Paramètres!$A$1:$I$89,3,0)*VLOOKUP('Données projet'!$B$10,Paramètres!$A$1:$I$89,5,0)</f>
        <v>-3.2810021366458389E-14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140.99869591649082</v>
      </c>
      <c r="AO33" s="62">
        <f t="shared" si="36"/>
        <v>425.5885140588652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86.366686541942386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86.366686541942386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-5.6843418860808015E-14</v>
      </c>
      <c r="BE33" s="14">
        <f>BD33*VLOOKUP('Données projet'!$B$11,Paramètres!$A$1:$I$89,3,0)*VLOOKUP('Données projet'!$B$11,Paramètres!$A$1:$I$89,5,0)</f>
        <v>-3.2810021366458389E-14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140.99869591649082</v>
      </c>
      <c r="BJ33" s="62">
        <f t="shared" si="38"/>
        <v>425.5885140588652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86.366686541942386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86.366686541942386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6</v>
      </c>
      <c r="BW33" s="13">
        <f>VLOOKUP(A33,'Données projet'!$A$113:$I$133,9,0)</f>
        <v>0.2</v>
      </c>
      <c r="BX33" s="13">
        <f t="array" ref="BX33">INDEX(BW:BW,MIN(IF(ISNUMBER(BW33:BW229),ROW(BW33:BW229),"")))</f>
        <v>0.2</v>
      </c>
      <c r="BY33" s="13">
        <f>IF('Données projet'!$A$114&gt;35,BY32+BX33-CG32,IF(A33&lt;'Données projet'!$A$114,$BV$205^A33,IF(A33='Données projet'!$A$114,'Données projet'!$B$114,BY32+BX33-CG32)))</f>
        <v>6</v>
      </c>
      <c r="BZ33" s="14">
        <f>BY33*VLOOKUP('Données projet'!$B$12,Paramètres!$A$1:$I$89,3,0)*VLOOKUP('Données projet'!$B$12,Paramètres!$A$1:$I$89,5,0)</f>
        <v>5.4287999999999998</v>
      </c>
      <c r="CA33" s="14">
        <f t="shared" si="39"/>
        <v>2.0546430333413586</v>
      </c>
      <c r="CB33" s="22">
        <f t="shared" si="10"/>
        <v>13.033663283069531</v>
      </c>
      <c r="CC33" s="62">
        <f t="shared" si="11"/>
        <v>306.36699661640284</v>
      </c>
      <c r="CD33" s="62">
        <f ca="1">AVERAGE(OFFSET($CC$3,0,0,'Données projet'!$E$12+1,1))-AVERAGE(OFFSET($H$3,0,0,'Données projet'!$E$12+1,1))</f>
        <v>37.174340347509542</v>
      </c>
      <c r="CE33" s="62">
        <f t="shared" si="40"/>
        <v>-42.822755675927624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6</v>
      </c>
      <c r="CR33" s="13">
        <f>VLOOKUP(A33,'Données projet'!$A$139:$I$159,9,0)</f>
        <v>0.2</v>
      </c>
      <c r="CS33" s="13">
        <f t="array" ref="CS33">INDEX(CR:CR,MIN(IF(ISNUMBER(CR33:CR229),ROW(CR33:CR229),"")))</f>
        <v>0.2</v>
      </c>
      <c r="CT33" s="13">
        <f>IF('Données projet'!$A$140&gt;35,CT32+CS33-DB32,IF(A33&lt;'Données projet'!$A$140,$CQ$205^A33,IF(A33='Données projet'!$A$140,'Données projet'!$B$140,CT32+CS33-DB32)))</f>
        <v>6</v>
      </c>
      <c r="CU33" s="18">
        <f>CT33*VLOOKUP('Données projet'!$B$13,Paramètres!$A$1:$I$89,3,0)*VLOOKUP('Données projet'!$B$13,Paramètres!$A$1:$I$89,5,0)</f>
        <v>6.2712000000000012</v>
      </c>
      <c r="CV33" s="14">
        <f t="shared" si="41"/>
        <v>2.3339475952091608</v>
      </c>
      <c r="CW33" s="22">
        <f t="shared" si="13"/>
        <v>14.987298728322623</v>
      </c>
      <c r="CX33" s="62">
        <f t="shared" si="14"/>
        <v>308.32063206165594</v>
      </c>
      <c r="CY33" s="62">
        <f ca="1">AVERAGE(OFFSET($CX$3,0,0,'Données projet'!$E$13+1,1))-AVERAGE(OFFSET($H$3,0,0,'Données projet'!$E$13+1,1))</f>
        <v>63.282881814092605</v>
      </c>
      <c r="CZ33" s="62">
        <f t="shared" si="42"/>
        <v>-40.869120230674525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25.147199999999991</v>
      </c>
      <c r="D34" s="12">
        <f t="shared" si="32"/>
        <v>7.96204645339769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255.58014806131541</v>
      </c>
      <c r="H34" s="70">
        <f t="shared" si="1"/>
        <v>350.9986042396676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-5.6843418860808015E-14</v>
      </c>
      <c r="O34" s="14">
        <f>N34*VLOOKUP('Données projet'!$B$9,Paramètres!$A$1:$I$89,3,0)*VLOOKUP('Données projet'!$B$9,Paramètres!$A$1:$I$89,5,0)</f>
        <v>-2.8908289095852525E-14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121.64341556501768</v>
      </c>
      <c r="T34" s="62">
        <f t="shared" si="34"/>
        <v>370.21160497429781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74.603856351703442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74.603856351703442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-5.6843418860808015E-14</v>
      </c>
      <c r="AJ34" s="14">
        <f>AI34*VLOOKUP('Données projet'!$B$10,Paramètres!$A$1:$I$89,3,0)*VLOOKUP('Données projet'!$B$10,Paramètres!$A$1:$I$89,5,0)</f>
        <v>-3.2810021366458389E-14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140.99869591649082</v>
      </c>
      <c r="AO34" s="62">
        <f t="shared" si="36"/>
        <v>425.5885140588652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84.673088497332117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84.673088497332117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-5.6843418860808015E-14</v>
      </c>
      <c r="BE34" s="14">
        <f>BD34*VLOOKUP('Données projet'!$B$11,Paramètres!$A$1:$I$89,3,0)*VLOOKUP('Données projet'!$B$11,Paramètres!$A$1:$I$89,5,0)</f>
        <v>-3.2810021366458389E-14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140.99869591649082</v>
      </c>
      <c r="BJ34" s="62">
        <f t="shared" si="38"/>
        <v>425.5885140588652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84.673088497332117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84.673088497332117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2.8333333333333335</v>
      </c>
      <c r="BY34" s="13">
        <f>IF('Données projet'!$A$114&gt;35,BY33+BX34-CG33,IF(A34&lt;'Données projet'!$A$114,$BV$205^A34,IF(A34='Données projet'!$A$114,'Données projet'!$B$114,BY33+BX34-CG33)))</f>
        <v>7.8333333333333339</v>
      </c>
      <c r="BZ34" s="14">
        <f>BY34*VLOOKUP('Données projet'!$B$12,Paramètres!$A$1:$I$89,3,0)*VLOOKUP('Données projet'!$B$12,Paramètres!$A$1:$I$89,5,0)</f>
        <v>7.0876000000000001</v>
      </c>
      <c r="CA34" s="14">
        <f t="shared" si="39"/>
        <v>2.6004778414327414</v>
      </c>
      <c r="CB34" s="22">
        <f t="shared" si="10"/>
        <v>16.873402240495356</v>
      </c>
      <c r="CC34" s="62">
        <f t="shared" si="11"/>
        <v>310.20673557382867</v>
      </c>
      <c r="CD34" s="62">
        <f ca="1">AVERAGE(OFFSET($CC$3,0,0,'Données projet'!$E$12+1,1))-AVERAGE(OFFSET($H$3,0,0,'Données projet'!$E$12+1,1))</f>
        <v>37.174340347509542</v>
      </c>
      <c r="CE34" s="62">
        <f t="shared" si="40"/>
        <v>-42.822755675927624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2.8333333333333335</v>
      </c>
      <c r="CT34" s="13">
        <f>IF('Données projet'!$A$140&gt;35,CT33+CS34-DB33,IF(A34&lt;'Données projet'!$A$140,$CQ$205^A34,IF(A34='Données projet'!$A$140,'Données projet'!$B$140,CT33+CS34-DB33)))</f>
        <v>7.8333333333333339</v>
      </c>
      <c r="CU34" s="18">
        <f>CT34*VLOOKUP('Données projet'!$B$13,Paramètres!$A$1:$I$89,3,0)*VLOOKUP('Données projet'!$B$13,Paramètres!$A$1:$I$89,5,0)</f>
        <v>8.187400000000002</v>
      </c>
      <c r="CV34" s="14">
        <f t="shared" si="41"/>
        <v>2.9539822275290035</v>
      </c>
      <c r="CW34" s="22">
        <f t="shared" si="13"/>
        <v>19.404574046279681</v>
      </c>
      <c r="CX34" s="62">
        <f t="shared" si="14"/>
        <v>312.73790737961298</v>
      </c>
      <c r="CY34" s="62">
        <f ca="1">AVERAGE(OFFSET($CX$3,0,0,'Données projet'!$E$13+1,1))-AVERAGE(OFFSET($H$3,0,0,'Données projet'!$E$13+1,1))</f>
        <v>63.282881814092605</v>
      </c>
      <c r="CZ34" s="62">
        <f t="shared" si="42"/>
        <v>-40.869120230674525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25.95839999999999</v>
      </c>
      <c r="D35" s="12">
        <f t="shared" si="32"/>
        <v>8.1885694213502767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263.59064114726522</v>
      </c>
      <c r="H35" s="70">
        <f t="shared" si="1"/>
        <v>352.80597174218502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-5.6843418860808015E-14</v>
      </c>
      <c r="O35" s="14">
        <f>N35*VLOOKUP('Données projet'!$B$9,Paramètres!$A$1:$I$89,3,0)*VLOOKUP('Données projet'!$B$9,Paramètres!$A$1:$I$89,5,0)</f>
        <v>-2.8908289095852525E-14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121.64341556501768</v>
      </c>
      <c r="T35" s="62">
        <f t="shared" si="34"/>
        <v>370.21160497429781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73.140920232505778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73.140920232505778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-5.6843418860808015E-14</v>
      </c>
      <c r="AJ35" s="14">
        <f>AI35*VLOOKUP('Données projet'!$B$10,Paramètres!$A$1:$I$89,3,0)*VLOOKUP('Données projet'!$B$10,Paramètres!$A$1:$I$89,5,0)</f>
        <v>-3.2810021366458389E-14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140.99869591649082</v>
      </c>
      <c r="AO35" s="62">
        <f t="shared" si="36"/>
        <v>425.5885140588652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83.01270087738385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83.01270087738385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-5.6843418860808015E-14</v>
      </c>
      <c r="BE35" s="14">
        <f>BD35*VLOOKUP('Données projet'!$B$11,Paramètres!$A$1:$I$89,3,0)*VLOOKUP('Données projet'!$B$11,Paramètres!$A$1:$I$89,5,0)</f>
        <v>-3.2810021366458389E-14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140.99869591649082</v>
      </c>
      <c r="BJ35" s="62">
        <f t="shared" si="38"/>
        <v>425.5885140588652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83.01270087738385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83.01270087738385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2.8333333333333335</v>
      </c>
      <c r="BY35" s="13">
        <f>IF('Données projet'!$A$114&gt;35,BY34+BX35-CG34,IF(A35&lt;'Données projet'!$A$114,$BV$205^A35,IF(A35='Données projet'!$A$114,'Données projet'!$B$114,BY34+BX35-CG34)))</f>
        <v>10.666666666666668</v>
      </c>
      <c r="BZ35" s="14">
        <f>BY35*VLOOKUP('Données projet'!$B$12,Paramètres!$A$1:$I$89,3,0)*VLOOKUP('Données projet'!$B$12,Paramètres!$A$1:$I$89,5,0)</f>
        <v>9.6511999999999993</v>
      </c>
      <c r="CA35" s="14">
        <f t="shared" si="39"/>
        <v>3.4160806491823514</v>
      </c>
      <c r="CB35" s="22">
        <f t="shared" si="10"/>
        <v>22.758847130659262</v>
      </c>
      <c r="CC35" s="62">
        <f t="shared" si="11"/>
        <v>316.09218046399258</v>
      </c>
      <c r="CD35" s="62">
        <f ca="1">AVERAGE(OFFSET($CC$3,0,0,'Données projet'!$E$12+1,1))-AVERAGE(OFFSET($H$3,0,0,'Données projet'!$E$12+1,1))</f>
        <v>37.174340347509542</v>
      </c>
      <c r="CE35" s="62">
        <f t="shared" si="40"/>
        <v>-42.822755675927624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2.8333333333333335</v>
      </c>
      <c r="CT35" s="13">
        <f>IF('Données projet'!$A$140&gt;35,CT34+CS35-DB34,IF(A35&lt;'Données projet'!$A$140,$CQ$205^A35,IF(A35='Données projet'!$A$140,'Données projet'!$B$140,CT34+CS35-DB34)))</f>
        <v>10.666666666666668</v>
      </c>
      <c r="CU35" s="18">
        <f>CT35*VLOOKUP('Données projet'!$B$13,Paramètres!$A$1:$I$89,3,0)*VLOOKUP('Données projet'!$B$13,Paramètres!$A$1:$I$89,5,0)</f>
        <v>11.148800000000003</v>
      </c>
      <c r="CV35" s="14">
        <f t="shared" si="41"/>
        <v>3.8804566471255613</v>
      </c>
      <c r="CW35" s="22">
        <f t="shared" si="13"/>
        <v>26.175955327077023</v>
      </c>
      <c r="CX35" s="62">
        <f t="shared" si="14"/>
        <v>319.50928866041033</v>
      </c>
      <c r="CY35" s="62">
        <f ca="1">AVERAGE(OFFSET($CX$3,0,0,'Données projet'!$E$13+1,1))-AVERAGE(OFFSET($H$3,0,0,'Données projet'!$E$13+1,1))</f>
        <v>63.282881814092605</v>
      </c>
      <c r="CZ35" s="62">
        <f t="shared" si="42"/>
        <v>-40.869120230674525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26.76959999999999</v>
      </c>
      <c r="D36" s="12">
        <f t="shared" si="32"/>
        <v>8.4142697673415583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271.59478416895234</v>
      </c>
      <c r="H36" s="70">
        <f t="shared" si="1"/>
        <v>354.61190651145318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-5.6843418860808015E-14</v>
      </c>
      <c r="O36" s="14">
        <f>N36*VLOOKUP('Données projet'!$B$9,Paramètres!$A$1:$I$89,3,0)*VLOOKUP('Données projet'!$B$9,Paramètres!$A$1:$I$89,5,0)</f>
        <v>-2.8908289095852525E-14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121.64341556501768</v>
      </c>
      <c r="T36" s="62">
        <f t="shared" si="34"/>
        <v>370.21160497429781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71.70667139830266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71.70667139830266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-5.6843418860808015E-14</v>
      </c>
      <c r="AJ36" s="14">
        <f>AI36*VLOOKUP('Données projet'!$B$10,Paramètres!$A$1:$I$89,3,0)*VLOOKUP('Données projet'!$B$10,Paramètres!$A$1:$I$89,5,0)</f>
        <v>-3.2810021366458389E-14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140.99869591649082</v>
      </c>
      <c r="AO36" s="62">
        <f t="shared" si="36"/>
        <v>425.5885140588652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81.38487244592632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81.38487244592632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-5.6843418860808015E-14</v>
      </c>
      <c r="BE36" s="14">
        <f>BD36*VLOOKUP('Données projet'!$B$11,Paramètres!$A$1:$I$89,3,0)*VLOOKUP('Données projet'!$B$11,Paramètres!$A$1:$I$89,5,0)</f>
        <v>-3.2810021366458389E-14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140.99869591649082</v>
      </c>
      <c r="BJ36" s="62">
        <f t="shared" si="38"/>
        <v>425.5885140588652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81.38487244592632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81.38487244592632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2.8333333333333335</v>
      </c>
      <c r="BY36" s="13">
        <f>IF('Données projet'!$A$114&gt;35,BY35+BX36-CG35,IF(A36&lt;'Données projet'!$A$114,$BV$205^A36,IF(A36='Données projet'!$A$114,'Données projet'!$B$114,BY35+BX36-CG35)))</f>
        <v>13.500000000000002</v>
      </c>
      <c r="BZ36" s="14">
        <f>BY36*VLOOKUP('Données projet'!$B$12,Paramètres!$A$1:$I$89,3,0)*VLOOKUP('Données projet'!$B$12,Paramètres!$A$1:$I$89,5,0)</f>
        <v>12.2148</v>
      </c>
      <c r="CA36" s="14">
        <f t="shared" si="39"/>
        <v>4.2065383529229372</v>
      </c>
      <c r="CB36" s="22">
        <f t="shared" si="10"/>
        <v>28.600497631340783</v>
      </c>
      <c r="CC36" s="62">
        <f t="shared" si="11"/>
        <v>321.93383096467409</v>
      </c>
      <c r="CD36" s="62">
        <f ca="1">AVERAGE(OFFSET($CC$3,0,0,'Données projet'!$E$12+1,1))-AVERAGE(OFFSET($H$3,0,0,'Données projet'!$E$12+1,1))</f>
        <v>37.174340347509542</v>
      </c>
      <c r="CE36" s="62">
        <f t="shared" si="40"/>
        <v>-42.822755675927624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2.8333333333333335</v>
      </c>
      <c r="CT36" s="13">
        <f>IF('Données projet'!$A$140&gt;35,CT35+CS36-DB35,IF(A36&lt;'Données projet'!$A$140,$CQ$205^A36,IF(A36='Données projet'!$A$140,'Données projet'!$B$140,CT35+CS36-DB35)))</f>
        <v>13.500000000000002</v>
      </c>
      <c r="CU36" s="18">
        <f>CT36*VLOOKUP('Données projet'!$B$13,Paramètres!$A$1:$I$89,3,0)*VLOOKUP('Données projet'!$B$13,Paramètres!$A$1:$I$89,5,0)</f>
        <v>14.110200000000003</v>
      </c>
      <c r="CV36" s="14">
        <f t="shared" si="41"/>
        <v>4.7783677814794672</v>
      </c>
      <c r="CW36" s="22">
        <f t="shared" si="13"/>
        <v>32.89758888607674</v>
      </c>
      <c r="CX36" s="62">
        <f t="shared" si="14"/>
        <v>326.23092221941005</v>
      </c>
      <c r="CY36" s="62">
        <f ca="1">AVERAGE(OFFSET($CX$3,0,0,'Données projet'!$E$13+1,1))-AVERAGE(OFFSET($H$3,0,0,'Données projet'!$E$13+1,1))</f>
        <v>63.282881814092605</v>
      </c>
      <c r="CZ36" s="62">
        <f t="shared" si="42"/>
        <v>-40.869120230674525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27.580799999999989</v>
      </c>
      <c r="D37" s="12">
        <f t="shared" si="32"/>
        <v>8.6391752805240429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279.59279163913288</v>
      </c>
      <c r="H37" s="70">
        <f t="shared" si="1"/>
        <v>356.41645694691266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-5.6843418860808015E-14</v>
      </c>
      <c r="O37" s="14">
        <f>N37*VLOOKUP('Données projet'!$B$9,Paramètres!$A$1:$I$89,3,0)*VLOOKUP('Données projet'!$B$9,Paramètres!$A$1:$I$89,5,0)</f>
        <v>-2.8908289095852525E-14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121.64341556501768</v>
      </c>
      <c r="T37" s="62">
        <f t="shared" si="34"/>
        <v>370.21160497429781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70.300547308932849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70.300547308932849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-5.6843418860808015E-14</v>
      </c>
      <c r="AJ37" s="14">
        <f>AI37*VLOOKUP('Données projet'!$B$10,Paramètres!$A$1:$I$89,3,0)*VLOOKUP('Données projet'!$B$10,Paramètres!$A$1:$I$89,5,0)</f>
        <v>-3.2810021366458389E-14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140.99869591649082</v>
      </c>
      <c r="AO37" s="62">
        <f t="shared" si="36"/>
        <v>425.5885140588652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79.78896473713236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79.78896473713236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-5.6843418860808015E-14</v>
      </c>
      <c r="BE37" s="14">
        <f>BD37*VLOOKUP('Données projet'!$B$11,Paramètres!$A$1:$I$89,3,0)*VLOOKUP('Données projet'!$B$11,Paramètres!$A$1:$I$89,5,0)</f>
        <v>-3.2810021366458389E-14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140.99869591649082</v>
      </c>
      <c r="BJ37" s="62">
        <f t="shared" si="38"/>
        <v>425.5885140588652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79.78896473713236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79.78896473713236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2.8333333333333335</v>
      </c>
      <c r="BY37" s="13">
        <f>IF('Données projet'!$A$114&gt;35,BY36+BX37-CG36,IF(A37&lt;'Données projet'!$A$114,$BV$205^A37,IF(A37='Données projet'!$A$114,'Données projet'!$B$114,BY36+BX37-CG36)))</f>
        <v>16.333333333333336</v>
      </c>
      <c r="BZ37" s="14">
        <f>BY37*VLOOKUP('Données projet'!$B$12,Paramètres!$A$1:$I$89,3,0)*VLOOKUP('Données projet'!$B$12,Paramètres!$A$1:$I$89,5,0)</f>
        <v>14.778400000000003</v>
      </c>
      <c r="CA37" s="14">
        <f t="shared" si="39"/>
        <v>4.9777702837640634</v>
      </c>
      <c r="CB37" s="22">
        <f t="shared" si="10"/>
        <v>34.408663244222417</v>
      </c>
      <c r="CC37" s="62">
        <f t="shared" si="11"/>
        <v>327.74199657755571</v>
      </c>
      <c r="CD37" s="62">
        <f ca="1">AVERAGE(OFFSET($CC$3,0,0,'Données projet'!$E$12+1,1))-AVERAGE(OFFSET($H$3,0,0,'Données projet'!$E$12+1,1))</f>
        <v>37.174340347509542</v>
      </c>
      <c r="CE37" s="62">
        <f t="shared" si="40"/>
        <v>-42.822755675927624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2.8333333333333335</v>
      </c>
      <c r="CT37" s="13">
        <f>IF('Données projet'!$A$140&gt;35,CT36+CS37-DB36,IF(A37&lt;'Données projet'!$A$140,$CQ$205^A37,IF(A37='Données projet'!$A$140,'Données projet'!$B$140,CT36+CS37-DB36)))</f>
        <v>16.333333333333336</v>
      </c>
      <c r="CU37" s="18">
        <f>CT37*VLOOKUP('Données projet'!$B$13,Paramètres!$A$1:$I$89,3,0)*VLOOKUP('Données projet'!$B$13,Paramètres!$A$1:$I$89,5,0)</f>
        <v>17.071600000000004</v>
      </c>
      <c r="CV37" s="14">
        <f t="shared" si="41"/>
        <v>5.6544396251650815</v>
      </c>
      <c r="CW37" s="22">
        <f t="shared" si="13"/>
        <v>39.581185680495857</v>
      </c>
      <c r="CX37" s="62">
        <f t="shared" si="14"/>
        <v>332.91451901382919</v>
      </c>
      <c r="CY37" s="62">
        <f ca="1">AVERAGE(OFFSET($CX$3,0,0,'Données projet'!$E$13+1,1))-AVERAGE(OFFSET($H$3,0,0,'Données projet'!$E$13+1,1))</f>
        <v>63.282881814092605</v>
      </c>
      <c r="CZ37" s="62">
        <f t="shared" si="42"/>
        <v>-40.869120230674525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28.391999999999989</v>
      </c>
      <c r="D38" s="12">
        <f t="shared" si="32"/>
        <v>8.8633120224605495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287.58486473478314</v>
      </c>
      <c r="H38" s="70">
        <f t="shared" si="1"/>
        <v>358.21966843911872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-5.6843418860808015E-14</v>
      </c>
      <c r="O38" s="14">
        <f>N38*VLOOKUP('Données projet'!$B$9,Paramètres!$A$1:$I$89,3,0)*VLOOKUP('Données projet'!$B$9,Paramètres!$A$1:$I$89,5,0)</f>
        <v>-2.8908289095852525E-14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121.64341556501768</v>
      </c>
      <c r="T38" s="62">
        <f t="shared" si="34"/>
        <v>370.21160497429781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68.92199645530458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68.92199645530458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-5.6843418860808015E-14</v>
      </c>
      <c r="AJ38" s="14">
        <f>AI38*VLOOKUP('Données projet'!$B$10,Paramètres!$A$1:$I$89,3,0)*VLOOKUP('Données projet'!$B$10,Paramètres!$A$1:$I$89,5,0)</f>
        <v>-3.2810021366458389E-14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140.99869591649082</v>
      </c>
      <c r="AO38" s="62">
        <f t="shared" si="36"/>
        <v>425.5885140588652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78.22435180510027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78.22435180510027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-5.6843418860808015E-14</v>
      </c>
      <c r="BE38" s="14">
        <f>BD38*VLOOKUP('Données projet'!$B$11,Paramètres!$A$1:$I$89,3,0)*VLOOKUP('Données projet'!$B$11,Paramètres!$A$1:$I$89,5,0)</f>
        <v>-3.2810021366458389E-14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140.99869591649082</v>
      </c>
      <c r="BJ38" s="62">
        <f t="shared" si="38"/>
        <v>425.5885140588652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78.22435180510027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78.22435180510027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2.8333333333333335</v>
      </c>
      <c r="BY38" s="13">
        <f>IF('Données projet'!$A$114&gt;35,BY37+BX38-CG37,IF(A38&lt;'Données projet'!$A$114,$BV$205^A38,IF(A38='Données projet'!$A$114,'Données projet'!$B$114,BY37+BX38-CG37)))</f>
        <v>19.166666666666668</v>
      </c>
      <c r="BZ38" s="14">
        <f>BY38*VLOOKUP('Données projet'!$B$12,Paramètres!$A$1:$I$89,3,0)*VLOOKUP('Données projet'!$B$12,Paramètres!$A$1:$I$89,5,0)</f>
        <v>17.342000000000002</v>
      </c>
      <c r="CA38" s="14">
        <f t="shared" si="39"/>
        <v>5.733503764399396</v>
      </c>
      <c r="CB38" s="22">
        <f t="shared" si="10"/>
        <v>40.189835722995618</v>
      </c>
      <c r="CC38" s="62">
        <f t="shared" si="11"/>
        <v>333.52316905632892</v>
      </c>
      <c r="CD38" s="62">
        <f ca="1">AVERAGE(OFFSET($CC$3,0,0,'Données projet'!$E$12+1,1))-AVERAGE(OFFSET($H$3,0,0,'Données projet'!$E$12+1,1))</f>
        <v>37.174340347509542</v>
      </c>
      <c r="CE38" s="62">
        <f t="shared" si="40"/>
        <v>-42.822755675927624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2.8333333333333335</v>
      </c>
      <c r="CT38" s="13">
        <f>IF('Données projet'!$A$140&gt;35,CT37+CS38-DB37,IF(A38&lt;'Données projet'!$A$140,$CQ$205^A38,IF(A38='Données projet'!$A$140,'Données projet'!$B$140,CT37+CS38-DB37)))</f>
        <v>19.166666666666668</v>
      </c>
      <c r="CU38" s="18">
        <f>CT38*VLOOKUP('Données projet'!$B$13,Paramètres!$A$1:$I$89,3,0)*VLOOKUP('Données projet'!$B$13,Paramètres!$A$1:$I$89,5,0)</f>
        <v>20.033000000000005</v>
      </c>
      <c r="CV38" s="14">
        <f t="shared" si="41"/>
        <v>6.5129061865703699</v>
      </c>
      <c r="CW38" s="22">
        <f t="shared" si="13"/>
        <v>46.234119941610068</v>
      </c>
      <c r="CX38" s="62">
        <f t="shared" si="14"/>
        <v>339.56745327494338</v>
      </c>
      <c r="CY38" s="62">
        <f ca="1">AVERAGE(OFFSET($CX$3,0,0,'Données projet'!$E$13+1,1))-AVERAGE(OFFSET($H$3,0,0,'Données projet'!$E$13+1,1))</f>
        <v>63.282881814092605</v>
      </c>
      <c r="CZ38" s="62">
        <f t="shared" si="42"/>
        <v>-40.869120230674525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29.203199999999988</v>
      </c>
      <c r="D39" s="12">
        <f t="shared" si="32"/>
        <v>9.0867044807780779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295.57119248319913</v>
      </c>
      <c r="H39" s="70">
        <f t="shared" si="1"/>
        <v>360.02158363735509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-5.6843418860808015E-14</v>
      </c>
      <c r="O39" s="14">
        <f>N39*VLOOKUP('Données projet'!$B$9,Paramètres!$A$1:$I$89,3,0)*VLOOKUP('Données projet'!$B$9,Paramètres!$A$1:$I$89,5,0)</f>
        <v>-2.8908289095852525E-14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121.64341556501768</v>
      </c>
      <c r="T39" s="62">
        <f t="shared" si="34"/>
        <v>370.21160497429781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67.570478143082966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67.570478143082966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-5.6843418860808015E-14</v>
      </c>
      <c r="AJ39" s="14">
        <f>AI39*VLOOKUP('Données projet'!$B$10,Paramètres!$A$1:$I$89,3,0)*VLOOKUP('Données projet'!$B$10,Paramètres!$A$1:$I$89,5,0)</f>
        <v>-3.2810021366458389E-14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140.99869591649082</v>
      </c>
      <c r="AO39" s="62">
        <f t="shared" si="36"/>
        <v>425.5885140588652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76.690419978345673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76.690419978345673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-5.6843418860808015E-14</v>
      </c>
      <c r="BE39" s="14">
        <f>BD39*VLOOKUP('Données projet'!$B$11,Paramètres!$A$1:$I$89,3,0)*VLOOKUP('Données projet'!$B$11,Paramètres!$A$1:$I$89,5,0)</f>
        <v>-3.2810021366458389E-14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140.99869591649082</v>
      </c>
      <c r="BJ39" s="62">
        <f t="shared" si="38"/>
        <v>425.5885140588652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76.690419978345673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76.690419978345673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>
        <f>VLOOKUP(A39,'Données projet'!$A$113:$I$133,2,0)</f>
        <v>22</v>
      </c>
      <c r="BW39" s="13">
        <f>VLOOKUP(A39,'Données projet'!$A$113:$I$133,9,0)</f>
        <v>2.8333333333333335</v>
      </c>
      <c r="BX39" s="13">
        <f t="array" ref="BX39">INDEX(BW:BW,MIN(IF(ISNUMBER(BW39:BW235),ROW(BW39:BW235),"")))</f>
        <v>2.8333333333333335</v>
      </c>
      <c r="BY39" s="13">
        <f>IF('Données projet'!$A$114&gt;35,BY38+BX39-CG38,IF(A39&lt;'Données projet'!$A$114,$BV$205^A39,IF(A39='Données projet'!$A$114,'Données projet'!$B$114,BY38+BX39-CG38)))</f>
        <v>22</v>
      </c>
      <c r="BZ39" s="14">
        <f>BY39*VLOOKUP('Données projet'!$B$12,Paramètres!$A$1:$I$89,3,0)*VLOOKUP('Données projet'!$B$12,Paramètres!$A$1:$I$89,5,0)</f>
        <v>19.9056</v>
      </c>
      <c r="CA39" s="14">
        <f t="shared" si="39"/>
        <v>6.4762948940833853</v>
      </c>
      <c r="CB39" s="22">
        <f t="shared" si="10"/>
        <v>45.948466940528562</v>
      </c>
      <c r="CC39" s="62">
        <f t="shared" si="11"/>
        <v>339.2818002738619</v>
      </c>
      <c r="CD39" s="62">
        <f ca="1">AVERAGE(OFFSET($CC$3,0,0,'Données projet'!$E$12+1,1))-AVERAGE(OFFSET($H$3,0,0,'Données projet'!$E$12+1,1))</f>
        <v>37.174340347509542</v>
      </c>
      <c r="CE39" s="62">
        <f t="shared" si="40"/>
        <v>-42.822755675927624</v>
      </c>
      <c r="CF39" s="16">
        <f>IF(ISNA(VLOOKUP(A39,'Données projet'!$A$113:$I$133,3,0)),0,VLOOKUP(A39,'Données projet'!$A$113:$I$133,3,0))</f>
        <v>2</v>
      </c>
      <c r="CG39" s="16">
        <f>IF(ISNA(VLOOKUP(A39,'Données projet'!$A$113:$I$133,4,0)),0,VLOOKUP(A39,'Données projet'!$A$113:$I$133,4,0))</f>
        <v>4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>
        <f>VLOOKUP(A39,'Données projet'!$A$139:$I$159,2,0)</f>
        <v>22</v>
      </c>
      <c r="CR39" s="13">
        <f>VLOOKUP(A39,'Données projet'!$A$139:$I$159,9,0)</f>
        <v>2.8333333333333335</v>
      </c>
      <c r="CS39" s="13">
        <f t="array" ref="CS39">INDEX(CR:CR,MIN(IF(ISNUMBER(CR39:CR235),ROW(CR39:CR235),"")))</f>
        <v>2.8333333333333335</v>
      </c>
      <c r="CT39" s="13">
        <f>IF('Données projet'!$A$140&gt;35,CT38+CS39-DB38,IF(A39&lt;'Données projet'!$A$140,$CQ$205^A39,IF(A39='Données projet'!$A$140,'Données projet'!$B$140,CT38+CS39-DB38)))</f>
        <v>22</v>
      </c>
      <c r="CU39" s="18">
        <f>CT39*VLOOKUP('Données projet'!$B$13,Paramètres!$A$1:$I$89,3,0)*VLOOKUP('Données projet'!$B$13,Paramètres!$A$1:$I$89,5,0)</f>
        <v>22.994400000000002</v>
      </c>
      <c r="CV39" s="14">
        <f t="shared" si="41"/>
        <v>7.3566710365887777</v>
      </c>
      <c r="CW39" s="22">
        <f t="shared" si="13"/>
        <v>52.861448722058789</v>
      </c>
      <c r="CX39" s="62">
        <f t="shared" si="14"/>
        <v>346.19478205539212</v>
      </c>
      <c r="CY39" s="62">
        <f ca="1">AVERAGE(OFFSET($CX$3,0,0,'Données projet'!$E$13+1,1))-AVERAGE(OFFSET($H$3,0,0,'Données projet'!$E$13+1,1))</f>
        <v>63.282881814092605</v>
      </c>
      <c r="CZ39" s="62">
        <f t="shared" si="42"/>
        <v>-40.869120230674525</v>
      </c>
      <c r="DA39" s="16">
        <f>IF(ISNA(VLOOKUP(A39,'Données projet'!$A$139:$I$159,3,0)),0,VLOOKUP(A39,'Données projet'!$A$139:$I$159,3,0))</f>
        <v>2</v>
      </c>
      <c r="DB39" s="16">
        <f>IF(ISNA(VLOOKUP(A39,'Données projet'!$A$139:$I$159,4,0)),0,VLOOKUP(A39,'Données projet'!$A$139:$I$159,4,0))</f>
        <v>4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30.014399999999988</v>
      </c>
      <c r="D40" s="12">
        <f t="shared" si="32"/>
        <v>9.3093757052690744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303.5519528126033</v>
      </c>
      <c r="H40" s="70">
        <f t="shared" si="1"/>
        <v>361.82224268667693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-5.6843418860808015E-14</v>
      </c>
      <c r="O40" s="14">
        <f>N40*VLOOKUP('Données projet'!$B$9,Paramètres!$A$1:$I$89,3,0)*VLOOKUP('Données projet'!$B$9,Paramètres!$A$1:$I$89,5,0)</f>
        <v>-2.8908289095852525E-14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121.64341556501768</v>
      </c>
      <c r="T40" s="62">
        <f t="shared" si="34"/>
        <v>370.21160497429781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66.245462280619236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66.245462280619236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-5.6843418860808015E-14</v>
      </c>
      <c r="AJ40" s="14">
        <f>AI40*VLOOKUP('Données projet'!$B$10,Paramètres!$A$1:$I$89,3,0)*VLOOKUP('Données projet'!$B$10,Paramètres!$A$1:$I$89,5,0)</f>
        <v>-3.2810021366458389E-14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140.99869591649082</v>
      </c>
      <c r="AO40" s="62">
        <f t="shared" si="36"/>
        <v>425.5885140588652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75.186567619107706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75.186567619107706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-5.6843418860808015E-14</v>
      </c>
      <c r="BE40" s="14">
        <f>BD40*VLOOKUP('Données projet'!$B$11,Paramètres!$A$1:$I$89,3,0)*VLOOKUP('Données projet'!$B$11,Paramètres!$A$1:$I$89,5,0)</f>
        <v>-3.2810021366458389E-14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140.99869591649082</v>
      </c>
      <c r="BJ40" s="62">
        <f t="shared" si="38"/>
        <v>425.5885140588652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75.186567619107706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75.186567619107706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3</v>
      </c>
      <c r="BY40" s="13">
        <f>IF('Données projet'!$A$114&gt;35,BY39+BX40-CG39,IF(A40&lt;'Données projet'!$A$114,$BV$205^A40,IF(A40='Données projet'!$A$114,'Données projet'!$B$114,BY39+BX40-CG39)))</f>
        <v>21</v>
      </c>
      <c r="BZ40" s="14">
        <f>BY40*VLOOKUP('Données projet'!$B$12,Paramètres!$A$1:$I$89,3,0)*VLOOKUP('Données projet'!$B$12,Paramètres!$A$1:$I$89,5,0)</f>
        <v>19.000800000000002</v>
      </c>
      <c r="CA40" s="14">
        <f t="shared" si="39"/>
        <v>6.2154833000252001</v>
      </c>
      <c r="CB40" s="22">
        <f t="shared" si="10"/>
        <v>43.918360080877228</v>
      </c>
      <c r="CC40" s="62">
        <f t="shared" si="11"/>
        <v>337.25169341421054</v>
      </c>
      <c r="CD40" s="62">
        <f ca="1">AVERAGE(OFFSET($CC$3,0,0,'Données projet'!$E$12+1,1))-AVERAGE(OFFSET($H$3,0,0,'Données projet'!$E$12+1,1))</f>
        <v>37.174340347509542</v>
      </c>
      <c r="CE40" s="62">
        <f t="shared" si="40"/>
        <v>-42.822755675927624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3</v>
      </c>
      <c r="CT40" s="13">
        <f>IF('Données projet'!$A$140&gt;35,CT39+CS40-DB39,IF(A40&lt;'Données projet'!$A$140,$CQ$205^A40,IF(A40='Données projet'!$A$140,'Données projet'!$B$140,CT39+CS40-DB39)))</f>
        <v>21</v>
      </c>
      <c r="CU40" s="18">
        <f>CT40*VLOOKUP('Données projet'!$B$13,Paramètres!$A$1:$I$89,3,0)*VLOOKUP('Données projet'!$B$13,Paramètres!$A$1:$I$89,5,0)</f>
        <v>21.949200000000001</v>
      </c>
      <c r="CV40" s="14">
        <f t="shared" si="41"/>
        <v>7.0604051729439155</v>
      </c>
      <c r="CW40" s="22">
        <f t="shared" si="13"/>
        <v>50.525062342877327</v>
      </c>
      <c r="CX40" s="62">
        <f t="shared" si="14"/>
        <v>343.85839567621065</v>
      </c>
      <c r="CY40" s="62">
        <f ca="1">AVERAGE(OFFSET($CX$3,0,0,'Données projet'!$E$13+1,1))-AVERAGE(OFFSET($H$3,0,0,'Données projet'!$E$13+1,1))</f>
        <v>63.282881814092605</v>
      </c>
      <c r="CZ40" s="62">
        <f t="shared" si="42"/>
        <v>-40.869120230674525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30.825599999999987</v>
      </c>
      <c r="D41" s="12">
        <f t="shared" si="32"/>
        <v>9.5313474288652547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311.52731348597729</v>
      </c>
      <c r="H41" s="70">
        <f t="shared" si="1"/>
        <v>363.62168343860691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-5.6843418860808015E-14</v>
      </c>
      <c r="O41" s="14">
        <f>N41*VLOOKUP('Données projet'!$B$9,Paramètres!$A$1:$I$89,3,0)*VLOOKUP('Données projet'!$B$9,Paramètres!$A$1:$I$89,5,0)</f>
        <v>-2.8908289095852525E-14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121.64341556501768</v>
      </c>
      <c r="T41" s="62">
        <f t="shared" si="34"/>
        <v>370.21160497429781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64.946429171038545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64.946429171038545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-5.6843418860808015E-14</v>
      </c>
      <c r="AJ41" s="14">
        <f>AI41*VLOOKUP('Données projet'!$B$10,Paramètres!$A$1:$I$89,3,0)*VLOOKUP('Données projet'!$B$10,Paramètres!$A$1:$I$89,5,0)</f>
        <v>-3.2810021366458389E-14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140.99869591649082</v>
      </c>
      <c r="AO41" s="62">
        <f t="shared" si="36"/>
        <v>425.5885140588652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73.712204887375023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73.712204887375023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-5.6843418860808015E-14</v>
      </c>
      <c r="BE41" s="14">
        <f>BD41*VLOOKUP('Données projet'!$B$11,Paramètres!$A$1:$I$89,3,0)*VLOOKUP('Données projet'!$B$11,Paramètres!$A$1:$I$89,5,0)</f>
        <v>-3.2810021366458389E-14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140.99869591649082</v>
      </c>
      <c r="BJ41" s="62">
        <f t="shared" si="38"/>
        <v>425.5885140588652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73.712204887375023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73.712204887375023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3</v>
      </c>
      <c r="BY41" s="13">
        <f>IF('Données projet'!$A$114&gt;35,BY40+BX41-CG40,IF(A41&lt;'Données projet'!$A$114,$BV$205^A41,IF(A41='Données projet'!$A$114,'Données projet'!$B$114,BY40+BX41-CG40)))</f>
        <v>24</v>
      </c>
      <c r="BZ41" s="14">
        <f>BY41*VLOOKUP('Données projet'!$B$12,Paramètres!$A$1:$I$89,3,0)*VLOOKUP('Données projet'!$B$12,Paramètres!$A$1:$I$89,5,0)</f>
        <v>21.715199999999999</v>
      </c>
      <c r="CA41" s="14">
        <f t="shared" si="39"/>
        <v>6.9938544235075568</v>
      </c>
      <c r="CB41" s="22">
        <f t="shared" si="10"/>
        <v>50.00160312094232</v>
      </c>
      <c r="CC41" s="62">
        <f t="shared" si="11"/>
        <v>343.33493645427563</v>
      </c>
      <c r="CD41" s="62">
        <f ca="1">AVERAGE(OFFSET($CC$3,0,0,'Données projet'!$E$12+1,1))-AVERAGE(OFFSET($H$3,0,0,'Données projet'!$E$12+1,1))</f>
        <v>37.174340347509542</v>
      </c>
      <c r="CE41" s="62">
        <f t="shared" si="40"/>
        <v>-42.822755675927624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3</v>
      </c>
      <c r="CT41" s="13">
        <f>IF('Données projet'!$A$140&gt;35,CT40+CS41-DB40,IF(A41&lt;'Données projet'!$A$140,$CQ$205^A41,IF(A41='Données projet'!$A$140,'Données projet'!$B$140,CT40+CS41-DB40)))</f>
        <v>24</v>
      </c>
      <c r="CU41" s="18">
        <f>CT41*VLOOKUP('Données projet'!$B$13,Paramètres!$A$1:$I$89,3,0)*VLOOKUP('Données projet'!$B$13,Paramètres!$A$1:$I$89,5,0)</f>
        <v>25.084800000000005</v>
      </c>
      <c r="CV41" s="14">
        <f t="shared" si="41"/>
        <v>7.944586698567635</v>
      </c>
      <c r="CW41" s="22">
        <f t="shared" si="13"/>
        <v>57.526181833338647</v>
      </c>
      <c r="CX41" s="62">
        <f t="shared" si="14"/>
        <v>350.85951516667194</v>
      </c>
      <c r="CY41" s="62">
        <f ca="1">AVERAGE(OFFSET($CX$3,0,0,'Données projet'!$E$13+1,1))-AVERAGE(OFFSET($H$3,0,0,'Données projet'!$E$13+1,1))</f>
        <v>63.282881814092605</v>
      </c>
      <c r="CZ41" s="62">
        <f t="shared" si="42"/>
        <v>-40.869120230674525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31.636799999999987</v>
      </c>
      <c r="D42" s="12">
        <f t="shared" si="32"/>
        <v>9.7526401755191188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319.4974329338317</v>
      </c>
      <c r="H42" s="70">
        <f t="shared" si="1"/>
        <v>365.41994163902905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-5.6843418860808015E-14</v>
      </c>
      <c r="O42" s="14">
        <f>N42*VLOOKUP('Données projet'!$B$9,Paramètres!$A$1:$I$89,3,0)*VLOOKUP('Données projet'!$B$9,Paramètres!$A$1:$I$89,5,0)</f>
        <v>-2.8908289095852525E-14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121.64341556501768</v>
      </c>
      <c r="T42" s="62">
        <f t="shared" si="34"/>
        <v>370.21160497429781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63.672869308404778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63.672869308404778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-5.6843418860808015E-14</v>
      </c>
      <c r="AJ42" s="14">
        <f>AI42*VLOOKUP('Données projet'!$B$10,Paramètres!$A$1:$I$89,3,0)*VLOOKUP('Données projet'!$B$10,Paramètres!$A$1:$I$89,5,0)</f>
        <v>-3.2810021366458389E-14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140.99869591649082</v>
      </c>
      <c r="AO42" s="62">
        <f t="shared" si="36"/>
        <v>425.5885140588652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72.266753509539143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72.266753509539143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-5.6843418860808015E-14</v>
      </c>
      <c r="BE42" s="14">
        <f>BD42*VLOOKUP('Données projet'!$B$11,Paramètres!$A$1:$I$89,3,0)*VLOOKUP('Données projet'!$B$11,Paramètres!$A$1:$I$89,5,0)</f>
        <v>-3.2810021366458389E-14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140.99869591649082</v>
      </c>
      <c r="BJ42" s="62">
        <f t="shared" si="38"/>
        <v>425.5885140588652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72.266753509539143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72.266753509539143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3</v>
      </c>
      <c r="BY42" s="13">
        <f>IF('Données projet'!$A$114&gt;35,BY41+BX42-CG41,IF(A42&lt;'Données projet'!$A$114,$BV$205^A42,IF(A42='Données projet'!$A$114,'Données projet'!$B$114,BY41+BX42-CG41)))</f>
        <v>27</v>
      </c>
      <c r="BZ42" s="14">
        <f>BY42*VLOOKUP('Données projet'!$B$12,Paramètres!$A$1:$I$89,3,0)*VLOOKUP('Données projet'!$B$12,Paramètres!$A$1:$I$89,5,0)</f>
        <v>24.429599999999997</v>
      </c>
      <c r="CA42" s="14">
        <f t="shared" si="39"/>
        <v>7.7609512795113149</v>
      </c>
      <c r="CB42" s="22">
        <f t="shared" si="10"/>
        <v>56.06521014514886</v>
      </c>
      <c r="CC42" s="62">
        <f t="shared" si="11"/>
        <v>349.39854347848217</v>
      </c>
      <c r="CD42" s="62">
        <f ca="1">AVERAGE(OFFSET($CC$3,0,0,'Données projet'!$E$12+1,1))-AVERAGE(OFFSET($H$3,0,0,'Données projet'!$E$12+1,1))</f>
        <v>37.174340347509542</v>
      </c>
      <c r="CE42" s="62">
        <f t="shared" si="40"/>
        <v>-42.822755675927624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3</v>
      </c>
      <c r="CT42" s="13">
        <f>IF('Données projet'!$A$140&gt;35,CT41+CS42-DB41,IF(A42&lt;'Données projet'!$A$140,$CQ$205^A42,IF(A42='Données projet'!$A$140,'Données projet'!$B$140,CT41+CS42-DB41)))</f>
        <v>27</v>
      </c>
      <c r="CU42" s="18">
        <f>CT42*VLOOKUP('Données projet'!$B$13,Paramètres!$A$1:$I$89,3,0)*VLOOKUP('Données projet'!$B$13,Paramètres!$A$1:$I$89,5,0)</f>
        <v>28.220400000000001</v>
      </c>
      <c r="CV42" s="14">
        <f t="shared" si="41"/>
        <v>8.8159613526119962</v>
      </c>
      <c r="CW42" s="22">
        <f t="shared" si="13"/>
        <v>64.504996022465889</v>
      </c>
      <c r="CX42" s="62">
        <f t="shared" si="14"/>
        <v>357.8383293557992</v>
      </c>
      <c r="CY42" s="62">
        <f ca="1">AVERAGE(OFFSET($CX$3,0,0,'Données projet'!$E$13+1,1))-AVERAGE(OFFSET($H$3,0,0,'Données projet'!$E$13+1,1))</f>
        <v>63.282881814092605</v>
      </c>
      <c r="CZ42" s="62">
        <f t="shared" si="42"/>
        <v>-40.869120230674525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32.447999999999986</v>
      </c>
      <c r="D43" s="12">
        <f t="shared" si="32"/>
        <v>9.9732733567093845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327.4624609991601</v>
      </c>
      <c r="H43" s="70">
        <f t="shared" si="1"/>
        <v>367.21705109626879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-5.6843418860808015E-14</v>
      </c>
      <c r="O43" s="14">
        <f>N43*VLOOKUP('Données projet'!$B$9,Paramètres!$A$1:$I$89,3,0)*VLOOKUP('Données projet'!$B$9,Paramètres!$A$1:$I$89,5,0)</f>
        <v>-2.8908289095852525E-14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121.64341556501768</v>
      </c>
      <c r="T43" s="62">
        <f t="shared" si="34"/>
        <v>370.21160497429781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62.424283177882444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62.424283177882444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-5.6843418860808015E-14</v>
      </c>
      <c r="AJ43" s="14">
        <f>AI43*VLOOKUP('Données projet'!$B$10,Paramètres!$A$1:$I$89,3,0)*VLOOKUP('Données projet'!$B$10,Paramètres!$A$1:$I$89,5,0)</f>
        <v>-3.2810021366458389E-14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140.99869591649082</v>
      </c>
      <c r="AO43" s="62">
        <f t="shared" si="36"/>
        <v>425.5885140588652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70.849646551584343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70.849646551584343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-5.6843418860808015E-14</v>
      </c>
      <c r="BE43" s="14">
        <f>BD43*VLOOKUP('Données projet'!$B$11,Paramètres!$A$1:$I$89,3,0)*VLOOKUP('Données projet'!$B$11,Paramètres!$A$1:$I$89,5,0)</f>
        <v>-3.2810021366458389E-14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140.99869591649082</v>
      </c>
      <c r="BJ43" s="62">
        <f t="shared" si="38"/>
        <v>425.5885140588652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70.849646551584343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70.849646551584343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3</v>
      </c>
      <c r="BY43" s="13">
        <f>IF('Données projet'!$A$114&gt;35,BY42+BX43-CG42,IF(A43&lt;'Données projet'!$A$114,$BV$205^A43,IF(A43='Données projet'!$A$114,'Données projet'!$B$114,BY42+BX43-CG42)))</f>
        <v>30</v>
      </c>
      <c r="BZ43" s="14">
        <f>BY43*VLOOKUP('Données projet'!$B$12,Paramètres!$A$1:$I$89,3,0)*VLOOKUP('Données projet'!$B$12,Paramètres!$A$1:$I$89,5,0)</f>
        <v>27.143999999999998</v>
      </c>
      <c r="CA43" s="14">
        <f t="shared" si="39"/>
        <v>8.5181694620316346</v>
      </c>
      <c r="CB43" s="22">
        <f t="shared" si="10"/>
        <v>62.111611813038422</v>
      </c>
      <c r="CC43" s="62">
        <f t="shared" si="11"/>
        <v>355.44494514637177</v>
      </c>
      <c r="CD43" s="62">
        <f ca="1">AVERAGE(OFFSET($CC$3,0,0,'Données projet'!$E$12+1,1))-AVERAGE(OFFSET($H$3,0,0,'Données projet'!$E$12+1,1))</f>
        <v>37.174340347509542</v>
      </c>
      <c r="CE43" s="62">
        <f t="shared" si="40"/>
        <v>-42.822755675927624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3</v>
      </c>
      <c r="CT43" s="13">
        <f>IF('Données projet'!$A$140&gt;35,CT42+CS43-DB42,IF(A43&lt;'Données projet'!$A$140,$CQ$205^A43,IF(A43='Données projet'!$A$140,'Données projet'!$B$140,CT42+CS43-DB42)))</f>
        <v>30</v>
      </c>
      <c r="CU43" s="18">
        <f>CT43*VLOOKUP('Données projet'!$B$13,Paramètres!$A$1:$I$89,3,0)*VLOOKUP('Données projet'!$B$13,Paramètres!$A$1:$I$89,5,0)</f>
        <v>31.356000000000002</v>
      </c>
      <c r="CV43" s="14">
        <f t="shared" si="41"/>
        <v>9.6761144436663891</v>
      </c>
      <c r="CW43" s="22">
        <f t="shared" si="13"/>
        <v>71.464265989385623</v>
      </c>
      <c r="CX43" s="62">
        <f t="shared" si="14"/>
        <v>364.79759932271895</v>
      </c>
      <c r="CY43" s="62">
        <f ca="1">AVERAGE(OFFSET($CX$3,0,0,'Données projet'!$E$13+1,1))-AVERAGE(OFFSET($H$3,0,0,'Données projet'!$E$13+1,1))</f>
        <v>63.282881814092605</v>
      </c>
      <c r="CZ43" s="62">
        <f t="shared" si="42"/>
        <v>-40.869120230674525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33.259199999999986</v>
      </c>
      <c r="D44" s="12">
        <f t="shared" si="32"/>
        <v>10.193265358024181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335.42253960580064</v>
      </c>
      <c r="H44" s="70">
        <f t="shared" si="1"/>
        <v>369.01304383189211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-5.6843418860808015E-14</v>
      </c>
      <c r="O44" s="14">
        <f>N44*VLOOKUP('Données projet'!$B$9,Paramètres!$A$1:$I$89,3,0)*VLOOKUP('Données projet'!$B$9,Paramètres!$A$1:$I$89,5,0)</f>
        <v>-2.8908289095852525E-14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121.64341556501768</v>
      </c>
      <c r="T44" s="62">
        <f t="shared" si="34"/>
        <v>370.21160497429781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61.200181059817311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61.200181059817311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-5.6843418860808015E-14</v>
      </c>
      <c r="AJ44" s="14">
        <f>AI44*VLOOKUP('Données projet'!$B$10,Paramètres!$A$1:$I$89,3,0)*VLOOKUP('Données projet'!$B$10,Paramètres!$A$1:$I$89,5,0)</f>
        <v>-3.2810021366458389E-14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140.99869591649082</v>
      </c>
      <c r="AO44" s="62">
        <f t="shared" si="36"/>
        <v>425.5885140588652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69.460328196725143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69.460328196725143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-5.6843418860808015E-14</v>
      </c>
      <c r="BE44" s="14">
        <f>BD44*VLOOKUP('Données projet'!$B$11,Paramètres!$A$1:$I$89,3,0)*VLOOKUP('Données projet'!$B$11,Paramètres!$A$1:$I$89,5,0)</f>
        <v>-3.2810021366458389E-14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140.99869591649082</v>
      </c>
      <c r="BJ44" s="62">
        <f t="shared" si="38"/>
        <v>425.5885140588652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69.460328196725143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69.460328196725143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3</v>
      </c>
      <c r="BY44" s="13">
        <f>IF('Données projet'!$A$114&gt;35,BY43+BX44-CG43,IF(A44&lt;'Données projet'!$A$114,$BV$205^A44,IF(A44='Données projet'!$A$114,'Données projet'!$B$114,BY43+BX44-CG43)))</f>
        <v>33</v>
      </c>
      <c r="BZ44" s="14">
        <f>BY44*VLOOKUP('Données projet'!$B$12,Paramètres!$A$1:$I$89,3,0)*VLOOKUP('Données projet'!$B$12,Paramètres!$A$1:$I$89,5,0)</f>
        <v>29.858399999999996</v>
      </c>
      <c r="CA44" s="14">
        <f t="shared" si="39"/>
        <v>9.2666092944057148</v>
      </c>
      <c r="CB44" s="22">
        <f t="shared" si="10"/>
        <v>68.14272452108996</v>
      </c>
      <c r="CC44" s="62">
        <f t="shared" si="11"/>
        <v>361.47605785442329</v>
      </c>
      <c r="CD44" s="62">
        <f ca="1">AVERAGE(OFFSET($CC$3,0,0,'Données projet'!$E$12+1,1))-AVERAGE(OFFSET($H$3,0,0,'Données projet'!$E$12+1,1))</f>
        <v>37.174340347509542</v>
      </c>
      <c r="CE44" s="62">
        <f t="shared" si="40"/>
        <v>-42.822755675927624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3</v>
      </c>
      <c r="CT44" s="13">
        <f>IF('Données projet'!$A$140&gt;35,CT43+CS44-DB43,IF(A44&lt;'Données projet'!$A$140,$CQ$205^A44,IF(A44='Données projet'!$A$140,'Données projet'!$B$140,CT43+CS44-DB43)))</f>
        <v>33</v>
      </c>
      <c r="CU44" s="18">
        <f>CT44*VLOOKUP('Données projet'!$B$13,Paramètres!$A$1:$I$89,3,0)*VLOOKUP('Données projet'!$B$13,Paramètres!$A$1:$I$89,5,0)</f>
        <v>34.491600000000005</v>
      </c>
      <c r="CV44" s="14">
        <f t="shared" si="41"/>
        <v>10.5262958710881</v>
      </c>
      <c r="CW44" s="22">
        <f t="shared" si="13"/>
        <v>78.406168642145118</v>
      </c>
      <c r="CX44" s="62">
        <f t="shared" si="14"/>
        <v>371.73950197547845</v>
      </c>
      <c r="CY44" s="62">
        <f ca="1">AVERAGE(OFFSET($CX$3,0,0,'Données projet'!$E$13+1,1))-AVERAGE(OFFSET($H$3,0,0,'Données projet'!$E$13+1,1))</f>
        <v>63.282881814092605</v>
      </c>
      <c r="CZ44" s="62">
        <f t="shared" si="42"/>
        <v>-40.869120230674525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34.070399999999985</v>
      </c>
      <c r="D45" s="12">
        <f t="shared" si="32"/>
        <v>10.41263361705931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343.37780335975594</v>
      </c>
      <c r="H45" s="70">
        <f t="shared" si="1"/>
        <v>370.80795021637823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-5.6843418860808015E-14</v>
      </c>
      <c r="O45" s="14">
        <f>N45*VLOOKUP('Données projet'!$B$9,Paramètres!$A$1:$I$89,3,0)*VLOOKUP('Données projet'!$B$9,Paramètres!$A$1:$I$89,5,0)</f>
        <v>-2.8908289095852525E-14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121.64341556501768</v>
      </c>
      <c r="T45" s="62">
        <f t="shared" si="34"/>
        <v>370.21160497429781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60.000082837658866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60.000082837658866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-5.6843418860808015E-14</v>
      </c>
      <c r="AJ45" s="14">
        <f>AI45*VLOOKUP('Données projet'!$B$10,Paramètres!$A$1:$I$89,3,0)*VLOOKUP('Données projet'!$B$10,Paramètres!$A$1:$I$89,5,0)</f>
        <v>-3.2810021366458389E-14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140.99869591649082</v>
      </c>
      <c r="AO45" s="62">
        <f t="shared" si="36"/>
        <v>425.5885140588652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68.098253527404211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68.098253527404211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-5.6843418860808015E-14</v>
      </c>
      <c r="BE45" s="14">
        <f>BD45*VLOOKUP('Données projet'!$B$11,Paramètres!$A$1:$I$89,3,0)*VLOOKUP('Données projet'!$B$11,Paramètres!$A$1:$I$89,5,0)</f>
        <v>-3.2810021366458389E-14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140.99869591649082</v>
      </c>
      <c r="BJ45" s="62">
        <f t="shared" si="38"/>
        <v>425.5885140588652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68.098253527404211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68.098253527404211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36</v>
      </c>
      <c r="BW45" s="13">
        <f>VLOOKUP(A45,'Données projet'!$A$113:$I$133,9,0)</f>
        <v>3</v>
      </c>
      <c r="BX45" s="13">
        <f t="array" ref="BX45">INDEX(BW:BW,MIN(IF(ISNUMBER(BW45:BW241),ROW(BW45:BW241),"")))</f>
        <v>3</v>
      </c>
      <c r="BY45" s="13">
        <f>IF('Données projet'!$A$114&gt;35,BY44+BX45-CG44,IF(A45&lt;'Données projet'!$A$114,$BV$205^A45,IF(A45='Données projet'!$A$114,'Données projet'!$B$114,BY44+BX45-CG44)))</f>
        <v>36</v>
      </c>
      <c r="BZ45" s="14">
        <f>BY45*VLOOKUP('Données projet'!$B$12,Paramètres!$A$1:$I$89,3,0)*VLOOKUP('Données projet'!$B$12,Paramètres!$A$1:$I$89,5,0)</f>
        <v>32.572800000000001</v>
      </c>
      <c r="CA45" s="14">
        <f t="shared" si="39"/>
        <v>10.007159566468195</v>
      </c>
      <c r="CB45" s="22">
        <f t="shared" si="10"/>
        <v>74.160096244932106</v>
      </c>
      <c r="CC45" s="62">
        <f t="shared" si="11"/>
        <v>367.49342957826542</v>
      </c>
      <c r="CD45" s="62">
        <f ca="1">AVERAGE(OFFSET($CC$3,0,0,'Données projet'!$E$12+1,1))-AVERAGE(OFFSET($H$3,0,0,'Données projet'!$E$12+1,1))</f>
        <v>37.174340347509542</v>
      </c>
      <c r="CE45" s="62">
        <f t="shared" si="40"/>
        <v>-42.822755675927624</v>
      </c>
      <c r="CF45" s="16">
        <f>IF(ISNA(VLOOKUP(A45,'Données projet'!$A$113:$I$133,3,0)),0,VLOOKUP(A45,'Données projet'!$A$113:$I$133,3,0))</f>
        <v>3</v>
      </c>
      <c r="CG45" s="16">
        <f>IF(ISNA(VLOOKUP(A45,'Données projet'!$A$113:$I$133,4,0)),0,VLOOKUP(A45,'Données projet'!$A$113:$I$133,4,0))</f>
        <v>8</v>
      </c>
      <c r="CH45" s="17">
        <f>IF(ISNA(VLOOKUP(A45,'Données projet'!$A$113:$I$133,5,0)),0%,VLOOKUP(A45,'Données projet'!$A$113:$I$133,5,0)*VLOOKUP('Données projet'!$B$12,Paramètres!$A$1:$I$89,7,0))</f>
        <v>6.4500000000000002E-2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0.51611847329112914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0.51611847329112914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>
        <f>VLOOKUP(A45,'Données projet'!$A$139:$I$159,2,0)</f>
        <v>36</v>
      </c>
      <c r="CR45" s="13">
        <f>VLOOKUP(A45,'Données projet'!$A$139:$I$159,9,0)</f>
        <v>3</v>
      </c>
      <c r="CS45" s="13">
        <f t="array" ref="CS45">INDEX(CR:CR,MIN(IF(ISNUMBER(CR45:CR241),ROW(CR45:CR241),"")))</f>
        <v>3</v>
      </c>
      <c r="CT45" s="13">
        <f>IF('Données projet'!$A$140&gt;35,CT44+CS45-DB44,IF(A45&lt;'Données projet'!$A$140,$CQ$205^A45,IF(A45='Données projet'!$A$140,'Données projet'!$B$140,CT44+CS45-DB44)))</f>
        <v>36</v>
      </c>
      <c r="CU45" s="18">
        <f>CT45*VLOOKUP('Données projet'!$B$13,Paramètres!$A$1:$I$89,3,0)*VLOOKUP('Données projet'!$B$13,Paramètres!$A$1:$I$89,5,0)</f>
        <v>37.627200000000002</v>
      </c>
      <c r="CV45" s="14">
        <f t="shared" si="41"/>
        <v>11.36751524523938</v>
      </c>
      <c r="CW45" s="22">
        <f t="shared" si="13"/>
        <v>85.332462385458584</v>
      </c>
      <c r="CX45" s="62">
        <f t="shared" si="14"/>
        <v>378.66579571879191</v>
      </c>
      <c r="CY45" s="62">
        <f ca="1">AVERAGE(OFFSET($CX$3,0,0,'Données projet'!$E$13+1,1))-AVERAGE(OFFSET($H$3,0,0,'Données projet'!$E$13+1,1))</f>
        <v>63.282881814092605</v>
      </c>
      <c r="CZ45" s="62">
        <f t="shared" si="42"/>
        <v>-40.869120230674525</v>
      </c>
      <c r="DA45" s="16">
        <f>IF(ISNA(VLOOKUP(A45,'Données projet'!$A$139:$I$159,3,0)),0,VLOOKUP(A45,'Données projet'!$A$139:$I$159,3,0))</f>
        <v>3</v>
      </c>
      <c r="DB45" s="16">
        <f>IF(ISNA(VLOOKUP(A45,'Données projet'!$A$139:$I$159,4,0)),0,VLOOKUP(A45,'Données projet'!$A$139:$I$159,4,0))</f>
        <v>8</v>
      </c>
      <c r="DC45" s="17">
        <f>IF(ISNA(VLOOKUP(A45,'Données projet'!$A$139:$I$159,5,0)),0%,VLOOKUP(A45,'Données projet'!$A$139:$I$159,5,0)*VLOOKUP('Données projet'!$B$13,Paramètres!$A$1:$I$89,7,0))</f>
        <v>6.4500000000000002E-2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0.59620582259492516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0.59620582259492516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34.881599999999985</v>
      </c>
      <c r="D46" s="12">
        <f t="shared" si="32"/>
        <v>10.631394693688584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351.32838009163106</v>
      </c>
      <c r="H46" s="70">
        <f t="shared" si="1"/>
        <v>372.60179909150759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-5.6843418860808015E-14</v>
      </c>
      <c r="O46" s="14">
        <f>N46*VLOOKUP('Données projet'!$B$9,Paramètres!$A$1:$I$89,3,0)*VLOOKUP('Données projet'!$B$9,Paramètres!$A$1:$I$89,5,0)</f>
        <v>-2.8908289095852525E-14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121.64341556501768</v>
      </c>
      <c r="T46" s="62">
        <f t="shared" si="34"/>
        <v>370.21160497429781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58.82351780964931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58.82351780964931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-5.6843418860808015E-14</v>
      </c>
      <c r="AJ46" s="14">
        <f>AI46*VLOOKUP('Données projet'!$B$10,Paramètres!$A$1:$I$89,3,0)*VLOOKUP('Données projet'!$B$10,Paramètres!$A$1:$I$89,5,0)</f>
        <v>-3.2810021366458389E-14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140.99869591649082</v>
      </c>
      <c r="AO46" s="62">
        <f t="shared" si="36"/>
        <v>425.5885140588652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66.762888311565149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66.762888311565149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-5.6843418860808015E-14</v>
      </c>
      <c r="BE46" s="14">
        <f>BD46*VLOOKUP('Données projet'!$B$11,Paramètres!$A$1:$I$89,3,0)*VLOOKUP('Données projet'!$B$11,Paramètres!$A$1:$I$89,5,0)</f>
        <v>-3.2810021366458389E-14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140.99869591649082</v>
      </c>
      <c r="BJ46" s="62">
        <f t="shared" si="38"/>
        <v>425.5885140588652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66.762888311565149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66.762888311565149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3.5</v>
      </c>
      <c r="BY46" s="13">
        <f>IF('Données projet'!$A$114&gt;35,BY45+BX46-CG45,IF(A46&lt;'Données projet'!$A$114,$BV$205^A46,IF(A46='Données projet'!$A$114,'Données projet'!$B$114,BY45+BX46-CG45)))</f>
        <v>31.5</v>
      </c>
      <c r="BZ46" s="14">
        <f>BY46*VLOOKUP('Données projet'!$B$12,Paramètres!$A$1:$I$89,3,0)*VLOOKUP('Données projet'!$B$12,Paramètres!$A$1:$I$89,5,0)</f>
        <v>28.501200000000001</v>
      </c>
      <c r="CA46" s="14">
        <f t="shared" si="39"/>
        <v>8.8934269144933467</v>
      </c>
      <c r="CB46" s="22">
        <f t="shared" si="10"/>
        <v>65.128975209409234</v>
      </c>
      <c r="CC46" s="62">
        <f t="shared" si="11"/>
        <v>358.46230854274256</v>
      </c>
      <c r="CD46" s="62">
        <f ca="1">AVERAGE(OFFSET($CC$3,0,0,'Données projet'!$E$12+1,1))-AVERAGE(OFFSET($H$3,0,0,'Données projet'!$E$12+1,1))</f>
        <v>37.174340347509542</v>
      </c>
      <c r="CE46" s="62">
        <f t="shared" si="40"/>
        <v>-42.822755675927624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0.50599770483107476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0.50599770483107476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3.5</v>
      </c>
      <c r="CT46" s="13">
        <f>IF('Données projet'!$A$140&gt;35,CT45+CS46-DB45,IF(A46&lt;'Données projet'!$A$140,$CQ$205^A46,IF(A46='Données projet'!$A$140,'Données projet'!$B$140,CT45+CS46-DB45)))</f>
        <v>31.5</v>
      </c>
      <c r="CU46" s="18">
        <f>CT46*VLOOKUP('Données projet'!$B$13,Paramètres!$A$1:$I$89,3,0)*VLOOKUP('Données projet'!$B$13,Paramètres!$A$1:$I$89,5,0)</f>
        <v>32.9238</v>
      </c>
      <c r="CV46" s="14">
        <f t="shared" si="41"/>
        <v>10.102383734509091</v>
      </c>
      <c r="CW46" s="22">
        <f t="shared" si="13"/>
        <v>74.93727000426999</v>
      </c>
      <c r="CX46" s="62">
        <f t="shared" si="14"/>
        <v>368.27060333760329</v>
      </c>
      <c r="CY46" s="62">
        <f ca="1">AVERAGE(OFFSET($CX$3,0,0,'Données projet'!$E$13+1,1))-AVERAGE(OFFSET($H$3,0,0,'Données projet'!$E$13+1,1))</f>
        <v>63.282881814092605</v>
      </c>
      <c r="CZ46" s="62">
        <f t="shared" si="42"/>
        <v>-40.869120230674525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0.58451459006348305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0.58451459006348305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35.692799999999984</v>
      </c>
      <c r="D47" s="12">
        <f t="shared" si="32"/>
        <v>10.849564333613259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359.27439134718998</v>
      </c>
      <c r="H47" s="70">
        <f t="shared" si="1"/>
        <v>374.39461788104302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-5.6843418860808015E-14</v>
      </c>
      <c r="O47" s="14">
        <f>N47*VLOOKUP('Données projet'!$B$9,Paramètres!$A$1:$I$89,3,0)*VLOOKUP('Données projet'!$B$9,Paramètres!$A$1:$I$89,5,0)</f>
        <v>-2.8908289095852525E-14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121.64341556501768</v>
      </c>
      <c r="T47" s="62">
        <f t="shared" si="34"/>
        <v>370.21160497429781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57.670024504205216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57.670024504205216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-5.6843418860808015E-14</v>
      </c>
      <c r="AJ47" s="14">
        <f>AI47*VLOOKUP('Données projet'!$B$10,Paramètres!$A$1:$I$89,3,0)*VLOOKUP('Données projet'!$B$10,Paramètres!$A$1:$I$89,5,0)</f>
        <v>-3.2810021366458389E-14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140.99869591649082</v>
      </c>
      <c r="AO47" s="62">
        <f t="shared" si="36"/>
        <v>425.5885140588652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65.453708793116334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65.453708793116334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-5.6843418860808015E-14</v>
      </c>
      <c r="BE47" s="14">
        <f>BD47*VLOOKUP('Données projet'!$B$11,Paramètres!$A$1:$I$89,3,0)*VLOOKUP('Données projet'!$B$11,Paramètres!$A$1:$I$89,5,0)</f>
        <v>-3.2810021366458389E-14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140.99869591649082</v>
      </c>
      <c r="BJ47" s="62">
        <f t="shared" si="38"/>
        <v>425.5885140588652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65.453708793116334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65.453708793116334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3.5</v>
      </c>
      <c r="BY47" s="13">
        <f>IF('Données projet'!$A$114&gt;35,BY46+BX47-CG46,IF(A47&lt;'Données projet'!$A$114,$BV$205^A47,IF(A47='Données projet'!$A$114,'Données projet'!$B$114,BY46+BX47-CG46)))</f>
        <v>35</v>
      </c>
      <c r="BZ47" s="14">
        <f>BY47*VLOOKUP('Données projet'!$B$12,Paramètres!$A$1:$I$89,3,0)*VLOOKUP('Données projet'!$B$12,Paramètres!$A$1:$I$89,5,0)</f>
        <v>31.667999999999996</v>
      </c>
      <c r="CA47" s="14">
        <f t="shared" si="39"/>
        <v>9.7611381424130652</v>
      </c>
      <c r="CB47" s="22">
        <f t="shared" si="10"/>
        <v>72.155748931369416</v>
      </c>
      <c r="CC47" s="62">
        <f t="shared" si="11"/>
        <v>365.48908226470274</v>
      </c>
      <c r="CD47" s="62">
        <f ca="1">AVERAGE(OFFSET($CC$3,0,0,'Données projet'!$E$12+1,1))-AVERAGE(OFFSET($H$3,0,0,'Données projet'!$E$12+1,1))</f>
        <v>37.174340347509542</v>
      </c>
      <c r="CE47" s="62">
        <f t="shared" si="40"/>
        <v>-42.822755675927624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0.49607539846746285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0.49607539846746285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3.5</v>
      </c>
      <c r="CT47" s="13">
        <f>IF('Données projet'!$A$140&gt;35,CT46+CS47-DB46,IF(A47&lt;'Données projet'!$A$140,$CQ$205^A47,IF(A47='Données projet'!$A$140,'Données projet'!$B$140,CT46+CS47-DB46)))</f>
        <v>35</v>
      </c>
      <c r="CU47" s="18">
        <f>CT47*VLOOKUP('Données projet'!$B$13,Paramètres!$A$1:$I$89,3,0)*VLOOKUP('Données projet'!$B$13,Paramètres!$A$1:$I$89,5,0)</f>
        <v>36.582000000000008</v>
      </c>
      <c r="CV47" s="14">
        <f t="shared" si="41"/>
        <v>11.08805010130652</v>
      </c>
      <c r="CW47" s="22">
        <f t="shared" si="13"/>
        <v>83.025337259775526</v>
      </c>
      <c r="CX47" s="62">
        <f t="shared" si="14"/>
        <v>376.35867059310885</v>
      </c>
      <c r="CY47" s="62">
        <f ca="1">AVERAGE(OFFSET($CX$3,0,0,'Données projet'!$E$13+1,1))-AVERAGE(OFFSET($H$3,0,0,'Données projet'!$E$13+1,1))</f>
        <v>63.282881814092605</v>
      </c>
      <c r="CZ47" s="62">
        <f t="shared" si="42"/>
        <v>-40.869120230674525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0.57305261547103481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0.57305261547103481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36.503999999999984</v>
      </c>
      <c r="D48" s="12">
        <f t="shared" si="32"/>
        <v>11.067157525971371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367.21595283205966</v>
      </c>
      <c r="H48" s="70">
        <f t="shared" si="1"/>
        <v>376.18643269106678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-5.6843418860808015E-14</v>
      </c>
      <c r="O48" s="14">
        <f>N48*VLOOKUP('Données projet'!$B$9,Paramètres!$A$1:$I$89,3,0)*VLOOKUP('Données projet'!$B$9,Paramètres!$A$1:$I$89,5,0)</f>
        <v>-2.8908289095852525E-14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121.64341556501768</v>
      </c>
      <c r="T48" s="62">
        <f t="shared" si="34"/>
        <v>370.21160497429781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56.539150498919433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56.539150498919433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-5.6843418860808015E-14</v>
      </c>
      <c r="AJ48" s="14">
        <f>AI48*VLOOKUP('Données projet'!$B$10,Paramètres!$A$1:$I$89,3,0)*VLOOKUP('Données projet'!$B$10,Paramètres!$A$1:$I$89,5,0)</f>
        <v>-3.2810021366458389E-14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140.99869591649082</v>
      </c>
      <c r="AO48" s="62">
        <f t="shared" si="36"/>
        <v>425.5885140588652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64.170201486503629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64.170201486503629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-5.6843418860808015E-14</v>
      </c>
      <c r="BE48" s="14">
        <f>BD48*VLOOKUP('Données projet'!$B$11,Paramètres!$A$1:$I$89,3,0)*VLOOKUP('Données projet'!$B$11,Paramètres!$A$1:$I$89,5,0)</f>
        <v>-3.2810021366458389E-14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140.99869591649082</v>
      </c>
      <c r="BJ48" s="62">
        <f t="shared" si="38"/>
        <v>425.5885140588652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64.170201486503629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64.170201486503629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3.5</v>
      </c>
      <c r="BY48" s="13">
        <f>IF('Données projet'!$A$114&gt;35,BY47+BX48-CG47,IF(A48&lt;'Données projet'!$A$114,$BV$205^A48,IF(A48='Données projet'!$A$114,'Données projet'!$B$114,BY47+BX48-CG47)))</f>
        <v>38.5</v>
      </c>
      <c r="BZ48" s="14">
        <f>BY48*VLOOKUP('Données projet'!$B$12,Paramètres!$A$1:$I$89,3,0)*VLOOKUP('Données projet'!$B$12,Paramètres!$A$1:$I$89,5,0)</f>
        <v>34.834800000000001</v>
      </c>
      <c r="CA48" s="14">
        <f t="shared" si="39"/>
        <v>10.618790086020381</v>
      </c>
      <c r="CB48" s="22">
        <f t="shared" si="10"/>
        <v>79.165002733152164</v>
      </c>
      <c r="CC48" s="62">
        <f t="shared" si="11"/>
        <v>372.49833606648548</v>
      </c>
      <c r="CD48" s="62">
        <f ca="1">AVERAGE(OFFSET($CC$3,0,0,'Données projet'!$E$12+1,1))-AVERAGE(OFFSET($H$3,0,0,'Données projet'!$E$12+1,1))</f>
        <v>37.174340347509542</v>
      </c>
      <c r="CE48" s="62">
        <f t="shared" si="40"/>
        <v>-42.822755675927624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0.48634766247963207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0.48634766247963207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3.5</v>
      </c>
      <c r="CT48" s="13">
        <f>IF('Données projet'!$A$140&gt;35,CT47+CS48-DB47,IF(A48&lt;'Données projet'!$A$140,$CQ$205^A48,IF(A48='Données projet'!$A$140,'Données projet'!$B$140,CT47+CS48-DB47)))</f>
        <v>38.5</v>
      </c>
      <c r="CU48" s="18">
        <f>CT48*VLOOKUP('Données projet'!$B$13,Paramètres!$A$1:$I$89,3,0)*VLOOKUP('Données projet'!$B$13,Paramètres!$A$1:$I$89,5,0)</f>
        <v>40.240200000000002</v>
      </c>
      <c r="CV48" s="14">
        <f t="shared" si="41"/>
        <v>12.062289742366444</v>
      </c>
      <c r="CW48" s="22">
        <f t="shared" si="13"/>
        <v>91.093502967954905</v>
      </c>
      <c r="CX48" s="62">
        <f t="shared" si="14"/>
        <v>384.42683630128823</v>
      </c>
      <c r="CY48" s="62">
        <f ca="1">AVERAGE(OFFSET($CX$3,0,0,'Données projet'!$E$13+1,1))-AVERAGE(OFFSET($H$3,0,0,'Données projet'!$E$13+1,1))</f>
        <v>63.282881814092605</v>
      </c>
      <c r="CZ48" s="62">
        <f t="shared" si="42"/>
        <v>-40.869120230674525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0.56181540320923029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0.56181540320923029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37.315199999999983</v>
      </c>
      <c r="D49" s="12">
        <f t="shared" si="32"/>
        <v>11.284188555681862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375.15317481578967</v>
      </c>
      <c r="H49" s="70">
        <f t="shared" si="1"/>
        <v>377.97726840114586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-5.6843418860808015E-14</v>
      </c>
      <c r="O49" s="14">
        <f>N49*VLOOKUP('Données projet'!$B$9,Paramètres!$A$1:$I$89,3,0)*VLOOKUP('Données projet'!$B$9,Paramètres!$A$1:$I$89,5,0)</f>
        <v>-2.8908289095852525E-14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121.64341556501768</v>
      </c>
      <c r="T49" s="62">
        <f t="shared" si="34"/>
        <v>370.21160497429781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55.430452243112271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55.430452243112271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-5.6843418860808015E-14</v>
      </c>
      <c r="AJ49" s="14">
        <f>AI49*VLOOKUP('Données projet'!$B$10,Paramètres!$A$1:$I$89,3,0)*VLOOKUP('Données projet'!$B$10,Paramètres!$A$1:$I$89,5,0)</f>
        <v>-3.2810021366458389E-14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140.99869591649082</v>
      </c>
      <c r="AO49" s="62">
        <f t="shared" si="36"/>
        <v>425.5885140588652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62.91186297531145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62.91186297531145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-5.6843418860808015E-14</v>
      </c>
      <c r="BE49" s="14">
        <f>BD49*VLOOKUP('Données projet'!$B$11,Paramètres!$A$1:$I$89,3,0)*VLOOKUP('Données projet'!$B$11,Paramètres!$A$1:$I$89,5,0)</f>
        <v>-3.2810021366458389E-14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140.99869591649082</v>
      </c>
      <c r="BJ49" s="62">
        <f t="shared" si="38"/>
        <v>425.5885140588652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62.91186297531145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62.91186297531145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3.5</v>
      </c>
      <c r="BY49" s="13">
        <f>IF('Données projet'!$A$114&gt;35,BY48+BX49-CG48,IF(A49&lt;'Données projet'!$A$114,$BV$205^A49,IF(A49='Données projet'!$A$114,'Données projet'!$B$114,BY48+BX49-CG48)))</f>
        <v>42</v>
      </c>
      <c r="BZ49" s="14">
        <f>BY49*VLOOKUP('Données projet'!$B$12,Paramètres!$A$1:$I$89,3,0)*VLOOKUP('Données projet'!$B$12,Paramètres!$A$1:$I$89,5,0)</f>
        <v>38.001600000000003</v>
      </c>
      <c r="CA49" s="14">
        <f t="shared" si="39"/>
        <v>11.467401227090512</v>
      </c>
      <c r="CB49" s="22">
        <f t="shared" si="10"/>
        <v>86.158510470515978</v>
      </c>
      <c r="CC49" s="62">
        <f t="shared" si="11"/>
        <v>379.49184380384929</v>
      </c>
      <c r="CD49" s="62">
        <f ca="1">AVERAGE(OFFSET($CC$3,0,0,'Données projet'!$E$12+1,1))-AVERAGE(OFFSET($H$3,0,0,'Données projet'!$E$12+1,1))</f>
        <v>37.174340347509542</v>
      </c>
      <c r="CE49" s="62">
        <f t="shared" si="40"/>
        <v>-42.822755675927624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0.47681068146118954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0.47681068146118954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3.5</v>
      </c>
      <c r="CT49" s="13">
        <f>IF('Données projet'!$A$140&gt;35,CT48+CS49-DB48,IF(A49&lt;'Données projet'!$A$140,$CQ$205^A49,IF(A49='Données projet'!$A$140,'Données projet'!$B$140,CT48+CS49-DB48)))</f>
        <v>42</v>
      </c>
      <c r="CU49" s="18">
        <f>CT49*VLOOKUP('Données projet'!$B$13,Paramètres!$A$1:$I$89,3,0)*VLOOKUP('Données projet'!$B$13,Paramètres!$A$1:$I$89,5,0)</f>
        <v>43.898400000000002</v>
      </c>
      <c r="CV49" s="14">
        <f t="shared" si="41"/>
        <v>13.026259590086106</v>
      </c>
      <c r="CW49" s="22">
        <f t="shared" si="13"/>
        <v>99.143782119399972</v>
      </c>
      <c r="CX49" s="62">
        <f t="shared" si="14"/>
        <v>392.4771154527333</v>
      </c>
      <c r="CY49" s="62">
        <f ca="1">AVERAGE(OFFSET($CX$3,0,0,'Données projet'!$E$13+1,1))-AVERAGE(OFFSET($H$3,0,0,'Données projet'!$E$13+1,1))</f>
        <v>63.282881814092605</v>
      </c>
      <c r="CZ49" s="62">
        <f t="shared" si="42"/>
        <v>-40.869120230674525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0.55079854582585708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0.55079854582585708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38.126399999999983</v>
      </c>
      <c r="D50" s="12">
        <f t="shared" si="32"/>
        <v>11.500671051108629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383.08616249978581</v>
      </c>
      <c r="H50" s="70">
        <f t="shared" si="1"/>
        <v>379.76714874734751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-5.6843418860808015E-14</v>
      </c>
      <c r="O50" s="14">
        <f>N50*VLOOKUP('Données projet'!$B$9,Paramètres!$A$1:$I$89,3,0)*VLOOKUP('Données projet'!$B$9,Paramètres!$A$1:$I$89,5,0)</f>
        <v>-2.8908289095852525E-14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121.64341556501768</v>
      </c>
      <c r="T50" s="62">
        <f t="shared" si="34"/>
        <v>370.21160497429781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54.34349488386232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54.34349488386232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-5.6843418860808015E-14</v>
      </c>
      <c r="AJ50" s="14">
        <f>AI50*VLOOKUP('Données projet'!$B$10,Paramètres!$A$1:$I$89,3,0)*VLOOKUP('Données projet'!$B$10,Paramètres!$A$1:$I$89,5,0)</f>
        <v>-3.2810021366458389E-14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140.99869591649082</v>
      </c>
      <c r="AO50" s="62">
        <f t="shared" si="36"/>
        <v>425.5885140588652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61.67819971481304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61.67819971481304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-5.6843418860808015E-14</v>
      </c>
      <c r="BE50" s="14">
        <f>BD50*VLOOKUP('Données projet'!$B$11,Paramètres!$A$1:$I$89,3,0)*VLOOKUP('Données projet'!$B$11,Paramètres!$A$1:$I$89,5,0)</f>
        <v>-3.2810021366458389E-14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140.99869591649082</v>
      </c>
      <c r="BJ50" s="62">
        <f t="shared" si="38"/>
        <v>425.5885140588652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61.67819971481304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61.67819971481304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3.5</v>
      </c>
      <c r="BY50" s="13">
        <f>IF('Données projet'!$A$114&gt;35,BY49+BX50-CG49,IF(A50&lt;'Données projet'!$A$114,$BV$205^A50,IF(A50='Données projet'!$A$114,'Données projet'!$B$114,BY49+BX50-CG49)))</f>
        <v>45.5</v>
      </c>
      <c r="BZ50" s="14">
        <f>BY50*VLOOKUP('Données projet'!$B$12,Paramètres!$A$1:$I$89,3,0)*VLOOKUP('Données projet'!$B$12,Paramètres!$A$1:$I$89,5,0)</f>
        <v>41.168399999999998</v>
      </c>
      <c r="CA50" s="14">
        <f t="shared" si="39"/>
        <v>12.307810620748144</v>
      </c>
      <c r="CB50" s="22">
        <f t="shared" si="10"/>
        <v>93.137733497803012</v>
      </c>
      <c r="CC50" s="62">
        <f t="shared" si="11"/>
        <v>386.47106683113634</v>
      </c>
      <c r="CD50" s="62">
        <f ca="1">AVERAGE(OFFSET($CC$3,0,0,'Données projet'!$E$12+1,1))-AVERAGE(OFFSET($H$3,0,0,'Données projet'!$E$12+1,1))</f>
        <v>37.174340347509542</v>
      </c>
      <c r="CE50" s="62">
        <f t="shared" si="40"/>
        <v>-42.822755675927624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0.46746071482353463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0.46746071482353463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3.5</v>
      </c>
      <c r="CT50" s="13">
        <f>IF('Données projet'!$A$140&gt;35,CT49+CS50-DB49,IF(A50&lt;'Données projet'!$A$140,$CQ$205^A50,IF(A50='Données projet'!$A$140,'Données projet'!$B$140,CT49+CS50-DB49)))</f>
        <v>45.5</v>
      </c>
      <c r="CU50" s="18">
        <f>CT50*VLOOKUP('Données projet'!$B$13,Paramètres!$A$1:$I$89,3,0)*VLOOKUP('Données projet'!$B$13,Paramètres!$A$1:$I$89,5,0)</f>
        <v>47.556600000000003</v>
      </c>
      <c r="CV50" s="14">
        <f t="shared" si="41"/>
        <v>13.980912759268779</v>
      </c>
      <c r="CW50" s="22">
        <f t="shared" si="13"/>
        <v>107.17783472239313</v>
      </c>
      <c r="CX50" s="62">
        <f t="shared" si="14"/>
        <v>400.51116805572644</v>
      </c>
      <c r="CY50" s="62">
        <f ca="1">AVERAGE(OFFSET($CX$3,0,0,'Données projet'!$E$13+1,1))-AVERAGE(OFFSET($H$3,0,0,'Données projet'!$E$13+1,1))</f>
        <v>63.282881814092605</v>
      </c>
      <c r="CZ50" s="62">
        <f t="shared" si="42"/>
        <v>-40.869120230674525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0.53999772229615228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0.53999772229615228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38.937599999999982</v>
      </c>
      <c r="D51" s="12">
        <f t="shared" si="32"/>
        <v>11.716618027553629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391.01501635304544</v>
      </c>
      <c r="H51" s="70">
        <f t="shared" si="1"/>
        <v>381.55609639798917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-5.6843418860808015E-14</v>
      </c>
      <c r="O51" s="14">
        <f>N51*VLOOKUP('Données projet'!$B$9,Paramètres!$A$1:$I$89,3,0)*VLOOKUP('Données projet'!$B$9,Paramètres!$A$1:$I$89,5,0)</f>
        <v>-2.8908289095852525E-14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121.64341556501768</v>
      </c>
      <c r="T51" s="62">
        <f t="shared" si="34"/>
        <v>370.21160497429781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53.277852095448736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53.277852095448736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-5.6843418860808015E-14</v>
      </c>
      <c r="AJ51" s="14">
        <f>AI51*VLOOKUP('Données projet'!$B$10,Paramètres!$A$1:$I$89,3,0)*VLOOKUP('Données projet'!$B$10,Paramètres!$A$1:$I$89,5,0)</f>
        <v>-3.2810021366458389E-14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140.99869591649082</v>
      </c>
      <c r="AO51" s="62">
        <f t="shared" si="36"/>
        <v>425.5885140588652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60.468727838392716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60.468727838392716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-5.6843418860808015E-14</v>
      </c>
      <c r="BE51" s="14">
        <f>BD51*VLOOKUP('Données projet'!$B$11,Paramètres!$A$1:$I$89,3,0)*VLOOKUP('Données projet'!$B$11,Paramètres!$A$1:$I$89,5,0)</f>
        <v>-3.2810021366458389E-14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140.99869591649082</v>
      </c>
      <c r="BJ51" s="62">
        <f t="shared" si="38"/>
        <v>425.5885140588652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60.468727838392716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60.468727838392716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>
        <f>VLOOKUP(A51,'Données projet'!$A$113:$I$133,2,0)</f>
        <v>49</v>
      </c>
      <c r="BW51" s="13">
        <f>VLOOKUP(A51,'Données projet'!$A$113:$I$133,9,0)</f>
        <v>3.5</v>
      </c>
      <c r="BX51" s="13">
        <f t="array" ref="BX51">INDEX(BW:BW,MIN(IF(ISNUMBER(BW51:BW247),ROW(BW51:BW247),"")))</f>
        <v>3.5</v>
      </c>
      <c r="BY51" s="13">
        <f>IF('Données projet'!$A$114&gt;35,BY50+BX51-CG50,IF(A51&lt;'Données projet'!$A$114,$BV$205^A51,IF(A51='Données projet'!$A$114,'Données projet'!$B$114,BY50+BX51-CG50)))</f>
        <v>49</v>
      </c>
      <c r="BZ51" s="14">
        <f>BY51*VLOOKUP('Données projet'!$B$12,Paramètres!$A$1:$I$89,3,0)*VLOOKUP('Données projet'!$B$12,Paramètres!$A$1:$I$89,5,0)</f>
        <v>44.3352</v>
      </c>
      <c r="CA51" s="14">
        <f t="shared" si="39"/>
        <v>13.140720903832607</v>
      </c>
      <c r="CB51" s="22">
        <f t="shared" si="10"/>
        <v>100.10389557417513</v>
      </c>
      <c r="CC51" s="62">
        <f t="shared" si="11"/>
        <v>393.43722890750843</v>
      </c>
      <c r="CD51" s="62">
        <f ca="1">AVERAGE(OFFSET($CC$3,0,0,'Données projet'!$E$12+1,1))-AVERAGE(OFFSET($H$3,0,0,'Données projet'!$E$12+1,1))</f>
        <v>37.174340347509542</v>
      </c>
      <c r="CE51" s="62">
        <f t="shared" si="40"/>
        <v>-42.822755675927624</v>
      </c>
      <c r="CF51" s="16">
        <f>IF(ISNA(VLOOKUP(A51,'Données projet'!$A$113:$I$133,3,0)),0,VLOOKUP(A51,'Données projet'!$A$113:$I$133,3,0))</f>
        <v>4</v>
      </c>
      <c r="CG51" s="16">
        <f>IF(ISNA(VLOOKUP(A51,'Données projet'!$A$113:$I$133,4,0)),0,VLOOKUP(A51,'Données projet'!$A$113:$I$133,4,0))</f>
        <v>15</v>
      </c>
      <c r="CH51" s="17">
        <f>IF(ISNA(VLOOKUP(A51,'Données projet'!$A$113:$I$133,5,0)),0%,VLOOKUP(A51,'Données projet'!$A$113:$I$133,5,0)*VLOOKUP('Données projet'!$B$12,Paramètres!$A$1:$I$89,7,0))</f>
        <v>6.4500000000000002E-2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1.4260162327495949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1.4260162327495949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>
        <f>VLOOKUP(A51,'Données projet'!$A$139:$I$159,2,0)</f>
        <v>49</v>
      </c>
      <c r="CR51" s="13">
        <f>VLOOKUP(A51,'Données projet'!$A$139:$I$159,9,0)</f>
        <v>3.5</v>
      </c>
      <c r="CS51" s="13">
        <f t="array" ref="CS51">INDEX(CR:CR,MIN(IF(ISNUMBER(CR51:CR247),ROW(CR51:CR247),"")))</f>
        <v>3.5</v>
      </c>
      <c r="CT51" s="13">
        <f>IF('Données projet'!$A$140&gt;35,CT50+CS51-DB50,IF(A51&lt;'Données projet'!$A$140,$CQ$205^A51,IF(A51='Données projet'!$A$140,'Données projet'!$B$140,CT50+CS51-DB50)))</f>
        <v>49</v>
      </c>
      <c r="CU51" s="18">
        <f>CT51*VLOOKUP('Données projet'!$B$13,Paramètres!$A$1:$I$89,3,0)*VLOOKUP('Données projet'!$B$13,Paramètres!$A$1:$I$89,5,0)</f>
        <v>51.214800000000011</v>
      </c>
      <c r="CV51" s="14">
        <f t="shared" si="41"/>
        <v>14.927047401970473</v>
      </c>
      <c r="CW51" s="22">
        <f t="shared" si="13"/>
        <v>115.19705089176524</v>
      </c>
      <c r="CX51" s="62">
        <f t="shared" si="14"/>
        <v>408.53038422509854</v>
      </c>
      <c r="CY51" s="62">
        <f ca="1">AVERAGE(OFFSET($CX$3,0,0,'Données projet'!$E$13+1,1))-AVERAGE(OFFSET($H$3,0,0,'Données projet'!$E$13+1,1))</f>
        <v>63.282881814092605</v>
      </c>
      <c r="CZ51" s="62">
        <f t="shared" si="42"/>
        <v>-40.869120230674525</v>
      </c>
      <c r="DA51" s="16">
        <f>IF(ISNA(VLOOKUP(A51,'Données projet'!$A$139:$I$159,3,0)),0,VLOOKUP(A51,'Données projet'!$A$139:$I$159,3,0))</f>
        <v>4</v>
      </c>
      <c r="DB51" s="16">
        <f>IF(ISNA(VLOOKUP(A51,'Données projet'!$A$139:$I$159,4,0)),0,VLOOKUP(A51,'Données projet'!$A$139:$I$159,4,0))</f>
        <v>15</v>
      </c>
      <c r="DC51" s="17">
        <f>IF(ISNA(VLOOKUP(A51,'Données projet'!$A$139:$I$159,5,0)),0%,VLOOKUP(A51,'Données projet'!$A$139:$I$159,5,0)*VLOOKUP('Données projet'!$B$13,Paramètres!$A$1:$I$89,7,0))</f>
        <v>6.4500000000000002E-2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1.6472946136934978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1.6472946136934978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39.748799999999981</v>
      </c>
      <c r="D52" s="12">
        <f t="shared" si="32"/>
        <v>11.93204192702321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398.93983241912639</v>
      </c>
      <c r="H52" s="70">
        <f t="shared" si="1"/>
        <v>383.34413302289869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-5.6843418860808015E-14</v>
      </c>
      <c r="O52" s="14">
        <f>N52*VLOOKUP('Données projet'!$B$9,Paramètres!$A$1:$I$89,3,0)*VLOOKUP('Données projet'!$B$9,Paramètres!$A$1:$I$89,5,0)</f>
        <v>-2.8908289095852525E-14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121.64341556501768</v>
      </c>
      <c r="T52" s="62">
        <f t="shared" si="34"/>
        <v>370.21160497429781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52.233105912138022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52.233105912138022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-5.6843418860808015E-14</v>
      </c>
      <c r="AJ52" s="14">
        <f>AI52*VLOOKUP('Données projet'!$B$10,Paramètres!$A$1:$I$89,3,0)*VLOOKUP('Données projet'!$B$10,Paramètres!$A$1:$I$89,5,0)</f>
        <v>-3.2810021366458389E-14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140.99869591649082</v>
      </c>
      <c r="AO52" s="62">
        <f t="shared" si="36"/>
        <v>425.5885140588652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59.282972967763996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59.282972967763996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-5.6843418860808015E-14</v>
      </c>
      <c r="BE52" s="14">
        <f>BD52*VLOOKUP('Données projet'!$B$11,Paramètres!$A$1:$I$89,3,0)*VLOOKUP('Données projet'!$B$11,Paramètres!$A$1:$I$89,5,0)</f>
        <v>-3.2810021366458389E-14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140.99869591649082</v>
      </c>
      <c r="BJ52" s="62">
        <f t="shared" si="38"/>
        <v>425.5885140588652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59.282972967763996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59.282972967763996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4.5</v>
      </c>
      <c r="BY52" s="13">
        <f>IF('Données projet'!$A$114&gt;35,BY51+BX52-CG51,IF(A52&lt;'Données projet'!$A$114,$BV$205^A52,IF(A52='Données projet'!$A$114,'Données projet'!$B$114,BY51+BX52-CG51)))</f>
        <v>38.5</v>
      </c>
      <c r="BZ52" s="14">
        <f>BY52*VLOOKUP('Données projet'!$B$12,Paramètres!$A$1:$I$89,3,0)*VLOOKUP('Données projet'!$B$12,Paramètres!$A$1:$I$89,5,0)</f>
        <v>34.834800000000001</v>
      </c>
      <c r="CA52" s="14">
        <f t="shared" si="39"/>
        <v>10.618790086020381</v>
      </c>
      <c r="CB52" s="22">
        <f t="shared" si="10"/>
        <v>79.165002733152164</v>
      </c>
      <c r="CC52" s="62">
        <f t="shared" si="11"/>
        <v>372.49833606648548</v>
      </c>
      <c r="CD52" s="62">
        <f ca="1">AVERAGE(OFFSET($CC$3,0,0,'Données projet'!$E$12+1,1))-AVERAGE(OFFSET($H$3,0,0,'Données projet'!$E$12+1,1))</f>
        <v>37.174340347509542</v>
      </c>
      <c r="CE52" s="62">
        <f t="shared" si="40"/>
        <v>-42.822755675927624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1.3980529242093933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1.3980529242093933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4.5</v>
      </c>
      <c r="CT52" s="13">
        <f>IF('Données projet'!$A$140&gt;35,CT51+CS52-DB51,IF(A52&lt;'Données projet'!$A$140,$CQ$205^A52,IF(A52='Données projet'!$A$140,'Données projet'!$B$140,CT51+CS52-DB51)))</f>
        <v>38.5</v>
      </c>
      <c r="CU52" s="18">
        <f>CT52*VLOOKUP('Données projet'!$B$13,Paramètres!$A$1:$I$89,3,0)*VLOOKUP('Données projet'!$B$13,Paramètres!$A$1:$I$89,5,0)</f>
        <v>40.240200000000002</v>
      </c>
      <c r="CV52" s="14">
        <f t="shared" si="41"/>
        <v>12.062289742366444</v>
      </c>
      <c r="CW52" s="22">
        <f t="shared" si="13"/>
        <v>91.093502967954905</v>
      </c>
      <c r="CX52" s="62">
        <f t="shared" si="14"/>
        <v>384.42683630128823</v>
      </c>
      <c r="CY52" s="62">
        <f ca="1">AVERAGE(OFFSET($CX$3,0,0,'Données projet'!$E$13+1,1))-AVERAGE(OFFSET($H$3,0,0,'Données projet'!$E$13+1,1))</f>
        <v>63.282881814092605</v>
      </c>
      <c r="CZ52" s="62">
        <f t="shared" si="42"/>
        <v>-40.869120230674525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1.6149921710694719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1.6149921710694719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40.559999999999981</v>
      </c>
      <c r="D53" s="12">
        <f t="shared" si="32"/>
        <v>12.146954654656575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406.86070259734885</v>
      </c>
      <c r="H53" s="70">
        <f t="shared" si="1"/>
        <v>385.13127935686015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-5.6843418860808015E-14</v>
      </c>
      <c r="O53" s="14">
        <f>N53*VLOOKUP('Données projet'!$B$9,Paramètres!$A$1:$I$89,3,0)*VLOOKUP('Données projet'!$B$9,Paramètres!$A$1:$I$89,5,0)</f>
        <v>-2.8908289095852525E-14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121.64341556501768</v>
      </c>
      <c r="T53" s="62">
        <f t="shared" si="34"/>
        <v>370.21160497429781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51.208846564249782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51.208846564249782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-5.6843418860808015E-14</v>
      </c>
      <c r="AJ53" s="14">
        <f>AI53*VLOOKUP('Données projet'!$B$10,Paramètres!$A$1:$I$89,3,0)*VLOOKUP('Données projet'!$B$10,Paramètres!$A$1:$I$89,5,0)</f>
        <v>-3.2810021366458389E-14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140.99869591649082</v>
      </c>
      <c r="AO53" s="62">
        <f t="shared" si="36"/>
        <v>425.5885140588652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58.120470026909246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58.120470026909246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-5.6843418860808015E-14</v>
      </c>
      <c r="BE53" s="14">
        <f>BD53*VLOOKUP('Données projet'!$B$11,Paramètres!$A$1:$I$89,3,0)*VLOOKUP('Données projet'!$B$11,Paramètres!$A$1:$I$89,5,0)</f>
        <v>-3.2810021366458389E-14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140.99869591649082</v>
      </c>
      <c r="BJ53" s="62">
        <f t="shared" si="38"/>
        <v>425.5885140588652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58.120470026909246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58.120470026909246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4.5</v>
      </c>
      <c r="BY53" s="13">
        <f>IF('Données projet'!$A$114&gt;35,BY52+BX53-CG52,IF(A53&lt;'Données projet'!$A$114,$BV$205^A53,IF(A53='Données projet'!$A$114,'Données projet'!$B$114,BY52+BX53-CG52)))</f>
        <v>43</v>
      </c>
      <c r="BZ53" s="14">
        <f>BY53*VLOOKUP('Données projet'!$B$12,Paramètres!$A$1:$I$89,3,0)*VLOOKUP('Données projet'!$B$12,Paramètres!$A$1:$I$89,5,0)</f>
        <v>38.906399999999998</v>
      </c>
      <c r="CA53" s="14">
        <f t="shared" si="39"/>
        <v>11.708322124803482</v>
      </c>
      <c r="CB53" s="22">
        <f t="shared" si="10"/>
        <v>88.153974367366061</v>
      </c>
      <c r="CC53" s="62">
        <f t="shared" si="11"/>
        <v>381.48730770069938</v>
      </c>
      <c r="CD53" s="62">
        <f ca="1">AVERAGE(OFFSET($CC$3,0,0,'Données projet'!$E$12+1,1))-AVERAGE(OFFSET($H$3,0,0,'Données projet'!$E$12+1,1))</f>
        <v>37.174340347509542</v>
      </c>
      <c r="CE53" s="62">
        <f t="shared" si="40"/>
        <v>-42.822755675927624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1.370637959093731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1.370637959093731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4.5</v>
      </c>
      <c r="CT53" s="13">
        <f>IF('Données projet'!$A$140&gt;35,CT52+CS53-DB52,IF(A53&lt;'Données projet'!$A$140,$CQ$205^A53,IF(A53='Données projet'!$A$140,'Données projet'!$B$140,CT52+CS53-DB52)))</f>
        <v>43</v>
      </c>
      <c r="CU53" s="18">
        <f>CT53*VLOOKUP('Données projet'!$B$13,Paramètres!$A$1:$I$89,3,0)*VLOOKUP('Données projet'!$B$13,Paramètres!$A$1:$I$89,5,0)</f>
        <v>44.943600000000004</v>
      </c>
      <c r="CV53" s="14">
        <f t="shared" si="41"/>
        <v>13.299930851092638</v>
      </c>
      <c r="CW53" s="22">
        <f t="shared" si="13"/>
        <v>101.44081623231968</v>
      </c>
      <c r="CX53" s="62">
        <f t="shared" si="14"/>
        <v>394.77414956565298</v>
      </c>
      <c r="CY53" s="62">
        <f ca="1">AVERAGE(OFFSET($CX$3,0,0,'Données projet'!$E$13+1,1))-AVERAGE(OFFSET($H$3,0,0,'Données projet'!$E$13+1,1))</f>
        <v>63.282881814092605</v>
      </c>
      <c r="CZ53" s="62">
        <f t="shared" si="42"/>
        <v>-40.869120230674525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1.5833231596427586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1.5833231596427586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41.37119999999998</v>
      </c>
      <c r="D54" s="12">
        <f t="shared" si="32"/>
        <v>12.361367612157633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414.77771490086576</v>
      </c>
      <c r="H54" s="70">
        <f t="shared" si="1"/>
        <v>386.91755525784112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-5.6843418860808015E-14</v>
      </c>
      <c r="O54" s="14">
        <f>N54*VLOOKUP('Données projet'!$B$9,Paramètres!$A$1:$I$89,3,0)*VLOOKUP('Données projet'!$B$9,Paramètres!$A$1:$I$89,5,0)</f>
        <v>-2.8908289095852525E-14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121.64341556501768</v>
      </c>
      <c r="T54" s="62">
        <f t="shared" si="34"/>
        <v>370.21160497429781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50.204672317437115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50.204672317437115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-5.6843418860808015E-14</v>
      </c>
      <c r="AJ54" s="14">
        <f>AI54*VLOOKUP('Données projet'!$B$10,Paramètres!$A$1:$I$89,3,0)*VLOOKUP('Données projet'!$B$10,Paramètres!$A$1:$I$89,5,0)</f>
        <v>-3.2810021366458389E-14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140.99869591649082</v>
      </c>
      <c r="AO54" s="62">
        <f t="shared" si="36"/>
        <v>425.5885140588652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56.980763059667879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56.980763059667879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-5.6843418860808015E-14</v>
      </c>
      <c r="BE54" s="14">
        <f>BD54*VLOOKUP('Données projet'!$B$11,Paramètres!$A$1:$I$89,3,0)*VLOOKUP('Données projet'!$B$11,Paramètres!$A$1:$I$89,5,0)</f>
        <v>-3.2810021366458389E-14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140.99869591649082</v>
      </c>
      <c r="BJ54" s="62">
        <f t="shared" si="38"/>
        <v>425.5885140588652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56.980763059667879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56.980763059667879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4.5</v>
      </c>
      <c r="BY54" s="13">
        <f>IF('Données projet'!$A$114&gt;35,BY53+BX54-CG53,IF(A54&lt;'Données projet'!$A$114,$BV$205^A54,IF(A54='Données projet'!$A$114,'Données projet'!$B$114,BY53+BX54-CG53)))</f>
        <v>47.5</v>
      </c>
      <c r="BZ54" s="14">
        <f>BY54*VLOOKUP('Données projet'!$B$12,Paramètres!$A$1:$I$89,3,0)*VLOOKUP('Données projet'!$B$12,Paramètres!$A$1:$I$89,5,0)</f>
        <v>42.977999999999994</v>
      </c>
      <c r="CA54" s="14">
        <f t="shared" si="39"/>
        <v>12.784637210043719</v>
      </c>
      <c r="CB54" s="22">
        <f t="shared" si="10"/>
        <v>97.119926474159456</v>
      </c>
      <c r="CC54" s="62">
        <f t="shared" si="11"/>
        <v>390.45325980749277</v>
      </c>
      <c r="CD54" s="62">
        <f ca="1">AVERAGE(OFFSET($CC$3,0,0,'Données projet'!$E$12+1,1))-AVERAGE(OFFSET($H$3,0,0,'Données projet'!$E$12+1,1))</f>
        <v>37.174340347509542</v>
      </c>
      <c r="CE54" s="62">
        <f t="shared" si="40"/>
        <v>-42.822755675927624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1.3437605847225091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1.3437605847225091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4.5</v>
      </c>
      <c r="CT54" s="13">
        <f>IF('Données projet'!$A$140&gt;35,CT53+CS54-DB53,IF(A54&lt;'Données projet'!$A$140,$CQ$205^A54,IF(A54='Données projet'!$A$140,'Données projet'!$B$140,CT53+CS54-DB53)))</f>
        <v>47.5</v>
      </c>
      <c r="CU54" s="18">
        <f>CT54*VLOOKUP('Données projet'!$B$13,Paramètres!$A$1:$I$89,3,0)*VLOOKUP('Données projet'!$B$13,Paramètres!$A$1:$I$89,5,0)</f>
        <v>49.647000000000006</v>
      </c>
      <c r="CV54" s="14">
        <f t="shared" si="41"/>
        <v>14.522558316846906</v>
      </c>
      <c r="CW54" s="22">
        <f t="shared" si="13"/>
        <v>111.76198073517503</v>
      </c>
      <c r="CX54" s="62">
        <f t="shared" si="14"/>
        <v>405.09531406850834</v>
      </c>
      <c r="CY54" s="62">
        <f ca="1">AVERAGE(OFFSET($CX$3,0,0,'Données projet'!$E$13+1,1))-AVERAGE(OFFSET($H$3,0,0,'Données projet'!$E$13+1,1))</f>
        <v>63.282881814092605</v>
      </c>
      <c r="CZ54" s="62">
        <f t="shared" si="42"/>
        <v>-40.869120230674525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1.5522751582139334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1.5522751582139334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42.18239999999998</v>
      </c>
      <c r="D55" s="12">
        <f t="shared" si="32"/>
        <v>12.575291728530665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422.69095369392079</v>
      </c>
      <c r="H55" s="70">
        <f t="shared" si="1"/>
        <v>388.70297976052422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-5.6843418860808015E-14</v>
      </c>
      <c r="O55" s="14">
        <f>N55*VLOOKUP('Données projet'!$B$9,Paramètres!$A$1:$I$89,3,0)*VLOOKUP('Données projet'!$B$9,Paramètres!$A$1:$I$89,5,0)</f>
        <v>-2.8908289095852525E-14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121.64341556501768</v>
      </c>
      <c r="T55" s="62">
        <f t="shared" si="34"/>
        <v>370.21160497429781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49.220189315118631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49.220189315118631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-5.6843418860808015E-14</v>
      </c>
      <c r="AJ55" s="14">
        <f>AI55*VLOOKUP('Données projet'!$B$10,Paramètres!$A$1:$I$89,3,0)*VLOOKUP('Données projet'!$B$10,Paramètres!$A$1:$I$89,5,0)</f>
        <v>-3.2810021366458389E-14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140.99869591649082</v>
      </c>
      <c r="AO55" s="62">
        <f t="shared" si="36"/>
        <v>425.5885140588652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55.863405050901505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55.863405050901505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-5.6843418860808015E-14</v>
      </c>
      <c r="BE55" s="14">
        <f>BD55*VLOOKUP('Données projet'!$B$11,Paramètres!$A$1:$I$89,3,0)*VLOOKUP('Données projet'!$B$11,Paramètres!$A$1:$I$89,5,0)</f>
        <v>-3.2810021366458389E-14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140.99869591649082</v>
      </c>
      <c r="BJ55" s="62">
        <f t="shared" si="38"/>
        <v>425.5885140588652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55.863405050901505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55.863405050901505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4.5</v>
      </c>
      <c r="BY55" s="13">
        <f>IF('Données projet'!$A$114&gt;35,BY54+BX55-CG54,IF(A55&lt;'Données projet'!$A$114,$BV$205^A55,IF(A55='Données projet'!$A$114,'Données projet'!$B$114,BY54+BX55-CG54)))</f>
        <v>52</v>
      </c>
      <c r="BZ55" s="14">
        <f>BY55*VLOOKUP('Données projet'!$B$12,Paramètres!$A$1:$I$89,3,0)*VLOOKUP('Données projet'!$B$12,Paramètres!$A$1:$I$89,5,0)</f>
        <v>47.049599999999998</v>
      </c>
      <c r="CA55" s="14">
        <f t="shared" si="39"/>
        <v>13.849129922569936</v>
      </c>
      <c r="CB55" s="22">
        <f t="shared" si="10"/>
        <v>106.06528794847596</v>
      </c>
      <c r="CC55" s="62">
        <f t="shared" si="11"/>
        <v>399.39862128180926</v>
      </c>
      <c r="CD55" s="62">
        <f ca="1">AVERAGE(OFFSET($CC$3,0,0,'Données projet'!$E$12+1,1))-AVERAGE(OFFSET($H$3,0,0,'Données projet'!$E$12+1,1))</f>
        <v>37.174340347509542</v>
      </c>
      <c r="CE55" s="62">
        <f t="shared" si="40"/>
        <v>-42.822755675927624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1.3174102592691272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1.3174102592691272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4.5</v>
      </c>
      <c r="CT55" s="13">
        <f>IF('Données projet'!$A$140&gt;35,CT54+CS55-DB54,IF(A55&lt;'Données projet'!$A$140,$CQ$205^A55,IF(A55='Données projet'!$A$140,'Données projet'!$B$140,CT54+CS55-DB54)))</f>
        <v>52</v>
      </c>
      <c r="CU55" s="18">
        <f>CT55*VLOOKUP('Données projet'!$B$13,Paramètres!$A$1:$I$89,3,0)*VLOOKUP('Données projet'!$B$13,Paramètres!$A$1:$I$89,5,0)</f>
        <v>54.350400000000008</v>
      </c>
      <c r="CV55" s="14">
        <f t="shared" si="41"/>
        <v>15.731756297324264</v>
      </c>
      <c r="CW55" s="22">
        <f t="shared" si="13"/>
        <v>122.05975555117311</v>
      </c>
      <c r="CX55" s="62">
        <f t="shared" si="14"/>
        <v>415.39308888450643</v>
      </c>
      <c r="CY55" s="62">
        <f ca="1">AVERAGE(OFFSET($CX$3,0,0,'Données projet'!$E$13+1,1))-AVERAGE(OFFSET($H$3,0,0,'Données projet'!$E$13+1,1))</f>
        <v>63.282881814092605</v>
      </c>
      <c r="CZ55" s="62">
        <f t="shared" si="42"/>
        <v>-40.869120230674525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1.5218359891557165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1.5218359891557165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42.993599999999979</v>
      </c>
      <c r="D56" s="12">
        <f t="shared" si="32"/>
        <v>12.788737488384839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430.60049991033901</v>
      </c>
      <c r="H56" s="70">
        <f t="shared" si="1"/>
        <v>390.48757112560355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-5.6843418860808015E-14</v>
      </c>
      <c r="O56" s="14">
        <f>N56*VLOOKUP('Données projet'!$B$9,Paramètres!$A$1:$I$89,3,0)*VLOOKUP('Données projet'!$B$9,Paramètres!$A$1:$I$89,5,0)</f>
        <v>-2.8908289095852525E-14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121.64341556501768</v>
      </c>
      <c r="T56" s="62">
        <f t="shared" si="34"/>
        <v>370.21160497429781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48.255011424000273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48.255011424000273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-5.6843418860808015E-14</v>
      </c>
      <c r="AJ56" s="14">
        <f>AI56*VLOOKUP('Données projet'!$B$10,Paramètres!$A$1:$I$89,3,0)*VLOOKUP('Données projet'!$B$10,Paramètres!$A$1:$I$89,5,0)</f>
        <v>-3.2810021366458389E-14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140.99869591649082</v>
      </c>
      <c r="AO56" s="62">
        <f t="shared" si="36"/>
        <v>425.5885140588652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54.767957751165945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54.767957751165945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-5.6843418860808015E-14</v>
      </c>
      <c r="BE56" s="14">
        <f>BD56*VLOOKUP('Données projet'!$B$11,Paramètres!$A$1:$I$89,3,0)*VLOOKUP('Données projet'!$B$11,Paramètres!$A$1:$I$89,5,0)</f>
        <v>-3.2810021366458389E-14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140.99869591649082</v>
      </c>
      <c r="BJ56" s="62">
        <f t="shared" si="38"/>
        <v>425.5885140588652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54.767957751165945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54.767957751165945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4.5</v>
      </c>
      <c r="BY56" s="13">
        <f>IF('Données projet'!$A$114&gt;35,BY55+BX56-CG55,IF(A56&lt;'Données projet'!$A$114,$BV$205^A56,IF(A56='Données projet'!$A$114,'Données projet'!$B$114,BY55+BX56-CG55)))</f>
        <v>56.5</v>
      </c>
      <c r="BZ56" s="14">
        <f>BY56*VLOOKUP('Données projet'!$B$12,Paramètres!$A$1:$I$89,3,0)*VLOOKUP('Données projet'!$B$12,Paramètres!$A$1:$I$89,5,0)</f>
        <v>51.121199999999995</v>
      </c>
      <c r="CA56" s="14">
        <f t="shared" si="39"/>
        <v>14.902939678011313</v>
      </c>
      <c r="CB56" s="22">
        <f t="shared" si="10"/>
        <v>114.99204327253635</v>
      </c>
      <c r="CC56" s="62">
        <f t="shared" si="11"/>
        <v>408.32537660586968</v>
      </c>
      <c r="CD56" s="62">
        <f ca="1">AVERAGE(OFFSET($CC$3,0,0,'Données projet'!$E$12+1,1))-AVERAGE(OFFSET($H$3,0,0,'Données projet'!$E$12+1,1))</f>
        <v>37.174340347509542</v>
      </c>
      <c r="CE56" s="62">
        <f t="shared" si="40"/>
        <v>-42.822755675927624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1.2915766476257748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1.2915766476257748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4.5</v>
      </c>
      <c r="CT56" s="13">
        <f>IF('Données projet'!$A$140&gt;35,CT55+CS56-DB55,IF(A56&lt;'Données projet'!$A$140,$CQ$205^A56,IF(A56='Données projet'!$A$140,'Données projet'!$B$140,CT55+CS56-DB55)))</f>
        <v>56.5</v>
      </c>
      <c r="CU56" s="18">
        <f>CT56*VLOOKUP('Données projet'!$B$13,Paramètres!$A$1:$I$89,3,0)*VLOOKUP('Données projet'!$B$13,Paramètres!$A$1:$I$89,5,0)</f>
        <v>59.05380000000001</v>
      </c>
      <c r="CV56" s="14">
        <f t="shared" si="41"/>
        <v>16.928819098311408</v>
      </c>
      <c r="CW56" s="22">
        <f t="shared" si="13"/>
        <v>132.33639492955905</v>
      </c>
      <c r="CX56" s="62">
        <f t="shared" si="14"/>
        <v>425.66972826289236</v>
      </c>
      <c r="CY56" s="62">
        <f ca="1">AVERAGE(OFFSET($CX$3,0,0,'Données projet'!$E$13+1,1))-AVERAGE(OFFSET($H$3,0,0,'Données projet'!$E$13+1,1))</f>
        <v>63.282881814092605</v>
      </c>
      <c r="CZ56" s="62">
        <f t="shared" si="42"/>
        <v>-40.869120230674525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1.4919937136366714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1.4919937136366714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43.804799999999979</v>
      </c>
      <c r="D57" s="12">
        <f t="shared" si="32"/>
        <v>13.001714958042184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438.50643125506235</v>
      </c>
      <c r="H57" s="70">
        <f t="shared" si="1"/>
        <v>392.27134688525672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-5.6843418860808015E-14</v>
      </c>
      <c r="O57" s="14">
        <f>N57*VLOOKUP('Données projet'!$B$9,Paramètres!$A$1:$I$89,3,0)*VLOOKUP('Données projet'!$B$9,Paramètres!$A$1:$I$89,5,0)</f>
        <v>-2.8908289095852525E-14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121.64341556501768</v>
      </c>
      <c r="T57" s="62">
        <f t="shared" si="34"/>
        <v>370.21160497429781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47.308760082626364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47.308760082626364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-5.6843418860808015E-14</v>
      </c>
      <c r="AJ57" s="14">
        <f>AI57*VLOOKUP('Données projet'!$B$10,Paramètres!$A$1:$I$89,3,0)*VLOOKUP('Données projet'!$B$10,Paramètres!$A$1:$I$89,5,0)</f>
        <v>-3.2810021366458389E-14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140.99869591649082</v>
      </c>
      <c r="AO57" s="62">
        <f t="shared" si="36"/>
        <v>425.5885140588652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53.693991504821327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53.693991504821327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-5.6843418860808015E-14</v>
      </c>
      <c r="BE57" s="14">
        <f>BD57*VLOOKUP('Données projet'!$B$11,Paramètres!$A$1:$I$89,3,0)*VLOOKUP('Données projet'!$B$11,Paramètres!$A$1:$I$89,5,0)</f>
        <v>-3.2810021366458389E-14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140.99869591649082</v>
      </c>
      <c r="BJ57" s="62">
        <f t="shared" si="38"/>
        <v>425.5885140588652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53.693991504821327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53.693991504821327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>
        <f>VLOOKUP(A57,'Données projet'!$A$113:$I$133,2,0)</f>
        <v>61</v>
      </c>
      <c r="BW57" s="13">
        <f>VLOOKUP(A57,'Données projet'!$A$113:$I$133,9,0)</f>
        <v>4.5</v>
      </c>
      <c r="BX57" s="13">
        <f t="array" ref="BX57">INDEX(BW:BW,MIN(IF(ISNUMBER(BW57:BW253),ROW(BW57:BW253),"")))</f>
        <v>4.5</v>
      </c>
      <c r="BY57" s="13">
        <f>IF('Données projet'!$A$114&gt;35,BY56+BX57-CG56,IF(A57&lt;'Données projet'!$A$114,$BV$205^A57,IF(A57='Données projet'!$A$114,'Données projet'!$B$114,BY56+BX57-CG56)))</f>
        <v>61</v>
      </c>
      <c r="BZ57" s="14">
        <f>BY57*VLOOKUP('Données projet'!$B$12,Paramètres!$A$1:$I$89,3,0)*VLOOKUP('Données projet'!$B$12,Paramètres!$A$1:$I$89,5,0)</f>
        <v>55.192799999999998</v>
      </c>
      <c r="CA57" s="14">
        <f t="shared" si="39"/>
        <v>15.94701406628168</v>
      </c>
      <c r="CB57" s="22">
        <f t="shared" si="10"/>
        <v>123.90184283210725</v>
      </c>
      <c r="CC57" s="62">
        <f t="shared" si="11"/>
        <v>417.23517616544058</v>
      </c>
      <c r="CD57" s="62">
        <f ca="1">AVERAGE(OFFSET($CC$3,0,0,'Données projet'!$E$12+1,1))-AVERAGE(OFFSET($H$3,0,0,'Données projet'!$E$12+1,1))</f>
        <v>37.174340347509542</v>
      </c>
      <c r="CE57" s="62">
        <f t="shared" si="40"/>
        <v>-42.822755675927624</v>
      </c>
      <c r="CF57" s="16">
        <f>IF(ISNA(VLOOKUP(A57,'Données projet'!$A$113:$I$133,3,0)),0,VLOOKUP(A57,'Données projet'!$A$113:$I$133,3,0))</f>
        <v>5</v>
      </c>
      <c r="CG57" s="16">
        <f>IF(ISNA(VLOOKUP(A57,'Données projet'!$A$113:$I$133,4,0)),0,VLOOKUP(A57,'Données projet'!$A$113:$I$133,4,0))</f>
        <v>23</v>
      </c>
      <c r="CH57" s="17">
        <f>IF(ISNA(VLOOKUP(A57,'Données projet'!$A$113:$I$133,5,0)),0%,VLOOKUP(A57,'Données projet'!$A$113:$I$133,5,0)*VLOOKUP('Données projet'!$B$12,Paramètres!$A$1:$I$89,7,0))</f>
        <v>8.6000000000000007E-2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3.2447037649657968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3.2447037649657968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>
        <f>VLOOKUP(A57,'Données projet'!$A$139:$I$159,2,0)</f>
        <v>61</v>
      </c>
      <c r="CR57" s="13">
        <f>VLOOKUP(A57,'Données projet'!$A$139:$I$159,9,0)</f>
        <v>4.5</v>
      </c>
      <c r="CS57" s="13">
        <f t="array" ref="CS57">INDEX(CR:CR,MIN(IF(ISNUMBER(CR57:CR253),ROW(CR57:CR253),"")))</f>
        <v>4.5</v>
      </c>
      <c r="CT57" s="13">
        <f>IF('Données projet'!$A$140&gt;35,CT56+CS57-DB56,IF(A57&lt;'Données projet'!$A$140,$CQ$205^A57,IF(A57='Données projet'!$A$140,'Données projet'!$B$140,CT56+CS57-DB56)))</f>
        <v>61</v>
      </c>
      <c r="CU57" s="18">
        <f>CT57*VLOOKUP('Données projet'!$B$13,Paramètres!$A$1:$I$89,3,0)*VLOOKUP('Données projet'!$B$13,Paramètres!$A$1:$I$89,5,0)</f>
        <v>63.757200000000012</v>
      </c>
      <c r="CV57" s="14">
        <f t="shared" si="41"/>
        <v>18.114823123429215</v>
      </c>
      <c r="CW57" s="22">
        <f t="shared" si="13"/>
        <v>142.59377360663925</v>
      </c>
      <c r="CX57" s="62">
        <f t="shared" si="14"/>
        <v>435.92710693997253</v>
      </c>
      <c r="CY57" s="62">
        <f ca="1">AVERAGE(OFFSET($CX$3,0,0,'Données projet'!$E$13+1,1))-AVERAGE(OFFSET($H$3,0,0,'Données projet'!$E$13+1,1))</f>
        <v>63.282881814092605</v>
      </c>
      <c r="CZ57" s="62">
        <f t="shared" si="42"/>
        <v>-40.869120230674525</v>
      </c>
      <c r="DA57" s="16">
        <f>IF(ISNA(VLOOKUP(A57,'Données projet'!$A$139:$I$159,3,0)),0,VLOOKUP(A57,'Données projet'!$A$139:$I$159,3,0))</f>
        <v>5</v>
      </c>
      <c r="DB57" s="16">
        <f>IF(ISNA(VLOOKUP(A57,'Données projet'!$A$139:$I$159,4,0)),0,VLOOKUP(A57,'Données projet'!$A$139:$I$159,4,0))</f>
        <v>23</v>
      </c>
      <c r="DC57" s="17">
        <f>IF(ISNA(VLOOKUP(A57,'Données projet'!$A$139:$I$159,5,0)),0%,VLOOKUP(A57,'Données projet'!$A$139:$I$159,5,0)*VLOOKUP('Données projet'!$B$13,Paramètres!$A$1:$I$89,7,0))</f>
        <v>8.6000000000000007E-2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3.7481922802191114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3.7481922802191114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44.615999999999978</v>
      </c>
      <c r="D58" s="12">
        <f t="shared" si="32"/>
        <v>13.214233809656902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446.40882239033385</v>
      </c>
      <c r="H58" s="70">
        <f t="shared" si="1"/>
        <v>394.05432388515237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-5.6843418860808015E-14</v>
      </c>
      <c r="O58" s="14">
        <f>N58*VLOOKUP('Données projet'!$B$9,Paramètres!$A$1:$I$89,3,0)*VLOOKUP('Données projet'!$B$9,Paramètres!$A$1:$I$89,5,0)</f>
        <v>-2.8908289095852525E-14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121.64341556501768</v>
      </c>
      <c r="T58" s="62">
        <f t="shared" si="34"/>
        <v>370.21160497429781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46.381064152900471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46.381064152900471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-5.6843418860808015E-14</v>
      </c>
      <c r="AJ58" s="14">
        <f>AI58*VLOOKUP('Données projet'!$B$10,Paramètres!$A$1:$I$89,3,0)*VLOOKUP('Données projet'!$B$10,Paramètres!$A$1:$I$89,5,0)</f>
        <v>-3.2810021366458389E-14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140.99869591649082</v>
      </c>
      <c r="AO58" s="62">
        <f t="shared" si="36"/>
        <v>425.5885140588652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52.641085081512792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52.641085081512792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-5.6843418860808015E-14</v>
      </c>
      <c r="BE58" s="14">
        <f>BD58*VLOOKUP('Données projet'!$B$11,Paramètres!$A$1:$I$89,3,0)*VLOOKUP('Données projet'!$B$11,Paramètres!$A$1:$I$89,5,0)</f>
        <v>-3.2810021366458389E-14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140.99869591649082</v>
      </c>
      <c r="BJ58" s="62">
        <f t="shared" si="38"/>
        <v>425.5885140588652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52.641085081512792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52.641085081512792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5.833333333333333</v>
      </c>
      <c r="BY58" s="13">
        <f>IF('Données projet'!$A$114&gt;35,BY57+BX58-CG57,IF(A58&lt;'Données projet'!$A$114,$BV$205^A58,IF(A58='Données projet'!$A$114,'Données projet'!$B$114,BY57+BX58-CG57)))</f>
        <v>43.833333333333329</v>
      </c>
      <c r="BZ58" s="14">
        <f>BY58*VLOOKUP('Données projet'!$B$12,Paramètres!$A$1:$I$89,3,0)*VLOOKUP('Données projet'!$B$12,Paramètres!$A$1:$I$89,5,0)</f>
        <v>39.660399999999996</v>
      </c>
      <c r="CA58" s="14">
        <f t="shared" si="39"/>
        <v>11.908591272066461</v>
      </c>
      <c r="CB58" s="22">
        <f t="shared" si="10"/>
        <v>89.815993132182413</v>
      </c>
      <c r="CC58" s="62">
        <f t="shared" si="11"/>
        <v>383.14932646551574</v>
      </c>
      <c r="CD58" s="62">
        <f ca="1">AVERAGE(OFFSET($CC$3,0,0,'Données projet'!$E$12+1,1))-AVERAGE(OFFSET($H$3,0,0,'Données projet'!$E$12+1,1))</f>
        <v>37.174340347509542</v>
      </c>
      <c r="CE58" s="62">
        <f t="shared" si="40"/>
        <v>-42.822755675927624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3.1810771032086969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3.1810771032086969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5.833333333333333</v>
      </c>
      <c r="CT58" s="13">
        <f>IF('Données projet'!$A$140&gt;35,CT57+CS58-DB57,IF(A58&lt;'Données projet'!$A$140,$CQ$205^A58,IF(A58='Données projet'!$A$140,'Données projet'!$B$140,CT57+CS58-DB57)))</f>
        <v>43.833333333333329</v>
      </c>
      <c r="CU58" s="18">
        <f>CT58*VLOOKUP('Données projet'!$B$13,Paramètres!$A$1:$I$89,3,0)*VLOOKUP('Données projet'!$B$13,Paramètres!$A$1:$I$89,5,0)</f>
        <v>45.814599999999999</v>
      </c>
      <c r="CV58" s="14">
        <f t="shared" si="41"/>
        <v>13.527424234159225</v>
      </c>
      <c r="CW58" s="22">
        <f t="shared" si="13"/>
        <v>103.35402554116065</v>
      </c>
      <c r="CX58" s="62">
        <f t="shared" si="14"/>
        <v>396.68735887449395</v>
      </c>
      <c r="CY58" s="62">
        <f ca="1">AVERAGE(OFFSET($CX$3,0,0,'Données projet'!$E$13+1,1))-AVERAGE(OFFSET($H$3,0,0,'Données projet'!$E$13+1,1))</f>
        <v>63.282881814092605</v>
      </c>
      <c r="CZ58" s="62">
        <f t="shared" si="42"/>
        <v>-40.869120230674525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3.6746925157755648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3.6746925157755648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45.427199999999978</v>
      </c>
      <c r="D59" s="12">
        <f t="shared" si="32"/>
        <v>13.426303343530915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454.30774510795777</v>
      </c>
      <c r="H59" s="70">
        <f t="shared" si="1"/>
        <v>395.83651832331628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-5.6843418860808015E-14</v>
      </c>
      <c r="O59" s="14">
        <f>N59*VLOOKUP('Données projet'!$B$9,Paramètres!$A$1:$I$89,3,0)*VLOOKUP('Données projet'!$B$9,Paramètres!$A$1:$I$89,5,0)</f>
        <v>-2.8908289095852525E-14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121.64341556501768</v>
      </c>
      <c r="T59" s="62">
        <f t="shared" si="34"/>
        <v>370.21160497429781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45.471559774517857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45.471559774517857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-5.6843418860808015E-14</v>
      </c>
      <c r="AJ59" s="14">
        <f>AI59*VLOOKUP('Données projet'!$B$10,Paramètres!$A$1:$I$89,3,0)*VLOOKUP('Données projet'!$B$10,Paramètres!$A$1:$I$89,5,0)</f>
        <v>-3.2810021366458389E-14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140.99869591649082</v>
      </c>
      <c r="AO59" s="62">
        <f t="shared" si="36"/>
        <v>425.5885140588652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51.608825510955832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51.608825510955832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-5.6843418860808015E-14</v>
      </c>
      <c r="BE59" s="14">
        <f>BD59*VLOOKUP('Données projet'!$B$11,Paramètres!$A$1:$I$89,3,0)*VLOOKUP('Données projet'!$B$11,Paramètres!$A$1:$I$89,5,0)</f>
        <v>-3.2810021366458389E-14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140.99869591649082</v>
      </c>
      <c r="BJ59" s="62">
        <f t="shared" si="38"/>
        <v>425.5885140588652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51.608825510955832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51.608825510955832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5.833333333333333</v>
      </c>
      <c r="BY59" s="13">
        <f>IF('Données projet'!$A$114&gt;35,BY58+BX59-CG58,IF(A59&lt;'Données projet'!$A$114,$BV$205^A59,IF(A59='Données projet'!$A$114,'Données projet'!$B$114,BY58+BX59-CG58)))</f>
        <v>49.666666666666664</v>
      </c>
      <c r="BZ59" s="14">
        <f>BY59*VLOOKUP('Données projet'!$B$12,Paramètres!$A$1:$I$89,3,0)*VLOOKUP('Données projet'!$B$12,Paramètres!$A$1:$I$89,5,0)</f>
        <v>44.938400000000001</v>
      </c>
      <c r="CA59" s="14">
        <f t="shared" si="39"/>
        <v>13.298571149827161</v>
      </c>
      <c r="CB59" s="22">
        <f t="shared" si="10"/>
        <v>101.4293914192823</v>
      </c>
      <c r="CC59" s="62">
        <f t="shared" si="11"/>
        <v>394.76272475261561</v>
      </c>
      <c r="CD59" s="62">
        <f ca="1">AVERAGE(OFFSET($CC$3,0,0,'Données projet'!$E$12+1,1))-AVERAGE(OFFSET($H$3,0,0,'Données projet'!$E$12+1,1))</f>
        <v>37.174340347509542</v>
      </c>
      <c r="CE59" s="62">
        <f t="shared" si="40"/>
        <v>-42.822755675927624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3.1186981214802221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3.1186981214802221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5.833333333333333</v>
      </c>
      <c r="CT59" s="13">
        <f>IF('Données projet'!$A$140&gt;35,CT58+CS59-DB58,IF(A59&lt;'Données projet'!$A$140,$CQ$205^A59,IF(A59='Données projet'!$A$140,'Données projet'!$B$140,CT58+CS59-DB58)))</f>
        <v>49.666666666666664</v>
      </c>
      <c r="CU59" s="18">
        <f>CT59*VLOOKUP('Données projet'!$B$13,Paramètres!$A$1:$I$89,3,0)*VLOOKUP('Données projet'!$B$13,Paramètres!$A$1:$I$89,5,0)</f>
        <v>51.9116</v>
      </c>
      <c r="CV59" s="14">
        <f t="shared" si="41"/>
        <v>15.106355532903091</v>
      </c>
      <c r="CW59" s="22">
        <f t="shared" si="13"/>
        <v>116.72293921980621</v>
      </c>
      <c r="CX59" s="62">
        <f t="shared" si="14"/>
        <v>410.05627255313954</v>
      </c>
      <c r="CY59" s="62">
        <f ca="1">AVERAGE(OFFSET($CX$3,0,0,'Données projet'!$E$13+1,1))-AVERAGE(OFFSET($H$3,0,0,'Données projet'!$E$13+1,1))</f>
        <v>63.282881814092605</v>
      </c>
      <c r="CZ59" s="62">
        <f t="shared" si="42"/>
        <v>-40.869120230674525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3.6026340368823266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3.6026340368823266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46.238399999999977</v>
      </c>
      <c r="D60" s="12">
        <f t="shared" si="32"/>
        <v>13.637932508790355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462.2032684889079</v>
      </c>
      <c r="H60" s="70">
        <f t="shared" si="1"/>
        <v>397.61794578614314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-5.6843418860808015E-14</v>
      </c>
      <c r="O60" s="14">
        <f>N60*VLOOKUP('Données projet'!$B$9,Paramètres!$A$1:$I$89,3,0)*VLOOKUP('Données projet'!$B$9,Paramètres!$A$1:$I$89,5,0)</f>
        <v>-2.8908289095852525E-14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121.64341556501768</v>
      </c>
      <c r="T60" s="62">
        <f t="shared" si="34"/>
        <v>370.21160497429781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44.57989022225243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44.57989022225243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-5.6843418860808015E-14</v>
      </c>
      <c r="AJ60" s="14">
        <f>AI60*VLOOKUP('Données projet'!$B$10,Paramètres!$A$1:$I$89,3,0)*VLOOKUP('Données projet'!$B$10,Paramètres!$A$1:$I$89,5,0)</f>
        <v>-3.2810021366458389E-14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140.99869591649082</v>
      </c>
      <c r="AO60" s="62">
        <f t="shared" si="36"/>
        <v>425.5885140588652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50.596807920961325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50.596807920961325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-5.6843418860808015E-14</v>
      </c>
      <c r="BE60" s="14">
        <f>BD60*VLOOKUP('Données projet'!$B$11,Paramètres!$A$1:$I$89,3,0)*VLOOKUP('Données projet'!$B$11,Paramètres!$A$1:$I$89,5,0)</f>
        <v>-3.2810021366458389E-14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140.99869591649082</v>
      </c>
      <c r="BJ60" s="62">
        <f t="shared" si="38"/>
        <v>425.5885140588652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50.596807920961325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50.596807920961325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5.833333333333333</v>
      </c>
      <c r="BY60" s="13">
        <f>IF('Données projet'!$A$114&gt;35,BY59+BX60-CG59,IF(A60&lt;'Données projet'!$A$114,$BV$205^A60,IF(A60='Données projet'!$A$114,'Données projet'!$B$114,BY59+BX60-CG59)))</f>
        <v>55.5</v>
      </c>
      <c r="BZ60" s="14">
        <f>BY60*VLOOKUP('Données projet'!$B$12,Paramètres!$A$1:$I$89,3,0)*VLOOKUP('Données projet'!$B$12,Paramètres!$A$1:$I$89,5,0)</f>
        <v>50.2164</v>
      </c>
      <c r="CA60" s="14">
        <f t="shared" si="39"/>
        <v>14.66963185258221</v>
      </c>
      <c r="CB60" s="22">
        <f t="shared" si="10"/>
        <v>113.009838809914</v>
      </c>
      <c r="CC60" s="62">
        <f t="shared" si="11"/>
        <v>406.34317214324733</v>
      </c>
      <c r="CD60" s="62">
        <f ca="1">AVERAGE(OFFSET($CC$3,0,0,'Données projet'!$E$12+1,1))-AVERAGE(OFFSET($H$3,0,0,'Données projet'!$E$12+1,1))</f>
        <v>37.174340347509542</v>
      </c>
      <c r="CE60" s="62">
        <f t="shared" si="40"/>
        <v>-42.822755675927624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3.0575423535360207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3.0575423535360207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5.833333333333333</v>
      </c>
      <c r="CT60" s="13">
        <f>IF('Données projet'!$A$140&gt;35,CT59+CS60-DB59,IF(A60&lt;'Données projet'!$A$140,$CQ$205^A60,IF(A60='Données projet'!$A$140,'Données projet'!$B$140,CT59+CS60-DB59)))</f>
        <v>55.5</v>
      </c>
      <c r="CU60" s="18">
        <f>CT60*VLOOKUP('Données projet'!$B$13,Paramètres!$A$1:$I$89,3,0)*VLOOKUP('Données projet'!$B$13,Paramètres!$A$1:$I$89,5,0)</f>
        <v>58.008600000000008</v>
      </c>
      <c r="CV60" s="14">
        <f t="shared" si="41"/>
        <v>16.66379581725116</v>
      </c>
      <c r="CW60" s="22">
        <f t="shared" si="13"/>
        <v>130.05442271504577</v>
      </c>
      <c r="CX60" s="62">
        <f t="shared" si="14"/>
        <v>423.38775604837906</v>
      </c>
      <c r="CY60" s="62">
        <f ca="1">AVERAGE(OFFSET($CX$3,0,0,'Données projet'!$E$13+1,1))-AVERAGE(OFFSET($H$3,0,0,'Données projet'!$E$13+1,1))</f>
        <v>63.282881814092605</v>
      </c>
      <c r="CZ60" s="62">
        <f t="shared" si="42"/>
        <v>-40.869120230674525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3.5319885808088527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3.5319885808088527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47.049599999999977</v>
      </c>
      <c r="D61" s="12">
        <f t="shared" si="32"/>
        <v>13.849129922569929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470.09545905141687</v>
      </c>
      <c r="H61" s="70">
        <f t="shared" si="1"/>
        <v>399.3986212818092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-5.6843418860808015E-14</v>
      </c>
      <c r="O61" s="14">
        <f>N61*VLOOKUP('Données projet'!$B$9,Paramètres!$A$1:$I$89,3,0)*VLOOKUP('Données projet'!$B$9,Paramètres!$A$1:$I$89,5,0)</f>
        <v>-2.8908289095852525E-14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121.64341556501768</v>
      </c>
      <c r="T61" s="62">
        <f t="shared" si="34"/>
        <v>370.21160497429781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43.7057057660422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43.7057057660422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-5.6843418860808015E-14</v>
      </c>
      <c r="AJ61" s="14">
        <f>AI61*VLOOKUP('Données projet'!$B$10,Paramètres!$A$1:$I$89,3,0)*VLOOKUP('Données projet'!$B$10,Paramètres!$A$1:$I$89,5,0)</f>
        <v>-3.2810021366458389E-14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140.99869591649082</v>
      </c>
      <c r="AO61" s="62">
        <f t="shared" si="36"/>
        <v>425.5885140588652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49.604635378636836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49.604635378636836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-5.6843418860808015E-14</v>
      </c>
      <c r="BE61" s="14">
        <f>BD61*VLOOKUP('Données projet'!$B$11,Paramètres!$A$1:$I$89,3,0)*VLOOKUP('Données projet'!$B$11,Paramètres!$A$1:$I$89,5,0)</f>
        <v>-3.2810021366458389E-14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140.99869591649082</v>
      </c>
      <c r="BJ61" s="62">
        <f t="shared" si="38"/>
        <v>425.5885140588652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49.604635378636836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49.604635378636836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5.833333333333333</v>
      </c>
      <c r="BY61" s="13">
        <f>IF('Données projet'!$A$114&gt;35,BY60+BX61-CG60,IF(A61&lt;'Données projet'!$A$114,$BV$205^A61,IF(A61='Données projet'!$A$114,'Données projet'!$B$114,BY60+BX61-CG60)))</f>
        <v>61.333333333333336</v>
      </c>
      <c r="BZ61" s="14">
        <f>BY61*VLOOKUP('Données projet'!$B$12,Paramètres!$A$1:$I$89,3,0)*VLOOKUP('Données projet'!$B$12,Paramètres!$A$1:$I$89,5,0)</f>
        <v>55.494399999999999</v>
      </c>
      <c r="CA61" s="14">
        <f t="shared" si="39"/>
        <v>16.023988434505792</v>
      </c>
      <c r="CB61" s="22">
        <f t="shared" si="10"/>
        <v>124.5611931900976</v>
      </c>
      <c r="CC61" s="62">
        <f t="shared" si="11"/>
        <v>417.8945265234309</v>
      </c>
      <c r="CD61" s="62">
        <f ca="1">AVERAGE(OFFSET($CC$3,0,0,'Données projet'!$E$12+1,1))-AVERAGE(OFFSET($H$3,0,0,'Données projet'!$E$12+1,1))</f>
        <v>37.174340347509542</v>
      </c>
      <c r="CE61" s="62">
        <f t="shared" si="40"/>
        <v>-42.822755675927624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2.9975858128998696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2.9975858128998696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5.833333333333333</v>
      </c>
      <c r="CT61" s="13">
        <f>IF('Données projet'!$A$140&gt;35,CT60+CS61-DB60,IF(A61&lt;'Données projet'!$A$140,$CQ$205^A61,IF(A61='Données projet'!$A$140,'Données projet'!$B$140,CT60+CS61-DB60)))</f>
        <v>61.333333333333336</v>
      </c>
      <c r="CU61" s="18">
        <f>CT61*VLOOKUP('Données projet'!$B$13,Paramètres!$A$1:$I$89,3,0)*VLOOKUP('Données projet'!$B$13,Paramètres!$A$1:$I$89,5,0)</f>
        <v>64.10560000000001</v>
      </c>
      <c r="CV61" s="14">
        <f t="shared" si="41"/>
        <v>18.202261251947956</v>
      </c>
      <c r="CW61" s="22">
        <f t="shared" si="13"/>
        <v>143.3528583471427</v>
      </c>
      <c r="CX61" s="62">
        <f t="shared" si="14"/>
        <v>436.68619168047599</v>
      </c>
      <c r="CY61" s="62">
        <f ca="1">AVERAGE(OFFSET($CX$3,0,0,'Données projet'!$E$13+1,1))-AVERAGE(OFFSET($H$3,0,0,'Données projet'!$E$13+1,1))</f>
        <v>63.282881814092605</v>
      </c>
      <c r="CZ61" s="62">
        <f t="shared" si="42"/>
        <v>-40.869120230674525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3.4627284390395059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3.4627284390395059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47.860799999999976</v>
      </c>
      <c r="D62" s="12">
        <f t="shared" si="32"/>
        <v>14.059903887836862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477.98438088856511</v>
      </c>
      <c r="H62" s="70">
        <f t="shared" si="1"/>
        <v>401.17855927131581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-5.6843418860808015E-14</v>
      </c>
      <c r="O62" s="14">
        <f>N62*VLOOKUP('Données projet'!$B$9,Paramètres!$A$1:$I$89,3,0)*VLOOKUP('Données projet'!$B$9,Paramètres!$A$1:$I$89,5,0)</f>
        <v>-2.8908289095852525E-14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121.64341556501768</v>
      </c>
      <c r="T62" s="62">
        <f t="shared" si="34"/>
        <v>370.21160497429781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42.848663533818389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42.848663533818389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-5.6843418860808015E-14</v>
      </c>
      <c r="AJ62" s="14">
        <f>AI62*VLOOKUP('Données projet'!$B$10,Paramètres!$A$1:$I$89,3,0)*VLOOKUP('Données projet'!$B$10,Paramètres!$A$1:$I$89,5,0)</f>
        <v>-3.2810021366458389E-14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140.99869591649082</v>
      </c>
      <c r="AO62" s="62">
        <f t="shared" si="36"/>
        <v>425.5885140588652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48.631918734701834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48.631918734701834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-5.6843418860808015E-14</v>
      </c>
      <c r="BE62" s="14">
        <f>BD62*VLOOKUP('Données projet'!$B$11,Paramètres!$A$1:$I$89,3,0)*VLOOKUP('Données projet'!$B$11,Paramètres!$A$1:$I$89,5,0)</f>
        <v>-3.2810021366458389E-14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140.99869591649082</v>
      </c>
      <c r="BJ62" s="62">
        <f t="shared" si="38"/>
        <v>425.5885140588652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48.631918734701834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48.631918734701834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5.833333333333333</v>
      </c>
      <c r="BY62" s="13">
        <f>IF('Données projet'!$A$114&gt;35,BY61+BX62-CG61,IF(A62&lt;'Données projet'!$A$114,$BV$205^A62,IF(A62='Données projet'!$A$114,'Données projet'!$B$114,BY61+BX62-CG61)))</f>
        <v>67.166666666666671</v>
      </c>
      <c r="BZ62" s="14">
        <f>BY62*VLOOKUP('Données projet'!$B$12,Paramètres!$A$1:$I$89,3,0)*VLOOKUP('Données projet'!$B$12,Paramètres!$A$1:$I$89,5,0)</f>
        <v>60.772399999999998</v>
      </c>
      <c r="CA62" s="14">
        <f t="shared" si="39"/>
        <v>17.363410348283352</v>
      </c>
      <c r="CB62" s="22">
        <f t="shared" si="10"/>
        <v>136.08653635659348</v>
      </c>
      <c r="CC62" s="62">
        <f t="shared" si="11"/>
        <v>429.41986968992683</v>
      </c>
      <c r="CD62" s="62">
        <f ca="1">AVERAGE(OFFSET($CC$3,0,0,'Données projet'!$E$12+1,1))-AVERAGE(OFFSET($H$3,0,0,'Données projet'!$E$12+1,1))</f>
        <v>37.174340347509542</v>
      </c>
      <c r="CE62" s="62">
        <f t="shared" si="40"/>
        <v>-42.822755675927624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2.9388049834557148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2.9388049834557148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5.833333333333333</v>
      </c>
      <c r="CT62" s="13">
        <f>IF('Données projet'!$A$140&gt;35,CT61+CS62-DB61,IF(A62&lt;'Données projet'!$A$140,$CQ$205^A62,IF(A62='Données projet'!$A$140,'Données projet'!$B$140,CT61+CS62-DB61)))</f>
        <v>67.166666666666671</v>
      </c>
      <c r="CU62" s="18">
        <f>CT62*VLOOKUP('Données projet'!$B$13,Paramètres!$A$1:$I$89,3,0)*VLOOKUP('Données projet'!$B$13,Paramètres!$A$1:$I$89,5,0)</f>
        <v>70.202600000000018</v>
      </c>
      <c r="CV62" s="14">
        <f t="shared" si="41"/>
        <v>19.723761825966257</v>
      </c>
      <c r="CW62" s="22">
        <f t="shared" si="13"/>
        <v>156.62174684689123</v>
      </c>
      <c r="CX62" s="62">
        <f t="shared" si="14"/>
        <v>449.95508018022451</v>
      </c>
      <c r="CY62" s="62">
        <f ca="1">AVERAGE(OFFSET($CX$3,0,0,'Données projet'!$E$13+1,1))-AVERAGE(OFFSET($H$3,0,0,'Données projet'!$E$13+1,1))</f>
        <v>63.282881814092605</v>
      </c>
      <c r="CZ62" s="62">
        <f t="shared" si="42"/>
        <v>-40.869120230674525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3.3948264464057409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3.3948264464057409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48.671999999999976</v>
      </c>
      <c r="D63" s="12">
        <f t="shared" si="32"/>
        <v>14.270262409972053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485.87009579627534</v>
      </c>
      <c r="H63" s="70">
        <f t="shared" si="1"/>
        <v>402.95777369736794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-5.6843418860808015E-14</v>
      </c>
      <c r="O63" s="14">
        <f>N63*VLOOKUP('Données projet'!$B$9,Paramètres!$A$1:$I$89,3,0)*VLOOKUP('Données projet'!$B$9,Paramètres!$A$1:$I$89,5,0)</f>
        <v>-2.8908289095852525E-14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121.64341556501768</v>
      </c>
      <c r="T63" s="62">
        <f t="shared" si="34"/>
        <v>370.21160497429781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42.00842737702434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42.00842737702434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-5.6843418860808015E-14</v>
      </c>
      <c r="AJ63" s="14">
        <f>AI63*VLOOKUP('Données projet'!$B$10,Paramètres!$A$1:$I$89,3,0)*VLOOKUP('Données projet'!$B$10,Paramètres!$A$1:$I$89,5,0)</f>
        <v>-3.2810021366458389E-14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140.99869591649082</v>
      </c>
      <c r="AO63" s="62">
        <f t="shared" si="36"/>
        <v>425.5885140588652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47.678276470855828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47.678276470855828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-5.6843418860808015E-14</v>
      </c>
      <c r="BE63" s="14">
        <f>BD63*VLOOKUP('Données projet'!$B$11,Paramètres!$A$1:$I$89,3,0)*VLOOKUP('Données projet'!$B$11,Paramètres!$A$1:$I$89,5,0)</f>
        <v>-3.2810021366458389E-14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140.99869591649082</v>
      </c>
      <c r="BJ63" s="62">
        <f t="shared" si="38"/>
        <v>425.5885140588652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47.678276470855828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47.678276470855828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73</v>
      </c>
      <c r="BW63" s="13">
        <f>VLOOKUP(A63,'Données projet'!$A$113:$I$133,9,0)</f>
        <v>5.833333333333333</v>
      </c>
      <c r="BX63" s="13">
        <f t="array" ref="BX63">INDEX(BW:BW,MIN(IF(ISNUMBER(BW63:BW259),ROW(BW63:BW259),"")))</f>
        <v>5.833333333333333</v>
      </c>
      <c r="BY63" s="13">
        <f>IF('Données projet'!$A$114&gt;35,BY62+BX63-CG62,IF(A63&lt;'Données projet'!$A$114,$BV$205^A63,IF(A63='Données projet'!$A$114,'Données projet'!$B$114,BY62+BX63-CG62)))</f>
        <v>73</v>
      </c>
      <c r="BZ63" s="14">
        <f>BY63*VLOOKUP('Données projet'!$B$12,Paramètres!$A$1:$I$89,3,0)*VLOOKUP('Données projet'!$B$12,Paramètres!$A$1:$I$89,5,0)</f>
        <v>66.050399999999996</v>
      </c>
      <c r="CA63" s="14">
        <f t="shared" si="39"/>
        <v>18.689342126897891</v>
      </c>
      <c r="CB63" s="22">
        <f t="shared" si="10"/>
        <v>147.58838420434714</v>
      </c>
      <c r="CC63" s="62">
        <f t="shared" si="11"/>
        <v>440.92171753768048</v>
      </c>
      <c r="CD63" s="62">
        <f ca="1">AVERAGE(OFFSET($CC$3,0,0,'Données projet'!$E$12+1,1))-AVERAGE(OFFSET($H$3,0,0,'Données projet'!$E$12+1,1))</f>
        <v>37.174340347509542</v>
      </c>
      <c r="CE63" s="62">
        <f t="shared" si="40"/>
        <v>-42.822755675927624</v>
      </c>
      <c r="CF63" s="16">
        <f>IF(ISNA(VLOOKUP(A63,'Données projet'!$A$113:$I$133,3,0)),0,VLOOKUP(A63,'Données projet'!$A$113:$I$133,3,0))</f>
        <v>6</v>
      </c>
      <c r="CG63" s="16">
        <f>IF(ISNA(VLOOKUP(A63,'Données projet'!$A$113:$I$133,4,0)),0,VLOOKUP(A63,'Données projet'!$A$113:$I$133,4,0))</f>
        <v>20</v>
      </c>
      <c r="CH63" s="17">
        <f>IF(ISNA(VLOOKUP(A63,'Données projet'!$A$113:$I$133,5,0)),0%,VLOOKUP(A63,'Données projet'!$A$113:$I$133,5,0)*VLOOKUP('Données projet'!$B$12,Paramètres!$A$1:$I$89,7,0))</f>
        <v>0.129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5.46176917667984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5.46176917667984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73</v>
      </c>
      <c r="CR63" s="13">
        <f>VLOOKUP(A63,'Données projet'!$A$139:$I$159,9,0)</f>
        <v>5.833333333333333</v>
      </c>
      <c r="CS63" s="13">
        <f t="array" ref="CS63">INDEX(CR:CR,MIN(IF(ISNUMBER(CR63:CR259),ROW(CR63:CR259),"")))</f>
        <v>5.833333333333333</v>
      </c>
      <c r="CT63" s="13">
        <f>IF('Données projet'!$A$140&gt;35,CT62+CS63-DB62,IF(A63&lt;'Données projet'!$A$140,$CQ$205^A63,IF(A63='Données projet'!$A$140,'Données projet'!$B$140,CT62+CS63-DB62)))</f>
        <v>73</v>
      </c>
      <c r="CU63" s="18">
        <f>CT63*VLOOKUP('Données projet'!$B$13,Paramètres!$A$1:$I$89,3,0)*VLOOKUP('Données projet'!$B$13,Paramètres!$A$1:$I$89,5,0)</f>
        <v>76.299600000000012</v>
      </c>
      <c r="CV63" s="14">
        <f t="shared" si="41"/>
        <v>21.229938439563291</v>
      </c>
      <c r="CW63" s="22">
        <f t="shared" si="13"/>
        <v>169.86394611557276</v>
      </c>
      <c r="CX63" s="62">
        <f t="shared" si="14"/>
        <v>463.1972794489061</v>
      </c>
      <c r="CY63" s="62">
        <f ca="1">AVERAGE(OFFSET($CX$3,0,0,'Données projet'!$E$13+1,1))-AVERAGE(OFFSET($H$3,0,0,'Données projet'!$E$13+1,1))</f>
        <v>63.282881814092605</v>
      </c>
      <c r="CZ63" s="62">
        <f t="shared" si="42"/>
        <v>-40.869120230674525</v>
      </c>
      <c r="DA63" s="16">
        <f>IF(ISNA(VLOOKUP(A63,'Données projet'!$A$139:$I$159,3,0)),0,VLOOKUP(A63,'Données projet'!$A$139:$I$159,3,0))</f>
        <v>6</v>
      </c>
      <c r="DB63" s="16">
        <f>IF(ISNA(VLOOKUP(A63,'Données projet'!$A$139:$I$159,4,0)),0,VLOOKUP(A63,'Données projet'!$A$139:$I$159,4,0))</f>
        <v>20</v>
      </c>
      <c r="DC63" s="17">
        <f>IF(ISNA(VLOOKUP(A63,'Données projet'!$A$139:$I$159,5,0)),0%,VLOOKUP(A63,'Données projet'!$A$139:$I$159,5,0)*VLOOKUP('Données projet'!$B$13,Paramètres!$A$1:$I$89,7,0))</f>
        <v>0.129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6.3092850834060243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6.3092850834060243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49.483199999999975</v>
      </c>
      <c r="D64" s="12">
        <f t="shared" si="32"/>
        <v>14.480213212214631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493.7526633925338</v>
      </c>
      <c r="H64" s="70">
        <f t="shared" si="1"/>
        <v>404.73627801127373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-5.6843418860808015E-14</v>
      </c>
      <c r="O64" s="14">
        <f>N64*VLOOKUP('Données projet'!$B$9,Paramètres!$A$1:$I$89,3,0)*VLOOKUP('Données projet'!$B$9,Paramètres!$A$1:$I$89,5,0)</f>
        <v>-2.8908289095852525E-14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121.64341556501768</v>
      </c>
      <c r="T64" s="62">
        <f t="shared" si="34"/>
        <v>370.21160497429781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41.184667738771573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41.184667738771573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-5.6843418860808015E-14</v>
      </c>
      <c r="AJ64" s="14">
        <f>AI64*VLOOKUP('Données projet'!$B$10,Paramètres!$A$1:$I$89,3,0)*VLOOKUP('Données projet'!$B$10,Paramètres!$A$1:$I$89,5,0)</f>
        <v>-3.2810021366458389E-14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140.99869591649082</v>
      </c>
      <c r="AO64" s="62">
        <f t="shared" si="36"/>
        <v>425.5885140588652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46.743334550139494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46.743334550139494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-5.6843418860808015E-14</v>
      </c>
      <c r="BE64" s="14">
        <f>BD64*VLOOKUP('Données projet'!$B$11,Paramètres!$A$1:$I$89,3,0)*VLOOKUP('Données projet'!$B$11,Paramètres!$A$1:$I$89,5,0)</f>
        <v>-3.2810021366458389E-14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140.99869591649082</v>
      </c>
      <c r="BJ64" s="62">
        <f t="shared" si="38"/>
        <v>425.5885140588652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46.743334550139494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46.743334550139494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5.333333333333333</v>
      </c>
      <c r="BY64" s="13">
        <f>IF('Données projet'!$A$114&gt;35,BY63+BX64-CG63,IF(A64&lt;'Données projet'!$A$114,$BV$205^A64,IF(A64='Données projet'!$A$114,'Données projet'!$B$114,BY63+BX64-CG63)))</f>
        <v>58.333333333333329</v>
      </c>
      <c r="BZ64" s="14">
        <f>BY64*VLOOKUP('Données projet'!$B$12,Paramètres!$A$1:$I$89,3,0)*VLOOKUP('Données projet'!$B$12,Paramètres!$A$1:$I$89,5,0)</f>
        <v>52.779999999999994</v>
      </c>
      <c r="CA64" s="14">
        <f t="shared" si="39"/>
        <v>15.329430268903625</v>
      </c>
      <c r="CB64" s="22">
        <f t="shared" si="10"/>
        <v>118.62392438500716</v>
      </c>
      <c r="CC64" s="62">
        <f t="shared" si="11"/>
        <v>411.95725771834049</v>
      </c>
      <c r="CD64" s="62">
        <f ca="1">AVERAGE(OFFSET($CC$3,0,0,'Données projet'!$E$12+1,1))-AVERAGE(OFFSET($H$3,0,0,'Données projet'!$E$12+1,1))</f>
        <v>37.174340347509542</v>
      </c>
      <c r="CE64" s="62">
        <f t="shared" si="40"/>
        <v>-42.822755675927624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5.3546672144754028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5.3546672144754028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5.333333333333333</v>
      </c>
      <c r="CT64" s="13">
        <f>IF('Données projet'!$A$140&gt;35,CT63+CS64-DB63,IF(A64&lt;'Données projet'!$A$140,$CQ$205^A64,IF(A64='Données projet'!$A$140,'Données projet'!$B$140,CT63+CS64-DB63)))</f>
        <v>58.333333333333329</v>
      </c>
      <c r="CU64" s="18">
        <f>CT64*VLOOKUP('Données projet'!$B$13,Paramètres!$A$1:$I$89,3,0)*VLOOKUP('Données projet'!$B$13,Paramètres!$A$1:$I$89,5,0)</f>
        <v>60.970000000000006</v>
      </c>
      <c r="CV64" s="14">
        <f t="shared" si="41"/>
        <v>17.413286070354559</v>
      </c>
      <c r="CW64" s="22">
        <f t="shared" si="13"/>
        <v>136.51755657253418</v>
      </c>
      <c r="CX64" s="62">
        <f t="shared" si="14"/>
        <v>429.85088990586746</v>
      </c>
      <c r="CY64" s="62">
        <f ca="1">AVERAGE(OFFSET($CX$3,0,0,'Données projet'!$E$13+1,1))-AVERAGE(OFFSET($H$3,0,0,'Données projet'!$E$13+1,1))</f>
        <v>63.282881814092605</v>
      </c>
      <c r="CZ64" s="62">
        <f t="shared" si="42"/>
        <v>-40.869120230674525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6.1855638512043463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6.1855638512043463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50.294399999999975</v>
      </c>
      <c r="D65" s="12">
        <f t="shared" si="32"/>
        <v>14.689763750064966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501.63214122857147</v>
      </c>
      <c r="H65" s="70">
        <f t="shared" si="1"/>
        <v>406.51408519802976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-5.6843418860808015E-14</v>
      </c>
      <c r="O65" s="14">
        <f>N65*VLOOKUP('Données projet'!$B$9,Paramètres!$A$1:$I$89,3,0)*VLOOKUP('Données projet'!$B$9,Paramètres!$A$1:$I$89,5,0)</f>
        <v>-2.8908289095852525E-14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121.64341556501768</v>
      </c>
      <c r="T65" s="62">
        <f t="shared" si="34"/>
        <v>370.21160497429781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40.377061524581173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40.377061524581173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-5.6843418860808015E-14</v>
      </c>
      <c r="AJ65" s="14">
        <f>AI65*VLOOKUP('Données projet'!$B$10,Paramètres!$A$1:$I$89,3,0)*VLOOKUP('Données projet'!$B$10,Paramètres!$A$1:$I$89,5,0)</f>
        <v>-3.2810021366458389E-14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140.99869591649082</v>
      </c>
      <c r="AO65" s="62">
        <f t="shared" si="36"/>
        <v>425.5885140588652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45.826726270230147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45.826726270230147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-5.6843418860808015E-14</v>
      </c>
      <c r="BE65" s="14">
        <f>BD65*VLOOKUP('Données projet'!$B$11,Paramètres!$A$1:$I$89,3,0)*VLOOKUP('Données projet'!$B$11,Paramètres!$A$1:$I$89,5,0)</f>
        <v>-3.2810021366458389E-14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140.99869591649082</v>
      </c>
      <c r="BJ65" s="62">
        <f t="shared" si="38"/>
        <v>425.5885140588652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45.826726270230147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45.826726270230147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5.333333333333333</v>
      </c>
      <c r="BY65" s="13">
        <f>IF('Données projet'!$A$114&gt;35,BY64+BX65-CG64,IF(A65&lt;'Données projet'!$A$114,$BV$205^A65,IF(A65='Données projet'!$A$114,'Données projet'!$B$114,BY64+BX65-CG64)))</f>
        <v>63.666666666666664</v>
      </c>
      <c r="BZ65" s="14">
        <f>BY65*VLOOKUP('Données projet'!$B$12,Paramètres!$A$1:$I$89,3,0)*VLOOKUP('Données projet'!$B$12,Paramètres!$A$1:$I$89,5,0)</f>
        <v>57.605599999999995</v>
      </c>
      <c r="CA65" s="14">
        <f t="shared" si="39"/>
        <v>16.561462200672544</v>
      </c>
      <c r="CB65" s="22">
        <f t="shared" si="10"/>
        <v>129.17429999950468</v>
      </c>
      <c r="CC65" s="62">
        <f t="shared" si="11"/>
        <v>422.507633332838</v>
      </c>
      <c r="CD65" s="62">
        <f ca="1">AVERAGE(OFFSET($CC$3,0,0,'Données projet'!$E$12+1,1))-AVERAGE(OFFSET($H$3,0,0,'Données projet'!$E$12+1,1))</f>
        <v>37.174340347509542</v>
      </c>
      <c r="CE65" s="62">
        <f t="shared" si="40"/>
        <v>-42.822755675927624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5.2496654564240481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5.2496654564240481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5.333333333333333</v>
      </c>
      <c r="CT65" s="13">
        <f>IF('Données projet'!$A$140&gt;35,CT64+CS65-DB64,IF(A65&lt;'Données projet'!$A$140,$CQ$205^A65,IF(A65='Données projet'!$A$140,'Données projet'!$B$140,CT64+CS65-DB64)))</f>
        <v>63.666666666666664</v>
      </c>
      <c r="CU65" s="18">
        <f>CT65*VLOOKUP('Données projet'!$B$13,Paramètres!$A$1:$I$89,3,0)*VLOOKUP('Données projet'!$B$13,Paramètres!$A$1:$I$89,5,0)</f>
        <v>66.544399999999996</v>
      </c>
      <c r="CV65" s="14">
        <f t="shared" si="41"/>
        <v>18.812798257002729</v>
      </c>
      <c r="CW65" s="22">
        <f t="shared" si="13"/>
        <v>148.66378696427972</v>
      </c>
      <c r="CX65" s="62">
        <f t="shared" si="14"/>
        <v>441.99712029761304</v>
      </c>
      <c r="CY65" s="62">
        <f ca="1">AVERAGE(OFFSET($CX$3,0,0,'Données projet'!$E$13+1,1))-AVERAGE(OFFSET($H$3,0,0,'Données projet'!$E$13+1,1))</f>
        <v>63.282881814092605</v>
      </c>
      <c r="CZ65" s="62">
        <f t="shared" si="42"/>
        <v>-40.869120230674525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6.0642687169036433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6.0642687169036433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51.105599999999974</v>
      </c>
      <c r="D66" s="12">
        <f t="shared" si="32"/>
        <v>14.898921224732128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509.50858489266881</v>
      </c>
      <c r="H66" s="70">
        <f t="shared" si="1"/>
        <v>408.2912077997417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-5.6843418860808015E-14</v>
      </c>
      <c r="O66" s="14">
        <f>N66*VLOOKUP('Données projet'!$B$9,Paramètres!$A$1:$I$89,3,0)*VLOOKUP('Données projet'!$B$9,Paramètres!$A$1:$I$89,5,0)</f>
        <v>-2.8908289095852525E-14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121.64341556501768</v>
      </c>
      <c r="T66" s="62">
        <f t="shared" si="34"/>
        <v>370.21160497429781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39.585291975659892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39.585291975659892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-5.6843418860808015E-14</v>
      </c>
      <c r="AJ66" s="14">
        <f>AI66*VLOOKUP('Données projet'!$B$10,Paramètres!$A$1:$I$89,3,0)*VLOOKUP('Données projet'!$B$10,Paramètres!$A$1:$I$89,5,0)</f>
        <v>-3.2810021366458389E-14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140.99869591649082</v>
      </c>
      <c r="AO66" s="62">
        <f t="shared" si="36"/>
        <v>425.5885140588652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44.928092119613972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44.928092119613972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-5.6843418860808015E-14</v>
      </c>
      <c r="BE66" s="14">
        <f>BD66*VLOOKUP('Données projet'!$B$11,Paramètres!$A$1:$I$89,3,0)*VLOOKUP('Données projet'!$B$11,Paramètres!$A$1:$I$89,5,0)</f>
        <v>-3.2810021366458389E-14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140.99869591649082</v>
      </c>
      <c r="BJ66" s="62">
        <f t="shared" si="38"/>
        <v>425.5885140588652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44.928092119613972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44.928092119613972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5.333333333333333</v>
      </c>
      <c r="BY66" s="13">
        <f>IF('Données projet'!$A$114&gt;35,BY65+BX66-CG65,IF(A66&lt;'Données projet'!$A$114,$BV$205^A66,IF(A66='Données projet'!$A$114,'Données projet'!$B$114,BY65+BX66-CG65)))</f>
        <v>69</v>
      </c>
      <c r="BZ66" s="14">
        <f>BY66*VLOOKUP('Données projet'!$B$12,Paramètres!$A$1:$I$89,3,0)*VLOOKUP('Données projet'!$B$12,Paramètres!$A$1:$I$89,5,0)</f>
        <v>62.431199999999997</v>
      </c>
      <c r="CA66" s="14">
        <f t="shared" si="39"/>
        <v>17.781524466058684</v>
      </c>
      <c r="CB66" s="22">
        <f t="shared" si="10"/>
        <v>139.70382844505221</v>
      </c>
      <c r="CC66" s="62">
        <f t="shared" si="11"/>
        <v>433.03716177838555</v>
      </c>
      <c r="CD66" s="62">
        <f ca="1">AVERAGE(OFFSET($CC$3,0,0,'Données projet'!$E$12+1,1))-AVERAGE(OFFSET($H$3,0,0,'Données projet'!$E$12+1,1))</f>
        <v>37.174340347509542</v>
      </c>
      <c r="CE66" s="62">
        <f t="shared" si="40"/>
        <v>-42.822755675927624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5.146722718803332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5.146722718803332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5.333333333333333</v>
      </c>
      <c r="CT66" s="13">
        <f>IF('Données projet'!$A$140&gt;35,CT65+CS66-DB65,IF(A66&lt;'Données projet'!$A$140,$CQ$205^A66,IF(A66='Données projet'!$A$140,'Données projet'!$B$140,CT65+CS66-DB65)))</f>
        <v>69</v>
      </c>
      <c r="CU66" s="18">
        <f>CT66*VLOOKUP('Données projet'!$B$13,Paramètres!$A$1:$I$89,3,0)*VLOOKUP('Données projet'!$B$13,Paramètres!$A$1:$I$89,5,0)</f>
        <v>72.118800000000007</v>
      </c>
      <c r="CV66" s="14">
        <f t="shared" si="41"/>
        <v>20.198713641862817</v>
      </c>
      <c r="CW66" s="22">
        <f t="shared" si="13"/>
        <v>160.78633625957775</v>
      </c>
      <c r="CX66" s="62">
        <f t="shared" si="14"/>
        <v>454.11966959291107</v>
      </c>
      <c r="CY66" s="62">
        <f ca="1">AVERAGE(OFFSET($CX$3,0,0,'Données projet'!$E$13+1,1))-AVERAGE(OFFSET($H$3,0,0,'Données projet'!$E$13+1,1))</f>
        <v>63.282881814092605</v>
      </c>
      <c r="CZ66" s="62">
        <f t="shared" si="42"/>
        <v>-40.869120230674525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5.9453521062038499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5.9453521062038499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51.916799999999974</v>
      </c>
      <c r="D67" s="12">
        <f t="shared" si="32"/>
        <v>15.107692595703268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517.38204810718298</v>
      </c>
      <c r="H67" s="70">
        <f t="shared" si="1"/>
        <v>410.06765793751646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-5.6843418860808015E-14</v>
      </c>
      <c r="O67" s="14">
        <f>N67*VLOOKUP('Données projet'!$B$9,Paramètres!$A$1:$I$89,3,0)*VLOOKUP('Données projet'!$B$9,Paramètres!$A$1:$I$89,5,0)</f>
        <v>-2.8908289095852525E-14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121.64341556501768</v>
      </c>
      <c r="T67" s="62">
        <f t="shared" si="34"/>
        <v>370.21160497429781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38.809048544661223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38.809048544661223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-5.6843418860808015E-14</v>
      </c>
      <c r="AJ67" s="14">
        <f>AI67*VLOOKUP('Données projet'!$B$10,Paramètres!$A$1:$I$89,3,0)*VLOOKUP('Données projet'!$B$10,Paramètres!$A$1:$I$89,5,0)</f>
        <v>-3.2810021366458389E-14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140.99869591649082</v>
      </c>
      <c r="AO67" s="62">
        <f t="shared" si="36"/>
        <v>425.5885140588652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44.047079636578673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44.047079636578673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-5.6843418860808015E-14</v>
      </c>
      <c r="BE67" s="14">
        <f>BD67*VLOOKUP('Données projet'!$B$11,Paramètres!$A$1:$I$89,3,0)*VLOOKUP('Données projet'!$B$11,Paramètres!$A$1:$I$89,5,0)</f>
        <v>-3.2810021366458389E-14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140.99869591649082</v>
      </c>
      <c r="BJ67" s="62">
        <f t="shared" si="38"/>
        <v>425.5885140588652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44.047079636578673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44.047079636578673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5.333333333333333</v>
      </c>
      <c r="BY67" s="13">
        <f>IF('Données projet'!$A$114&gt;35,BY66+BX67-CG66,IF(A67&lt;'Données projet'!$A$114,$BV$205^A67,IF(A67='Données projet'!$A$114,'Données projet'!$B$114,BY66+BX67-CG66)))</f>
        <v>74.333333333333329</v>
      </c>
      <c r="BZ67" s="14">
        <f>BY67*VLOOKUP('Données projet'!$B$12,Paramètres!$A$1:$I$89,3,0)*VLOOKUP('Données projet'!$B$12,Paramètres!$A$1:$I$89,5,0)</f>
        <v>67.256799999999998</v>
      </c>
      <c r="CA67" s="14">
        <f t="shared" si="39"/>
        <v>18.990647448827055</v>
      </c>
      <c r="CB67" s="22">
        <f t="shared" si="10"/>
        <v>150.21430430670708</v>
      </c>
      <c r="CC67" s="62">
        <f t="shared" si="11"/>
        <v>443.54763764004042</v>
      </c>
      <c r="CD67" s="62">
        <f ca="1">AVERAGE(OFFSET($CC$3,0,0,'Données projet'!$E$12+1,1))-AVERAGE(OFFSET($H$3,0,0,'Données projet'!$E$12+1,1))</f>
        <v>37.174340347509542</v>
      </c>
      <c r="CE67" s="62">
        <f t="shared" si="40"/>
        <v>-42.822755675927624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5.0457986254784881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5.0457986254784881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5.333333333333333</v>
      </c>
      <c r="CT67" s="13">
        <f>IF('Données projet'!$A$140&gt;35,CT66+CS67-DB66,IF(A67&lt;'Données projet'!$A$140,$CQ$205^A67,IF(A67='Données projet'!$A$140,'Données projet'!$B$140,CT66+CS67-DB66)))</f>
        <v>74.333333333333329</v>
      </c>
      <c r="CU67" s="18">
        <f>CT67*VLOOKUP('Données projet'!$B$13,Paramètres!$A$1:$I$89,3,0)*VLOOKUP('Données projet'!$B$13,Paramètres!$A$1:$I$89,5,0)</f>
        <v>77.693200000000004</v>
      </c>
      <c r="CV67" s="14">
        <f t="shared" si="41"/>
        <v>21.572202677257486</v>
      </c>
      <c r="CW67" s="22">
        <f t="shared" si="13"/>
        <v>172.88724299622348</v>
      </c>
      <c r="CX67" s="62">
        <f t="shared" si="14"/>
        <v>466.22057632955682</v>
      </c>
      <c r="CY67" s="62">
        <f ca="1">AVERAGE(OFFSET($CX$3,0,0,'Données projet'!$E$13+1,1))-AVERAGE(OFFSET($H$3,0,0,'Données projet'!$E$13+1,1))</f>
        <v>63.282881814092605</v>
      </c>
      <c r="CZ67" s="62">
        <f t="shared" si="42"/>
        <v>-40.869120230674525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5.8287673777079094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5.8287673777079094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52.727999999999973</v>
      </c>
      <c r="D68" s="12">
        <f t="shared" si="32"/>
        <v>15.316084592505272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525.25258281933873</v>
      </c>
      <c r="H68" s="70">
        <f t="shared" ref="H68:H131" si="56">(B68+E68+F68)*44/12+(C68+D68)*0.475*44/12</f>
        <v>411.84344733194661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-5.6843418860808015E-14</v>
      </c>
      <c r="O68" s="14">
        <f>N68*VLOOKUP('Données projet'!$B$9,Paramètres!$A$1:$I$89,3,0)*VLOOKUP('Données projet'!$B$9,Paramètres!$A$1:$I$89,5,0)</f>
        <v>-2.8908289095852525E-14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121.64341556501768</v>
      </c>
      <c r="T68" s="62">
        <f t="shared" si="34"/>
        <v>370.21160497429781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38.048026773882697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38.048026773882697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-5.6843418860808015E-14</v>
      </c>
      <c r="AJ68" s="14">
        <f>AI68*VLOOKUP('Données projet'!$B$10,Paramètres!$A$1:$I$89,3,0)*VLOOKUP('Données projet'!$B$10,Paramètres!$A$1:$I$89,5,0)</f>
        <v>-3.2810021366458389E-14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140.99869591649082</v>
      </c>
      <c r="AO68" s="62">
        <f t="shared" si="36"/>
        <v>425.5885140588652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43.183343270971136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43.183343270971136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-5.6843418860808015E-14</v>
      </c>
      <c r="BE68" s="14">
        <f>BD68*VLOOKUP('Données projet'!$B$11,Paramètres!$A$1:$I$89,3,0)*VLOOKUP('Données projet'!$B$11,Paramètres!$A$1:$I$89,5,0)</f>
        <v>-3.2810021366458389E-14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140.99869591649082</v>
      </c>
      <c r="BJ68" s="62">
        <f t="shared" si="38"/>
        <v>425.5885140588652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43.183343270971136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43.183343270971136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5.333333333333333</v>
      </c>
      <c r="BY68" s="13">
        <f>IF('Données projet'!$A$114&gt;35,BY67+BX68-CG67,IF(A68&lt;'Données projet'!$A$114,$BV$205^A68,IF(A68='Données projet'!$A$114,'Données projet'!$B$114,BY67+BX68-CG67)))</f>
        <v>79.666666666666657</v>
      </c>
      <c r="BZ68" s="14">
        <f>BY68*VLOOKUP('Données projet'!$B$12,Paramètres!$A$1:$I$89,3,0)*VLOOKUP('Données projet'!$B$12,Paramètres!$A$1:$I$89,5,0)</f>
        <v>72.082399999999993</v>
      </c>
      <c r="CA68" s="14">
        <f t="shared" si="39"/>
        <v>20.189705295608608</v>
      </c>
      <c r="CB68" s="22">
        <f t="shared" ref="CB68:CB131" si="64">(BZ68+CA68)*0.475*44/12</f>
        <v>160.70725005651829</v>
      </c>
      <c r="CC68" s="62">
        <f t="shared" ref="CC68:CC131" si="65">CB68+(BT68+BU68)*44/12</f>
        <v>454.04058338985158</v>
      </c>
      <c r="CD68" s="62">
        <f ca="1">AVERAGE(OFFSET($CC$3,0,0,'Données projet'!$E$12+1,1))-AVERAGE(OFFSET($H$3,0,0,'Données projet'!$E$12+1,1))</f>
        <v>37.174340347509542</v>
      </c>
      <c r="CE68" s="62">
        <f t="shared" si="40"/>
        <v>-42.822755675927624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4.9468535920661258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4.9468535920661258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5.333333333333333</v>
      </c>
      <c r="CT68" s="13">
        <f>IF('Données projet'!$A$140&gt;35,CT67+CS68-DB67,IF(A68&lt;'Données projet'!$A$140,$CQ$205^A68,IF(A68='Données projet'!$A$140,'Données projet'!$B$140,CT67+CS68-DB67)))</f>
        <v>79.666666666666657</v>
      </c>
      <c r="CU68" s="18">
        <f>CT68*VLOOKUP('Données projet'!$B$13,Paramètres!$A$1:$I$89,3,0)*VLOOKUP('Données projet'!$B$13,Paramètres!$A$1:$I$89,5,0)</f>
        <v>83.267600000000002</v>
      </c>
      <c r="CV68" s="14">
        <f t="shared" si="41"/>
        <v>22.934258339773884</v>
      </c>
      <c r="CW68" s="22">
        <f t="shared" ref="CW68:CW131" si="67">(CU68+CV68)*0.475*44/12</f>
        <v>184.9682366084395</v>
      </c>
      <c r="CX68" s="62">
        <f t="shared" ref="CX68:CX131" si="68">CW68+(CO68+CP68)*44/12</f>
        <v>478.30156994177281</v>
      </c>
      <c r="CY68" s="62">
        <f ca="1">AVERAGE(OFFSET($CX$3,0,0,'Données projet'!$E$13+1,1))-AVERAGE(OFFSET($H$3,0,0,'Données projet'!$E$13+1,1))</f>
        <v>63.282881814092605</v>
      </c>
      <c r="CZ68" s="62">
        <f t="shared" si="42"/>
        <v>-40.869120230674525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5.7144688046281109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5.7144688046281109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53.539199999999973</v>
      </c>
      <c r="D69" s="12">
        <f t="shared" ref="D69:D132" si="86">IFERROR(EXP(-1.0587+0.8836*LN(C69)+0.284),0)</f>
        <v>15.524103725721867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533.12023928627389</v>
      </c>
      <c r="H69" s="70">
        <f t="shared" si="56"/>
        <v>413.61858732229882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-5.6843418860808015E-14</v>
      </c>
      <c r="O69" s="14">
        <f>N69*VLOOKUP('Données projet'!$B$9,Paramètres!$A$1:$I$89,3,0)*VLOOKUP('Données projet'!$B$9,Paramètres!$A$1:$I$89,5,0)</f>
        <v>-2.8908289095852525E-14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121.64341556501768</v>
      </c>
      <c r="T69" s="62">
        <f t="shared" ref="T69:T132" si="88">$T$3</f>
        <v>370.21160497429781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37.301928175851685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37.301928175851685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-5.6843418860808015E-14</v>
      </c>
      <c r="AJ69" s="14">
        <f>AI69*VLOOKUP('Données projet'!$B$10,Paramètres!$A$1:$I$89,3,0)*VLOOKUP('Données projet'!$B$10,Paramètres!$A$1:$I$89,5,0)</f>
        <v>-3.2810021366458389E-14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140.99869591649082</v>
      </c>
      <c r="AO69" s="62">
        <f t="shared" ref="AO69:AO132" si="90">$AO$3</f>
        <v>425.5885140588652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42.336544248666002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42.336544248666002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-5.6843418860808015E-14</v>
      </c>
      <c r="BE69" s="14">
        <f>BD69*VLOOKUP('Données projet'!$B$11,Paramètres!$A$1:$I$89,3,0)*VLOOKUP('Données projet'!$B$11,Paramètres!$A$1:$I$89,5,0)</f>
        <v>-3.2810021366458389E-14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140.99869591649082</v>
      </c>
      <c r="BJ69" s="62">
        <f t="shared" ref="BJ69:BJ132" si="92">$BJ$3</f>
        <v>425.5885140588652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42.336544248666002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42.336544248666002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>
        <f>VLOOKUP(A69,'Données projet'!$A$113:$I$133,2,0)</f>
        <v>85</v>
      </c>
      <c r="BW69" s="13">
        <f>VLOOKUP(A69,'Données projet'!$A$113:$I$133,9,0)</f>
        <v>5.333333333333333</v>
      </c>
      <c r="BX69" s="13">
        <f t="array" ref="BX69">INDEX(BW:BW,MIN(IF(ISNUMBER(BW69:BW265),ROW(BW69:BW265),"")))</f>
        <v>5.333333333333333</v>
      </c>
      <c r="BY69" s="13">
        <f>IF('Données projet'!$A$114&gt;35,BY68+BX69-CG68,IF(A69&lt;'Données projet'!$A$114,$BV$205^A69,IF(A69='Données projet'!$A$114,'Données projet'!$B$114,BY68+BX69-CG68)))</f>
        <v>84.999999999999986</v>
      </c>
      <c r="BZ69" s="14">
        <f>BY69*VLOOKUP('Données projet'!$B$12,Paramètres!$A$1:$I$89,3,0)*VLOOKUP('Données projet'!$B$12,Paramètres!$A$1:$I$89,5,0)</f>
        <v>76.907999999999987</v>
      </c>
      <c r="CA69" s="14">
        <f t="shared" ref="CA69:CA132" si="93">EXP(-1.0587+0.8836*LN(BZ69)+0.284)</f>
        <v>21.379448490435635</v>
      </c>
      <c r="CB69" s="22">
        <f t="shared" si="64"/>
        <v>171.18397278750868</v>
      </c>
      <c r="CC69" s="62">
        <f t="shared" si="65"/>
        <v>464.51730612084202</v>
      </c>
      <c r="CD69" s="62">
        <f ca="1">AVERAGE(OFFSET($CC$3,0,0,'Données projet'!$E$12+1,1))-AVERAGE(OFFSET($H$3,0,0,'Données projet'!$E$12+1,1))</f>
        <v>37.174340347509542</v>
      </c>
      <c r="CE69" s="62">
        <f t="shared" ref="CE69:CE132" si="94">$CE$3</f>
        <v>-42.822755675927624</v>
      </c>
      <c r="CF69" s="16">
        <f>IF(ISNA(VLOOKUP(A69,'Données projet'!$A$113:$I$133,3,0)),0,VLOOKUP(A69,'Données projet'!$A$113:$I$133,3,0))</f>
        <v>7</v>
      </c>
      <c r="CG69" s="16">
        <f>IF(ISNA(VLOOKUP(A69,'Données projet'!$A$113:$I$133,4,0)),0,VLOOKUP(A69,'Données projet'!$A$113:$I$133,4,0))</f>
        <v>18</v>
      </c>
      <c r="CH69" s="17">
        <f>IF(ISNA(VLOOKUP(A69,'Données projet'!$A$113:$I$133,5,0)),0%,VLOOKUP(A69,'Données projet'!$A$113:$I$133,5,0)*VLOOKUP('Données projet'!$B$12,Paramètres!$A$1:$I$89,7,0))</f>
        <v>0.18489999999999998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8.1788129631362505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8.1788129631362505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>
        <f>VLOOKUP(A69,'Données projet'!$A$139:$I$159,2,0)</f>
        <v>85</v>
      </c>
      <c r="CR69" s="13">
        <f>VLOOKUP(A69,'Données projet'!$A$139:$I$159,9,0)</f>
        <v>5.333333333333333</v>
      </c>
      <c r="CS69" s="13">
        <f t="array" ref="CS69">INDEX(CR:CR,MIN(IF(ISNUMBER(CR69:CR265),ROW(CR69:CR265),"")))</f>
        <v>5.333333333333333</v>
      </c>
      <c r="CT69" s="13">
        <f>IF('Données projet'!$A$140&gt;35,CT68+CS69-DB68,IF(A69&lt;'Données projet'!$A$140,$CQ$205^A69,IF(A69='Données projet'!$A$140,'Données projet'!$B$140,CT68+CS69-DB68)))</f>
        <v>84.999999999999986</v>
      </c>
      <c r="CU69" s="18">
        <f>CT69*VLOOKUP('Données projet'!$B$13,Paramètres!$A$1:$I$89,3,0)*VLOOKUP('Données projet'!$B$13,Paramètres!$A$1:$I$89,5,0)</f>
        <v>88.841999999999999</v>
      </c>
      <c r="CV69" s="14">
        <f t="shared" ref="CV69:CV132" si="95">EXP(-1.0587+0.8836*LN(CU69)+0.284)</f>
        <v>24.285733132924324</v>
      </c>
      <c r="CW69" s="22">
        <f t="shared" si="67"/>
        <v>197.03080187317653</v>
      </c>
      <c r="CX69" s="62">
        <f t="shared" si="68"/>
        <v>490.36413520650984</v>
      </c>
      <c r="CY69" s="62">
        <f ca="1">AVERAGE(OFFSET($CX$3,0,0,'Données projet'!$E$13+1,1))-AVERAGE(OFFSET($H$3,0,0,'Données projet'!$E$13+1,1))</f>
        <v>63.282881814092605</v>
      </c>
      <c r="CZ69" s="62">
        <f t="shared" ref="CZ69:CZ132" si="96">$CZ$3</f>
        <v>-40.869120230674525</v>
      </c>
      <c r="DA69" s="16">
        <f>IF(ISNA(VLOOKUP(A69,'Données projet'!$A$139:$I$159,3,0)),0,VLOOKUP(A69,'Données projet'!$A$139:$I$159,3,0))</f>
        <v>7</v>
      </c>
      <c r="DB69" s="16">
        <f>IF(ISNA(VLOOKUP(A69,'Données projet'!$A$139:$I$159,4,0)),0,VLOOKUP(A69,'Données projet'!$A$139:$I$159,4,0))</f>
        <v>18</v>
      </c>
      <c r="DC69" s="17">
        <f>IF(ISNA(VLOOKUP(A69,'Données projet'!$A$139:$I$159,5,0)),0%,VLOOKUP(A69,'Données projet'!$A$139:$I$159,5,0)*VLOOKUP('Données projet'!$B$13,Paramètres!$A$1:$I$89,7,0))</f>
        <v>0.18489999999999998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9.4479391125884291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9.4479391125884291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54.350399999999972</v>
      </c>
      <c r="D70" s="12">
        <f t="shared" si="86"/>
        <v>15.73175629732425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540.98506615478345</v>
      </c>
      <c r="H70" s="70">
        <f t="shared" si="56"/>
        <v>415.39308888450631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-5.6843418860808015E-14</v>
      </c>
      <c r="O70" s="14">
        <f>N70*VLOOKUP('Données projet'!$B$9,Paramètres!$A$1:$I$89,3,0)*VLOOKUP('Données projet'!$B$9,Paramètres!$A$1:$I$89,5,0)</f>
        <v>-2.8908289095852525E-14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121.64341556501768</v>
      </c>
      <c r="T70" s="62">
        <f t="shared" si="88"/>
        <v>370.21160497429781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36.570460116252853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36.570460116252853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-5.6843418860808015E-14</v>
      </c>
      <c r="AJ70" s="14">
        <f>AI70*VLOOKUP('Données projet'!$B$10,Paramètres!$A$1:$I$89,3,0)*VLOOKUP('Données projet'!$B$10,Paramètres!$A$1:$I$89,5,0)</f>
        <v>-3.2810021366458389E-14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140.99869591649082</v>
      </c>
      <c r="AO70" s="62">
        <f t="shared" si="90"/>
        <v>425.5885140588652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41.506350438691868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41.506350438691868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-5.6843418860808015E-14</v>
      </c>
      <c r="BE70" s="14">
        <f>BD70*VLOOKUP('Données projet'!$B$11,Paramètres!$A$1:$I$89,3,0)*VLOOKUP('Données projet'!$B$11,Paramètres!$A$1:$I$89,5,0)</f>
        <v>-3.2810021366458389E-14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140.99869591649082</v>
      </c>
      <c r="BJ70" s="62">
        <f t="shared" si="92"/>
        <v>425.5885140588652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41.506350438691868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41.506350438691868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4.666666666666667</v>
      </c>
      <c r="BY70" s="13">
        <f>IF('Données projet'!$A$114&gt;35,BY69+BX70-CG69,IF(A70&lt;'Données projet'!$A$114,$BV$205^A70,IF(A70='Données projet'!$A$114,'Données projet'!$B$114,BY69+BX70-CG69)))</f>
        <v>71.666666666666657</v>
      </c>
      <c r="BZ70" s="14">
        <f>BY70*VLOOKUP('Données projet'!$B$12,Paramètres!$A$1:$I$89,3,0)*VLOOKUP('Données projet'!$B$12,Paramètres!$A$1:$I$89,5,0)</f>
        <v>64.84399999999998</v>
      </c>
      <c r="CA70" s="14">
        <f t="shared" si="93"/>
        <v>18.387395502392351</v>
      </c>
      <c r="CB70" s="22">
        <f t="shared" si="64"/>
        <v>144.96134716666663</v>
      </c>
      <c r="CC70" s="62">
        <f t="shared" si="65"/>
        <v>438.29468049999991</v>
      </c>
      <c r="CD70" s="62">
        <f ca="1">AVERAGE(OFFSET($CC$3,0,0,'Données projet'!$E$12+1,1))-AVERAGE(OFFSET($H$3,0,0,'Données projet'!$E$12+1,1))</f>
        <v>37.174340347509542</v>
      </c>
      <c r="CE70" s="62">
        <f t="shared" si="94"/>
        <v>-42.822755675927624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8.018431429512475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8.018431429512475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4.666666666666667</v>
      </c>
      <c r="CT70" s="13">
        <f>IF('Données projet'!$A$140&gt;35,CT69+CS70-DB69,IF(A70&lt;'Données projet'!$A$140,$CQ$205^A70,IF(A70='Données projet'!$A$140,'Données projet'!$B$140,CT69+CS70-DB69)))</f>
        <v>71.666666666666657</v>
      </c>
      <c r="CU70" s="18">
        <f>CT70*VLOOKUP('Données projet'!$B$13,Paramètres!$A$1:$I$89,3,0)*VLOOKUP('Données projet'!$B$13,Paramètres!$A$1:$I$89,5,0)</f>
        <v>74.906000000000006</v>
      </c>
      <c r="CV70" s="14">
        <f t="shared" si="95"/>
        <v>20.886945721747871</v>
      </c>
      <c r="CW70" s="22">
        <f t="shared" si="67"/>
        <v>166.83938046537756</v>
      </c>
      <c r="CX70" s="62">
        <f t="shared" si="68"/>
        <v>460.1727137987109</v>
      </c>
      <c r="CY70" s="62">
        <f ca="1">AVERAGE(OFFSET($CX$3,0,0,'Données projet'!$E$13+1,1))-AVERAGE(OFFSET($H$3,0,0,'Données projet'!$E$13+1,1))</f>
        <v>63.282881814092605</v>
      </c>
      <c r="CZ70" s="62">
        <f t="shared" si="96"/>
        <v>-40.869120230674525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9.262670789264412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9.262670789264412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55.161599999999972</v>
      </c>
      <c r="D71" s="12">
        <f t="shared" si="86"/>
        <v>15.939048410367347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548.84711053616877</v>
      </c>
      <c r="H71" s="70">
        <f t="shared" si="56"/>
        <v>417.16696264805637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-5.6843418860808015E-14</v>
      </c>
      <c r="O71" s="14">
        <f>N71*VLOOKUP('Données projet'!$B$9,Paramètres!$A$1:$I$89,3,0)*VLOOKUP('Données projet'!$B$9,Paramètres!$A$1:$I$89,5,0)</f>
        <v>-2.8908289095852525E-14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121.64341556501768</v>
      </c>
      <c r="T71" s="62">
        <f t="shared" si="88"/>
        <v>370.21160497429781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35.853335699151295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35.853335699151295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-5.6843418860808015E-14</v>
      </c>
      <c r="AJ71" s="14">
        <f>AI71*VLOOKUP('Données projet'!$B$10,Paramètres!$A$1:$I$89,3,0)*VLOOKUP('Données projet'!$B$10,Paramètres!$A$1:$I$89,5,0)</f>
        <v>-3.2810021366458389E-14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140.99869591649082</v>
      </c>
      <c r="AO71" s="62">
        <f t="shared" si="90"/>
        <v>425.5885140588652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40.692436222963103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40.692436222963103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-5.6843418860808015E-14</v>
      </c>
      <c r="BE71" s="14">
        <f>BD71*VLOOKUP('Données projet'!$B$11,Paramètres!$A$1:$I$89,3,0)*VLOOKUP('Données projet'!$B$11,Paramètres!$A$1:$I$89,5,0)</f>
        <v>-3.2810021366458389E-14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140.99869591649082</v>
      </c>
      <c r="BJ71" s="62">
        <f t="shared" si="92"/>
        <v>425.5885140588652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40.692436222963103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40.692436222963103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4.666666666666667</v>
      </c>
      <c r="BY71" s="13">
        <f>IF('Données projet'!$A$114&gt;35,BY70+BX71-CG70,IF(A71&lt;'Données projet'!$A$114,$BV$205^A71,IF(A71='Données projet'!$A$114,'Données projet'!$B$114,BY70+BX71-CG70)))</f>
        <v>76.333333333333329</v>
      </c>
      <c r="BZ71" s="14">
        <f>BY71*VLOOKUP('Données projet'!$B$12,Paramètres!$A$1:$I$89,3,0)*VLOOKUP('Données projet'!$B$12,Paramètres!$A$1:$I$89,5,0)</f>
        <v>69.066399999999987</v>
      </c>
      <c r="CA71" s="14">
        <f t="shared" si="93"/>
        <v>19.441430923896462</v>
      </c>
      <c r="CB71" s="22">
        <f t="shared" si="64"/>
        <v>154.15113885911964</v>
      </c>
      <c r="CC71" s="62">
        <f t="shared" si="65"/>
        <v>447.48447219245293</v>
      </c>
      <c r="CD71" s="62">
        <f ca="1">AVERAGE(OFFSET($CC$3,0,0,'Données projet'!$E$12+1,1))-AVERAGE(OFFSET($H$3,0,0,'Données projet'!$E$12+1,1))</f>
        <v>37.174340347509542</v>
      </c>
      <c r="CE71" s="62">
        <f t="shared" si="94"/>
        <v>-42.822755675927624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7.8611948799399851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7.8611948799399851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4.666666666666667</v>
      </c>
      <c r="CT71" s="13">
        <f>IF('Données projet'!$A$140&gt;35,CT70+CS71-DB70,IF(A71&lt;'Données projet'!$A$140,$CQ$205^A71,IF(A71='Données projet'!$A$140,'Données projet'!$B$140,CT70+CS71-DB70)))</f>
        <v>76.333333333333329</v>
      </c>
      <c r="CU71" s="18">
        <f>CT71*VLOOKUP('Données projet'!$B$13,Paramètres!$A$1:$I$89,3,0)*VLOOKUP('Données projet'!$B$13,Paramètres!$A$1:$I$89,5,0)</f>
        <v>79.783599999999993</v>
      </c>
      <c r="CV71" s="14">
        <f t="shared" si="95"/>
        <v>22.084264865445608</v>
      </c>
      <c r="CW71" s="22">
        <f t="shared" si="67"/>
        <v>177.41986464065107</v>
      </c>
      <c r="CX71" s="62">
        <f t="shared" si="68"/>
        <v>470.75319797398436</v>
      </c>
      <c r="CY71" s="62">
        <f ca="1">AVERAGE(OFFSET($CX$3,0,0,'Données projet'!$E$13+1,1))-AVERAGE(OFFSET($H$3,0,0,'Données projet'!$E$13+1,1))</f>
        <v>63.282881814092605</v>
      </c>
      <c r="CZ71" s="62">
        <f t="shared" si="96"/>
        <v>-40.869120230674525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9.0810354647582603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9.0810354647582603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55.972799999999971</v>
      </c>
      <c r="D72" s="12">
        <f t="shared" si="86"/>
        <v>16.145985978099564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556.70641807655784</v>
      </c>
      <c r="H72" s="70">
        <f t="shared" si="56"/>
        <v>418.94021891185668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-5.6843418860808015E-14</v>
      </c>
      <c r="O72" s="14">
        <f>N72*VLOOKUP('Données projet'!$B$9,Paramètres!$A$1:$I$89,3,0)*VLOOKUP('Données projet'!$B$9,Paramètres!$A$1:$I$89,5,0)</f>
        <v>-2.8908289095852525E-14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121.64341556501768</v>
      </c>
      <c r="T72" s="62">
        <f t="shared" si="88"/>
        <v>370.21160497429781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35.150273654466389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35.150273654466389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-5.6843418860808015E-14</v>
      </c>
      <c r="AJ72" s="14">
        <f>AI72*VLOOKUP('Données projet'!$B$10,Paramètres!$A$1:$I$89,3,0)*VLOOKUP('Données projet'!$B$10,Paramètres!$A$1:$I$89,5,0)</f>
        <v>-3.2810021366458389E-14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140.99869591649082</v>
      </c>
      <c r="AO72" s="62">
        <f t="shared" si="90"/>
        <v>425.5885140588652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39.894482368566131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39.894482368566131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-5.6843418860808015E-14</v>
      </c>
      <c r="BE72" s="14">
        <f>BD72*VLOOKUP('Données projet'!$B$11,Paramètres!$A$1:$I$89,3,0)*VLOOKUP('Données projet'!$B$11,Paramètres!$A$1:$I$89,5,0)</f>
        <v>-3.2810021366458389E-14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140.99869591649082</v>
      </c>
      <c r="BJ72" s="62">
        <f t="shared" si="92"/>
        <v>425.5885140588652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39.894482368566131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39.894482368566131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4.666666666666667</v>
      </c>
      <c r="BY72" s="13">
        <f>IF('Données projet'!$A$114&gt;35,BY71+BX72-CG71,IF(A72&lt;'Données projet'!$A$114,$BV$205^A72,IF(A72='Données projet'!$A$114,'Données projet'!$B$114,BY71+BX72-CG71)))</f>
        <v>81</v>
      </c>
      <c r="BZ72" s="14">
        <f>BY72*VLOOKUP('Données projet'!$B$12,Paramètres!$A$1:$I$89,3,0)*VLOOKUP('Données projet'!$B$12,Paramètres!$A$1:$I$89,5,0)</f>
        <v>73.288799999999995</v>
      </c>
      <c r="CA72" s="14">
        <f t="shared" si="93"/>
        <v>20.487987371563225</v>
      </c>
      <c r="CB72" s="22">
        <f t="shared" si="64"/>
        <v>163.32790467213928</v>
      </c>
      <c r="CC72" s="62">
        <f t="shared" si="65"/>
        <v>456.66123800547257</v>
      </c>
      <c r="CD72" s="62">
        <f ca="1">AVERAGE(OFFSET($CC$3,0,0,'Données projet'!$E$12+1,1))-AVERAGE(OFFSET($H$3,0,0,'Données projet'!$E$12+1,1))</f>
        <v>37.174340347509542</v>
      </c>
      <c r="CE72" s="62">
        <f t="shared" si="94"/>
        <v>-42.822755675927624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7.7070416431997861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7.7070416431997861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4.666666666666667</v>
      </c>
      <c r="CT72" s="13">
        <f>IF('Données projet'!$A$140&gt;35,CT71+CS72-DB71,IF(A72&lt;'Données projet'!$A$140,$CQ$205^A72,IF(A72='Données projet'!$A$140,'Données projet'!$B$140,CT71+CS72-DB71)))</f>
        <v>81</v>
      </c>
      <c r="CU72" s="18">
        <f>CT72*VLOOKUP('Données projet'!$B$13,Paramètres!$A$1:$I$89,3,0)*VLOOKUP('Données projet'!$B$13,Paramètres!$A$1:$I$89,5,0)</f>
        <v>84.661200000000008</v>
      </c>
      <c r="CV72" s="14">
        <f t="shared" si="95"/>
        <v>23.273088356750662</v>
      </c>
      <c r="CW72" s="22">
        <f t="shared" si="67"/>
        <v>187.98555222134073</v>
      </c>
      <c r="CX72" s="62">
        <f t="shared" si="68"/>
        <v>481.31888555467401</v>
      </c>
      <c r="CY72" s="62">
        <f ca="1">AVERAGE(OFFSET($CX$3,0,0,'Données projet'!$E$13+1,1))-AVERAGE(OFFSET($H$3,0,0,'Données projet'!$E$13+1,1))</f>
        <v>63.282881814092605</v>
      </c>
      <c r="CZ72" s="62">
        <f t="shared" si="96"/>
        <v>-40.869120230674525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8.9029618981790648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8.9029618981790648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56.78399999999997</v>
      </c>
      <c r="D73" s="12">
        <f t="shared" si="86"/>
        <v>16.352574732529348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564.56303302303331</v>
      </c>
      <c r="H73" s="70">
        <f t="shared" si="56"/>
        <v>420.71286765915522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-5.6843418860808015E-14</v>
      </c>
      <c r="O73" s="14">
        <f>N73*VLOOKUP('Données projet'!$B$9,Paramètres!$A$1:$I$89,3,0)*VLOOKUP('Données projet'!$B$9,Paramètres!$A$1:$I$89,5,0)</f>
        <v>-2.8908289095852525E-14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121.64341556501768</v>
      </c>
      <c r="T73" s="62">
        <f t="shared" si="88"/>
        <v>370.21160497429781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34.460998227652254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34.460998227652254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-5.6843418860808015E-14</v>
      </c>
      <c r="AJ73" s="14">
        <f>AI73*VLOOKUP('Données projet'!$B$10,Paramètres!$A$1:$I$89,3,0)*VLOOKUP('Données projet'!$B$10,Paramètres!$A$1:$I$89,5,0)</f>
        <v>-3.2810021366458389E-14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140.99869591649082</v>
      </c>
      <c r="AO73" s="62">
        <f t="shared" si="90"/>
        <v>425.5885140588652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39.112175902550085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39.112175902550085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-5.6843418860808015E-14</v>
      </c>
      <c r="BE73" s="14">
        <f>BD73*VLOOKUP('Données projet'!$B$11,Paramètres!$A$1:$I$89,3,0)*VLOOKUP('Données projet'!$B$11,Paramètres!$A$1:$I$89,5,0)</f>
        <v>-3.2810021366458389E-14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140.99869591649082</v>
      </c>
      <c r="BJ73" s="62">
        <f t="shared" si="92"/>
        <v>425.5885140588652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39.112175902550085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39.112175902550085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4.666666666666667</v>
      </c>
      <c r="BY73" s="13">
        <f>IF('Données projet'!$A$114&gt;35,BY72+BX73-CG72,IF(A73&lt;'Données projet'!$A$114,$BV$205^A73,IF(A73='Données projet'!$A$114,'Données projet'!$B$114,BY72+BX73-CG72)))</f>
        <v>85.666666666666671</v>
      </c>
      <c r="BZ73" s="14">
        <f>BY73*VLOOKUP('Données projet'!$B$12,Paramètres!$A$1:$I$89,3,0)*VLOOKUP('Données projet'!$B$12,Paramètres!$A$1:$I$89,5,0)</f>
        <v>77.511200000000002</v>
      </c>
      <c r="CA73" s="14">
        <f t="shared" si="93"/>
        <v>21.527544824702815</v>
      </c>
      <c r="CB73" s="22">
        <f t="shared" si="64"/>
        <v>172.49248056969074</v>
      </c>
      <c r="CC73" s="62">
        <f t="shared" si="65"/>
        <v>465.82581390302403</v>
      </c>
      <c r="CD73" s="62">
        <f ca="1">AVERAGE(OFFSET($CC$3,0,0,'Données projet'!$E$12+1,1))-AVERAGE(OFFSET($H$3,0,0,'Données projet'!$E$12+1,1))</f>
        <v>37.174340347509542</v>
      </c>
      <c r="CE73" s="62">
        <f t="shared" si="94"/>
        <v>-42.822755675927624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7.555911257407872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7.555911257407872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4.666666666666667</v>
      </c>
      <c r="CT73" s="13">
        <f>IF('Données projet'!$A$140&gt;35,CT72+CS73-DB72,IF(A73&lt;'Données projet'!$A$140,$CQ$205^A73,IF(A73='Données projet'!$A$140,'Données projet'!$B$140,CT72+CS73-DB72)))</f>
        <v>85.666666666666671</v>
      </c>
      <c r="CU73" s="18">
        <f>CT73*VLOOKUP('Données projet'!$B$13,Paramètres!$A$1:$I$89,3,0)*VLOOKUP('Données projet'!$B$13,Paramètres!$A$1:$I$89,5,0)</f>
        <v>89.538800000000023</v>
      </c>
      <c r="CV73" s="14">
        <f t="shared" si="95"/>
        <v>24.453961422516851</v>
      </c>
      <c r="CW73" s="22">
        <f t="shared" si="67"/>
        <v>198.53739281088357</v>
      </c>
      <c r="CX73" s="62">
        <f t="shared" si="68"/>
        <v>491.87072614421686</v>
      </c>
      <c r="CY73" s="62">
        <f ca="1">AVERAGE(OFFSET($CX$3,0,0,'Données projet'!$E$13+1,1))-AVERAGE(OFFSET($H$3,0,0,'Données projet'!$E$13+1,1))</f>
        <v>63.282881814092605</v>
      </c>
      <c r="CZ73" s="62">
        <f t="shared" si="96"/>
        <v>-40.869120230674525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8.7283802456263366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8.7283802456263366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57.59519999999997</v>
      </c>
      <c r="D74" s="12">
        <f t="shared" si="86"/>
        <v>16.558820232488433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572.41699828587548</v>
      </c>
      <c r="H74" s="70">
        <f t="shared" si="56"/>
        <v>422.48491857158399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-5.6843418860808015E-14</v>
      </c>
      <c r="O74" s="14">
        <f>N74*VLOOKUP('Données projet'!$B$9,Paramètres!$A$1:$I$89,3,0)*VLOOKUP('Données projet'!$B$9,Paramètres!$A$1:$I$89,5,0)</f>
        <v>-2.8908289095852525E-14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121.64341556501768</v>
      </c>
      <c r="T74" s="62">
        <f t="shared" si="88"/>
        <v>370.21160497429781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33.785239071541447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33.785239071541447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-5.6843418860808015E-14</v>
      </c>
      <c r="AJ74" s="14">
        <f>AI74*VLOOKUP('Données projet'!$B$10,Paramètres!$A$1:$I$89,3,0)*VLOOKUP('Données projet'!$B$10,Paramètres!$A$1:$I$89,5,0)</f>
        <v>-3.2810021366458389E-14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140.99869591649082</v>
      </c>
      <c r="AO74" s="62">
        <f t="shared" si="90"/>
        <v>425.5885140588652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38.345209989172787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38.345209989172787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-5.6843418860808015E-14</v>
      </c>
      <c r="BE74" s="14">
        <f>BD74*VLOOKUP('Données projet'!$B$11,Paramètres!$A$1:$I$89,3,0)*VLOOKUP('Données projet'!$B$11,Paramètres!$A$1:$I$89,5,0)</f>
        <v>-3.2810021366458389E-14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140.99869591649082</v>
      </c>
      <c r="BJ74" s="62">
        <f t="shared" si="92"/>
        <v>425.5885140588652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38.345209989172787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38.345209989172787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4.666666666666667</v>
      </c>
      <c r="BY74" s="13">
        <f>IF('Données projet'!$A$114&gt;35,BY73+BX74-CG73,IF(A74&lt;'Données projet'!$A$114,$BV$205^A74,IF(A74='Données projet'!$A$114,'Données projet'!$B$114,BY73+BX74-CG73)))</f>
        <v>90.333333333333343</v>
      </c>
      <c r="BZ74" s="14">
        <f>BY74*VLOOKUP('Données projet'!$B$12,Paramètres!$A$1:$I$89,3,0)*VLOOKUP('Données projet'!$B$12,Paramètres!$A$1:$I$89,5,0)</f>
        <v>81.73360000000001</v>
      </c>
      <c r="CA74" s="14">
        <f t="shared" si="93"/>
        <v>22.560528015729489</v>
      </c>
      <c r="CB74" s="22">
        <f t="shared" si="64"/>
        <v>181.64560629406219</v>
      </c>
      <c r="CC74" s="62">
        <f t="shared" si="65"/>
        <v>474.9789396273955</v>
      </c>
      <c r="CD74" s="62">
        <f ca="1">AVERAGE(OFFSET($CC$3,0,0,'Données projet'!$E$12+1,1))-AVERAGE(OFFSET($H$3,0,0,'Données projet'!$E$12+1,1))</f>
        <v>37.174340347509542</v>
      </c>
      <c r="CE74" s="62">
        <f t="shared" si="94"/>
        <v>-42.822755675927624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7.4077444463009039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7.4077444463009039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4.666666666666667</v>
      </c>
      <c r="CT74" s="13">
        <f>IF('Données projet'!$A$140&gt;35,CT73+CS74-DB73,IF(A74&lt;'Données projet'!$A$140,$CQ$205^A74,IF(A74='Données projet'!$A$140,'Données projet'!$B$140,CT73+CS74-DB73)))</f>
        <v>90.333333333333343</v>
      </c>
      <c r="CU74" s="18">
        <f>CT74*VLOOKUP('Données projet'!$B$13,Paramètres!$A$1:$I$89,3,0)*VLOOKUP('Données projet'!$B$13,Paramètres!$A$1:$I$89,5,0)</f>
        <v>94.41640000000001</v>
      </c>
      <c r="CV74" s="14">
        <f t="shared" si="95"/>
        <v>25.627366532536062</v>
      </c>
      <c r="CW74" s="22">
        <f t="shared" si="67"/>
        <v>209.07622671083365</v>
      </c>
      <c r="CX74" s="62">
        <f t="shared" si="68"/>
        <v>502.40956004416694</v>
      </c>
      <c r="CY74" s="62">
        <f ca="1">AVERAGE(OFFSET($CX$3,0,0,'Données projet'!$E$13+1,1))-AVERAGE(OFFSET($H$3,0,0,'Données projet'!$E$13+1,1))</f>
        <v>63.282881814092605</v>
      </c>
      <c r="CZ74" s="62">
        <f t="shared" si="96"/>
        <v>-40.869120230674525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8.5572220327958739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8.5572220327958739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58.406399999999969</v>
      </c>
      <c r="D75" s="12">
        <f t="shared" si="86"/>
        <v>16.764727871227809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580.26835549719692</v>
      </c>
      <c r="H75" s="70">
        <f t="shared" si="56"/>
        <v>424.2563810423884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-5.6843418860808015E-14</v>
      </c>
      <c r="O75" s="14">
        <f>N75*VLOOKUP('Données projet'!$B$9,Paramètres!$A$1:$I$89,3,0)*VLOOKUP('Données projet'!$B$9,Paramètres!$A$1:$I$89,5,0)</f>
        <v>-2.8908289095852525E-14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121.64341556501768</v>
      </c>
      <c r="T75" s="62">
        <f t="shared" si="88"/>
        <v>370.21160497429781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33.122731140309583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33.122731140309583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-5.6843418860808015E-14</v>
      </c>
      <c r="AJ75" s="14">
        <f>AI75*VLOOKUP('Données projet'!$B$10,Paramètres!$A$1:$I$89,3,0)*VLOOKUP('Données projet'!$B$10,Paramètres!$A$1:$I$89,5,0)</f>
        <v>-3.2810021366458389E-14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140.99869591649082</v>
      </c>
      <c r="AO75" s="62">
        <f t="shared" si="90"/>
        <v>425.5885140588652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37.593283809553803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37.593283809553803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-5.6843418860808015E-14</v>
      </c>
      <c r="BE75" s="14">
        <f>BD75*VLOOKUP('Données projet'!$B$11,Paramètres!$A$1:$I$89,3,0)*VLOOKUP('Données projet'!$B$11,Paramètres!$A$1:$I$89,5,0)</f>
        <v>-3.2810021366458389E-14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140.99869591649082</v>
      </c>
      <c r="BJ75" s="62">
        <f t="shared" si="92"/>
        <v>425.5885140588652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37.593283809553803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37.593283809553803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>
        <f>VLOOKUP(A75,'Données projet'!$A$113:$I$133,2,0)</f>
        <v>95</v>
      </c>
      <c r="BW75" s="13">
        <f>VLOOKUP(A75,'Données projet'!$A$113:$I$133,9,0)</f>
        <v>4.666666666666667</v>
      </c>
      <c r="BX75" s="13">
        <f t="array" ref="BX75">INDEX(BW:BW,MIN(IF(ISNUMBER(BW75:BW271),ROW(BW75:BW271),"")))</f>
        <v>4.666666666666667</v>
      </c>
      <c r="BY75" s="13">
        <f>IF('Données projet'!$A$114&gt;35,BY74+BX75-CG74,IF(A75&lt;'Données projet'!$A$114,$BV$205^A75,IF(A75='Données projet'!$A$114,'Données projet'!$B$114,BY74+BX75-CG74)))</f>
        <v>95.000000000000014</v>
      </c>
      <c r="BZ75" s="14">
        <f>BY75*VLOOKUP('Données projet'!$B$12,Paramètres!$A$1:$I$89,3,0)*VLOOKUP('Données projet'!$B$12,Paramètres!$A$1:$I$89,5,0)</f>
        <v>85.956000000000003</v>
      </c>
      <c r="CA75" s="14">
        <f t="shared" si="93"/>
        <v>23.587315314606048</v>
      </c>
      <c r="CB75" s="22">
        <f t="shared" si="64"/>
        <v>190.78794083960554</v>
      </c>
      <c r="CC75" s="62">
        <f t="shared" si="65"/>
        <v>484.12127417293885</v>
      </c>
      <c r="CD75" s="62">
        <f ca="1">AVERAGE(OFFSET($CC$3,0,0,'Données projet'!$E$12+1,1))-AVERAGE(OFFSET($H$3,0,0,'Données projet'!$E$12+1,1))</f>
        <v>37.174340347509542</v>
      </c>
      <c r="CE75" s="62">
        <f t="shared" si="94"/>
        <v>-42.822755675927624</v>
      </c>
      <c r="CF75" s="16">
        <f>IF(ISNA(VLOOKUP(A75,'Données projet'!$A$113:$I$133,3,0)),0,VLOOKUP(A75,'Données projet'!$A$113:$I$133,3,0))</f>
        <v>8</v>
      </c>
      <c r="CG75" s="16">
        <f>IF(ISNA(VLOOKUP(A75,'Données projet'!$A$113:$I$133,4,0)),0,VLOOKUP(A75,'Données projet'!$A$113:$I$133,4,0))</f>
        <v>20</v>
      </c>
      <c r="CH75" s="17">
        <f>IF(ISNA(VLOOKUP(A75,'Données projet'!$A$113:$I$133,5,0)),0%,VLOOKUP(A75,'Données projet'!$A$113:$I$133,5,0)*VLOOKUP('Données projet'!$B$12,Paramètres!$A$1:$I$89,7,0))</f>
        <v>0.18489999999999998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10.961332154573338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10.961332154573338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>
        <f>VLOOKUP(A75,'Données projet'!$A$139:$I$159,2,0)</f>
        <v>95</v>
      </c>
      <c r="CR75" s="13">
        <f>VLOOKUP(A75,'Données projet'!$A$139:$I$159,9,0)</f>
        <v>4.666666666666667</v>
      </c>
      <c r="CS75" s="13">
        <f t="array" ref="CS75">INDEX(CR:CR,MIN(IF(ISNUMBER(CR75:CR271),ROW(CR75:CR271),"")))</f>
        <v>4.666666666666667</v>
      </c>
      <c r="CT75" s="13">
        <f>IF('Données projet'!$A$140&gt;35,CT74+CS75-DB74,IF(A75&lt;'Données projet'!$A$140,$CQ$205^A75,IF(A75='Données projet'!$A$140,'Données projet'!$B$140,CT74+CS75-DB74)))</f>
        <v>95.000000000000014</v>
      </c>
      <c r="CU75" s="18">
        <f>CT75*VLOOKUP('Données projet'!$B$13,Paramètres!$A$1:$I$89,3,0)*VLOOKUP('Données projet'!$B$13,Paramètres!$A$1:$I$89,5,0)</f>
        <v>99.294000000000025</v>
      </c>
      <c r="CV75" s="14">
        <f t="shared" si="95"/>
        <v>26.793733491718786</v>
      </c>
      <c r="CW75" s="22">
        <f t="shared" si="67"/>
        <v>219.60280249807693</v>
      </c>
      <c r="CX75" s="62">
        <f t="shared" si="68"/>
        <v>512.93613583141018</v>
      </c>
      <c r="CY75" s="62">
        <f ca="1">AVERAGE(OFFSET($CX$3,0,0,'Données projet'!$E$13+1,1))-AVERAGE(OFFSET($H$3,0,0,'Données projet'!$E$13+1,1))</f>
        <v>63.282881814092605</v>
      </c>
      <c r="CZ75" s="62">
        <f t="shared" si="96"/>
        <v>-40.869120230674525</v>
      </c>
      <c r="DA75" s="16">
        <f>IF(ISNA(VLOOKUP(A75,'Données projet'!$A$139:$I$159,3,0)),0,VLOOKUP(A75,'Données projet'!$A$139:$I$159,3,0))</f>
        <v>8</v>
      </c>
      <c r="DB75" s="16">
        <f>IF(ISNA(VLOOKUP(A75,'Données projet'!$A$139:$I$159,4,0)),0,VLOOKUP(A75,'Données projet'!$A$139:$I$159,4,0))</f>
        <v>20</v>
      </c>
      <c r="DC75" s="17">
        <f>IF(ISNA(VLOOKUP(A75,'Données projet'!$A$139:$I$159,5,0)),0%,VLOOKUP(A75,'Données projet'!$A$139:$I$159,5,0)*VLOOKUP('Données projet'!$B$13,Paramètres!$A$1:$I$89,7,0))</f>
        <v>0.18489999999999998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12.662228523386446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12.662228523386446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59.217599999999969</v>
      </c>
      <c r="D76" s="12">
        <f t="shared" si="86"/>
        <v>16.970302883579727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588.11714506622923</v>
      </c>
      <c r="H76" s="70">
        <f t="shared" si="56"/>
        <v>426.02726418890131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-5.6843418860808015E-14</v>
      </c>
      <c r="O76" s="14">
        <f>N76*VLOOKUP('Données projet'!$B$9,Paramètres!$A$1:$I$89,3,0)*VLOOKUP('Données projet'!$B$9,Paramètres!$A$1:$I$89,5,0)</f>
        <v>-2.8908289095852525E-14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121.64341556501768</v>
      </c>
      <c r="T76" s="62">
        <f t="shared" si="88"/>
        <v>370.21160497429781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32.473214585519237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32.473214585519237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-5.6843418860808015E-14</v>
      </c>
      <c r="AJ76" s="14">
        <f>AI76*VLOOKUP('Données projet'!$B$10,Paramètres!$A$1:$I$89,3,0)*VLOOKUP('Données projet'!$B$10,Paramètres!$A$1:$I$89,5,0)</f>
        <v>-3.2810021366458389E-14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140.99869591649082</v>
      </c>
      <c r="AO76" s="62">
        <f t="shared" si="90"/>
        <v>425.5885140588652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36.856102443687462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36.856102443687462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-5.6843418860808015E-14</v>
      </c>
      <c r="BE76" s="14">
        <f>BD76*VLOOKUP('Données projet'!$B$11,Paramètres!$A$1:$I$89,3,0)*VLOOKUP('Données projet'!$B$11,Paramètres!$A$1:$I$89,5,0)</f>
        <v>-3.2810021366458389E-14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140.99869591649082</v>
      </c>
      <c r="BJ76" s="62">
        <f t="shared" si="92"/>
        <v>425.5885140588652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36.856102443687462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36.856102443687462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4.833333333333333</v>
      </c>
      <c r="BY76" s="13">
        <f>IF('Données projet'!$A$114&gt;35,BY75+BX76-CG75,IF(A76&lt;'Données projet'!$A$114,$BV$205^A76,IF(A76='Données projet'!$A$114,'Données projet'!$B$114,BY75+BX76-CG75)))</f>
        <v>79.833333333333343</v>
      </c>
      <c r="BZ76" s="14">
        <f>BY76*VLOOKUP('Données projet'!$B$12,Paramètres!$A$1:$I$89,3,0)*VLOOKUP('Données projet'!$B$12,Paramètres!$A$1:$I$89,5,0)</f>
        <v>72.233200000000011</v>
      </c>
      <c r="CA76" s="14">
        <f t="shared" si="93"/>
        <v>20.227022143272972</v>
      </c>
      <c r="CB76" s="22">
        <f t="shared" si="64"/>
        <v>161.0348868995338</v>
      </c>
      <c r="CC76" s="62">
        <f t="shared" si="65"/>
        <v>454.36822023286709</v>
      </c>
      <c r="CD76" s="62">
        <f ca="1">AVERAGE(OFFSET($CC$3,0,0,'Données projet'!$E$12+1,1))-AVERAGE(OFFSET($H$3,0,0,'Données projet'!$E$12+1,1))</f>
        <v>37.174340347509542</v>
      </c>
      <c r="CE76" s="62">
        <f t="shared" si="94"/>
        <v>-42.822755675927624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10.746387116774606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10.746387116774606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4.833333333333333</v>
      </c>
      <c r="CT76" s="13">
        <f>IF('Données projet'!$A$140&gt;35,CT75+CS76-DB75,IF(A76&lt;'Données projet'!$A$140,$CQ$205^A76,IF(A76='Données projet'!$A$140,'Données projet'!$B$140,CT75+CS76-DB75)))</f>
        <v>79.833333333333343</v>
      </c>
      <c r="CU76" s="18">
        <f>CT76*VLOOKUP('Données projet'!$B$13,Paramètres!$A$1:$I$89,3,0)*VLOOKUP('Données projet'!$B$13,Paramètres!$A$1:$I$89,5,0)</f>
        <v>83.441800000000015</v>
      </c>
      <c r="CV76" s="14">
        <f t="shared" si="95"/>
        <v>22.976647974106321</v>
      </c>
      <c r="CW76" s="22">
        <f t="shared" si="67"/>
        <v>185.34546355490184</v>
      </c>
      <c r="CX76" s="62">
        <f t="shared" si="68"/>
        <v>478.67879688823518</v>
      </c>
      <c r="CY76" s="62">
        <f ca="1">AVERAGE(OFFSET($CX$3,0,0,'Données projet'!$E$13+1,1))-AVERAGE(OFFSET($H$3,0,0,'Données projet'!$E$13+1,1))</f>
        <v>63.282881814092605</v>
      </c>
      <c r="CZ76" s="62">
        <f t="shared" si="96"/>
        <v>-40.869120230674525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12.413929945239635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12.413929945239635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60.028799999999968</v>
      </c>
      <c r="D77" s="12">
        <f t="shared" si="86"/>
        <v>17.175550352716158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595.96340623149285</v>
      </c>
      <c r="H77" s="70">
        <f t="shared" si="56"/>
        <v>427.7975768643139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-5.6843418860808015E-14</v>
      </c>
      <c r="O77" s="14">
        <f>N77*VLOOKUP('Données projet'!$B$9,Paramètres!$A$1:$I$89,3,0)*VLOOKUP('Données projet'!$B$9,Paramètres!$A$1:$I$89,5,0)</f>
        <v>-2.8908289095852525E-14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121.64341556501768</v>
      </c>
      <c r="T77" s="62">
        <f t="shared" si="88"/>
        <v>370.21160497429781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31.836434654202353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31.836434654202353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-5.6843418860808015E-14</v>
      </c>
      <c r="AJ77" s="14">
        <f>AI77*VLOOKUP('Données projet'!$B$10,Paramètres!$A$1:$I$89,3,0)*VLOOKUP('Données projet'!$B$10,Paramètres!$A$1:$I$89,5,0)</f>
        <v>-3.2810021366458389E-14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140.99869591649082</v>
      </c>
      <c r="AO77" s="62">
        <f t="shared" si="90"/>
        <v>425.5885140588652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36.133376754769529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36.133376754769529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-5.6843418860808015E-14</v>
      </c>
      <c r="BE77" s="14">
        <f>BD77*VLOOKUP('Données projet'!$B$11,Paramètres!$A$1:$I$89,3,0)*VLOOKUP('Données projet'!$B$11,Paramètres!$A$1:$I$89,5,0)</f>
        <v>-3.2810021366458389E-14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140.99869591649082</v>
      </c>
      <c r="BJ77" s="62">
        <f t="shared" si="92"/>
        <v>425.5885140588652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36.133376754769529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36.133376754769529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4.833333333333333</v>
      </c>
      <c r="BY77" s="13">
        <f>IF('Données projet'!$A$114&gt;35,BY76+BX77-CG76,IF(A77&lt;'Données projet'!$A$114,$BV$205^A77,IF(A77='Données projet'!$A$114,'Données projet'!$B$114,BY76+BX77-CG76)))</f>
        <v>84.666666666666671</v>
      </c>
      <c r="BZ77" s="14">
        <f>BY77*VLOOKUP('Données projet'!$B$12,Paramètres!$A$1:$I$89,3,0)*VLOOKUP('Données projet'!$B$12,Paramètres!$A$1:$I$89,5,0)</f>
        <v>76.606400000000008</v>
      </c>
      <c r="CA77" s="14">
        <f t="shared" si="93"/>
        <v>21.305349672565008</v>
      </c>
      <c r="CB77" s="22">
        <f t="shared" si="64"/>
        <v>170.52963067971737</v>
      </c>
      <c r="CC77" s="62">
        <f t="shared" si="65"/>
        <v>463.86296401305071</v>
      </c>
      <c r="CD77" s="62">
        <f ca="1">AVERAGE(OFFSET($CC$3,0,0,'Données projet'!$E$12+1,1))-AVERAGE(OFFSET($H$3,0,0,'Données projet'!$E$12+1,1))</f>
        <v>37.174340347509542</v>
      </c>
      <c r="CE77" s="62">
        <f t="shared" si="94"/>
        <v>-42.822755675927624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10.53565702006358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10.53565702006358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4.833333333333333</v>
      </c>
      <c r="CT77" s="13">
        <f>IF('Données projet'!$A$140&gt;35,CT76+CS77-DB76,IF(A77&lt;'Données projet'!$A$140,$CQ$205^A77,IF(A77='Données projet'!$A$140,'Données projet'!$B$140,CT76+CS77-DB76)))</f>
        <v>84.666666666666671</v>
      </c>
      <c r="CU77" s="18">
        <f>CT77*VLOOKUP('Données projet'!$B$13,Paramètres!$A$1:$I$89,3,0)*VLOOKUP('Données projet'!$B$13,Paramètres!$A$1:$I$89,5,0)</f>
        <v>88.493600000000015</v>
      </c>
      <c r="CV77" s="14">
        <f t="shared" si="95"/>
        <v>24.201561452018872</v>
      </c>
      <c r="CW77" s="22">
        <f t="shared" si="67"/>
        <v>196.27740619559953</v>
      </c>
      <c r="CX77" s="62">
        <f t="shared" si="68"/>
        <v>489.61073952893287</v>
      </c>
      <c r="CY77" s="62">
        <f ca="1">AVERAGE(OFFSET($CX$3,0,0,'Données projet'!$E$13+1,1))-AVERAGE(OFFSET($H$3,0,0,'Données projet'!$E$13+1,1))</f>
        <v>63.282881814092605</v>
      </c>
      <c r="CZ77" s="62">
        <f t="shared" si="96"/>
        <v>-40.869120230674525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12.170500350763104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12.170500350763104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60.839999999999968</v>
      </c>
      <c r="D78" s="12">
        <f t="shared" si="86"/>
        <v>17.38047521653144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603.80717711006707</v>
      </c>
      <c r="H78" s="70">
        <f t="shared" si="56"/>
        <v>429.56732766879213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-5.6843418860808015E-14</v>
      </c>
      <c r="O78" s="14">
        <f>N78*VLOOKUP('Données projet'!$B$9,Paramètres!$A$1:$I$89,3,0)*VLOOKUP('Données projet'!$B$9,Paramètres!$A$1:$I$89,5,0)</f>
        <v>-2.8908289095852525E-14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121.64341556501768</v>
      </c>
      <c r="T78" s="62">
        <f t="shared" si="88"/>
        <v>370.21160497429781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31.212141588941186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31.212141588941186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-5.6843418860808015E-14</v>
      </c>
      <c r="AJ78" s="14">
        <f>AI78*VLOOKUP('Données projet'!$B$10,Paramètres!$A$1:$I$89,3,0)*VLOOKUP('Données projet'!$B$10,Paramètres!$A$1:$I$89,5,0)</f>
        <v>-3.2810021366458389E-14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140.99869591649082</v>
      </c>
      <c r="AO78" s="62">
        <f t="shared" si="90"/>
        <v>425.5885140588652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35.424823275792129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35.424823275792129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-5.6843418860808015E-14</v>
      </c>
      <c r="BE78" s="14">
        <f>BD78*VLOOKUP('Données projet'!$B$11,Paramètres!$A$1:$I$89,3,0)*VLOOKUP('Données projet'!$B$11,Paramètres!$A$1:$I$89,5,0)</f>
        <v>-3.2810021366458389E-14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140.99869591649082</v>
      </c>
      <c r="BJ78" s="62">
        <f t="shared" si="92"/>
        <v>425.5885140588652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35.424823275792129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35.424823275792129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4.833333333333333</v>
      </c>
      <c r="BY78" s="13">
        <f>IF('Données projet'!$A$114&gt;35,BY77+BX78-CG77,IF(A78&lt;'Données projet'!$A$114,$BV$205^A78,IF(A78='Données projet'!$A$114,'Données projet'!$B$114,BY77+BX78-CG77)))</f>
        <v>89.5</v>
      </c>
      <c r="BZ78" s="14">
        <f>BY78*VLOOKUP('Données projet'!$B$12,Paramètres!$A$1:$I$89,3,0)*VLOOKUP('Données projet'!$B$12,Paramètres!$A$1:$I$89,5,0)</f>
        <v>80.979599999999991</v>
      </c>
      <c r="CA78" s="14">
        <f t="shared" si="93"/>
        <v>22.376531499967907</v>
      </c>
      <c r="CB78" s="22">
        <f t="shared" si="64"/>
        <v>180.01192902911077</v>
      </c>
      <c r="CC78" s="62">
        <f t="shared" si="65"/>
        <v>473.34526236244409</v>
      </c>
      <c r="CD78" s="62">
        <f ca="1">AVERAGE(OFFSET($CC$3,0,0,'Données projet'!$E$12+1,1))-AVERAGE(OFFSET($H$3,0,0,'Données projet'!$E$12+1,1))</f>
        <v>37.174340347509542</v>
      </c>
      <c r="CE78" s="62">
        <f t="shared" si="94"/>
        <v>-42.822755675927624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10.329059212016389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10.329059212016389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4.833333333333333</v>
      </c>
      <c r="CT78" s="13">
        <f>IF('Données projet'!$A$140&gt;35,CT77+CS78-DB77,IF(A78&lt;'Données projet'!$A$140,$CQ$205^A78,IF(A78='Données projet'!$A$140,'Données projet'!$B$140,CT77+CS78-DB77)))</f>
        <v>89.5</v>
      </c>
      <c r="CU78" s="18">
        <f>CT78*VLOOKUP('Données projet'!$B$13,Paramètres!$A$1:$I$89,3,0)*VLOOKUP('Données projet'!$B$13,Paramètres!$A$1:$I$89,5,0)</f>
        <v>93.545400000000015</v>
      </c>
      <c r="CV78" s="14">
        <f t="shared" si="95"/>
        <v>25.418357853889734</v>
      </c>
      <c r="CW78" s="22">
        <f t="shared" si="67"/>
        <v>207.19521159552463</v>
      </c>
      <c r="CX78" s="62">
        <f t="shared" si="68"/>
        <v>500.52854492885797</v>
      </c>
      <c r="CY78" s="62">
        <f ca="1">AVERAGE(OFFSET($CX$3,0,0,'Données projet'!$E$13+1,1))-AVERAGE(OFFSET($H$3,0,0,'Données projet'!$E$13+1,1))</f>
        <v>63.282881814092605</v>
      </c>
      <c r="CZ78" s="62">
        <f t="shared" si="96"/>
        <v>-40.869120230674525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11.931844262156867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11.931844262156867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61.651199999999967</v>
      </c>
      <c r="D79" s="12">
        <f t="shared" si="86"/>
        <v>17.585082273674896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611.64849474415678</v>
      </c>
      <c r="H79" s="70">
        <f t="shared" si="56"/>
        <v>431.33652495998365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-5.6843418860808015E-14</v>
      </c>
      <c r="O79" s="14">
        <f>N79*VLOOKUP('Données projet'!$B$9,Paramètres!$A$1:$I$89,3,0)*VLOOKUP('Données projet'!$B$9,Paramètres!$A$1:$I$89,5,0)</f>
        <v>-2.8908289095852525E-14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121.64341556501768</v>
      </c>
      <c r="T79" s="62">
        <f t="shared" si="88"/>
        <v>370.21160497429781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30.60009052990862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30.60009052990862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-5.6843418860808015E-14</v>
      </c>
      <c r="AJ79" s="14">
        <f>AI79*VLOOKUP('Données projet'!$B$10,Paramètres!$A$1:$I$89,3,0)*VLOOKUP('Données projet'!$B$10,Paramètres!$A$1:$I$89,5,0)</f>
        <v>-3.2810021366458389E-14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140.99869591649082</v>
      </c>
      <c r="AO79" s="62">
        <f t="shared" si="90"/>
        <v>425.5885140588652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34.730164098362529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34.730164098362529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-5.6843418860808015E-14</v>
      </c>
      <c r="BE79" s="14">
        <f>BD79*VLOOKUP('Données projet'!$B$11,Paramètres!$A$1:$I$89,3,0)*VLOOKUP('Données projet'!$B$11,Paramètres!$A$1:$I$89,5,0)</f>
        <v>-3.2810021366458389E-14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140.99869591649082</v>
      </c>
      <c r="BJ79" s="62">
        <f t="shared" si="92"/>
        <v>425.5885140588652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34.730164098362529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34.730164098362529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4.833333333333333</v>
      </c>
      <c r="BY79" s="13">
        <f>IF('Données projet'!$A$114&gt;35,BY78+BX79-CG78,IF(A79&lt;'Données projet'!$A$114,$BV$205^A79,IF(A79='Données projet'!$A$114,'Données projet'!$B$114,BY78+BX79-CG78)))</f>
        <v>94.333333333333329</v>
      </c>
      <c r="BZ79" s="14">
        <f>BY79*VLOOKUP('Données projet'!$B$12,Paramètres!$A$1:$I$89,3,0)*VLOOKUP('Données projet'!$B$12,Paramètres!$A$1:$I$89,5,0)</f>
        <v>85.352799999999988</v>
      </c>
      <c r="CA79" s="14">
        <f t="shared" si="93"/>
        <v>23.440997515768057</v>
      </c>
      <c r="CB79" s="22">
        <f t="shared" si="64"/>
        <v>189.482530673296</v>
      </c>
      <c r="CC79" s="62">
        <f t="shared" si="65"/>
        <v>482.81586400662934</v>
      </c>
      <c r="CD79" s="62">
        <f ca="1">AVERAGE(OFFSET($CC$3,0,0,'Données projet'!$E$12+1,1))-AVERAGE(OFFSET($H$3,0,0,'Données projet'!$E$12+1,1))</f>
        <v>37.174340347509542</v>
      </c>
      <c r="CE79" s="62">
        <f t="shared" si="94"/>
        <v>-42.822755675927624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10.126512660972784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10.126512660972784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4.833333333333333</v>
      </c>
      <c r="CT79" s="13">
        <f>IF('Données projet'!$A$140&gt;35,CT78+CS79-DB78,IF(A79&lt;'Données projet'!$A$140,$CQ$205^A79,IF(A79='Données projet'!$A$140,'Données projet'!$B$140,CT78+CS79-DB78)))</f>
        <v>94.333333333333329</v>
      </c>
      <c r="CU79" s="18">
        <f>CT79*VLOOKUP('Données projet'!$B$13,Paramètres!$A$1:$I$89,3,0)*VLOOKUP('Données projet'!$B$13,Paramètres!$A$1:$I$89,5,0)</f>
        <v>98.597200000000001</v>
      </c>
      <c r="CV79" s="14">
        <f t="shared" si="95"/>
        <v>26.627525508535015</v>
      </c>
      <c r="CW79" s="22">
        <f t="shared" si="67"/>
        <v>218.09973026069849</v>
      </c>
      <c r="CX79" s="62">
        <f t="shared" si="68"/>
        <v>511.43306359403181</v>
      </c>
      <c r="CY79" s="62">
        <f ca="1">AVERAGE(OFFSET($CX$3,0,0,'Données projet'!$E$13+1,1))-AVERAGE(OFFSET($H$3,0,0,'Données projet'!$E$13+1,1))</f>
        <v>63.282881814092605</v>
      </c>
      <c r="CZ79" s="62">
        <f t="shared" si="96"/>
        <v>-40.869120230674525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11.697868073882356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11.697868073882356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62.462399999999967</v>
      </c>
      <c r="D80" s="12">
        <f t="shared" si="86"/>
        <v>17.789376189256863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619.48739514514045</v>
      </c>
      <c r="H80" s="70">
        <f t="shared" si="56"/>
        <v>433.10517686295566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-5.6843418860808015E-14</v>
      </c>
      <c r="O80" s="14">
        <f>N80*VLOOKUP('Données projet'!$B$9,Paramètres!$A$1:$I$89,3,0)*VLOOKUP('Données projet'!$B$9,Paramètres!$A$1:$I$89,5,0)</f>
        <v>-2.8908289095852525E-14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121.64341556501768</v>
      </c>
      <c r="T80" s="62">
        <f t="shared" si="88"/>
        <v>370.21160497429781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30.000041418829397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30.000041418829397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-5.6843418860808015E-14</v>
      </c>
      <c r="AJ80" s="14">
        <f>AI80*VLOOKUP('Données projet'!$B$10,Paramètres!$A$1:$I$89,3,0)*VLOOKUP('Données projet'!$B$10,Paramètres!$A$1:$I$89,5,0)</f>
        <v>-3.2810021366458389E-14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140.99869591649082</v>
      </c>
      <c r="AO80" s="62">
        <f t="shared" si="90"/>
        <v>425.5885140588652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34.049126763702063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34.049126763702063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-5.6843418860808015E-14</v>
      </c>
      <c r="BE80" s="14">
        <f>BD80*VLOOKUP('Données projet'!$B$11,Paramètres!$A$1:$I$89,3,0)*VLOOKUP('Données projet'!$B$11,Paramètres!$A$1:$I$89,5,0)</f>
        <v>-3.2810021366458389E-14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140.99869591649082</v>
      </c>
      <c r="BJ80" s="62">
        <f t="shared" si="92"/>
        <v>425.5885140588652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34.049126763702063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34.049126763702063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4.833333333333333</v>
      </c>
      <c r="BY80" s="13">
        <f>IF('Données projet'!$A$114&gt;35,BY79+BX80-CG79,IF(A80&lt;'Données projet'!$A$114,$BV$205^A80,IF(A80='Données projet'!$A$114,'Données projet'!$B$114,BY79+BX80-CG79)))</f>
        <v>99.166666666666657</v>
      </c>
      <c r="BZ80" s="14">
        <f>BY80*VLOOKUP('Données projet'!$B$12,Paramètres!$A$1:$I$89,3,0)*VLOOKUP('Données projet'!$B$12,Paramètres!$A$1:$I$89,5,0)</f>
        <v>89.725999999999985</v>
      </c>
      <c r="CA80" s="14">
        <f t="shared" si="93"/>
        <v>24.49913106964339</v>
      </c>
      <c r="CB80" s="22">
        <f t="shared" si="64"/>
        <v>198.94210327962887</v>
      </c>
      <c r="CC80" s="62">
        <f t="shared" si="65"/>
        <v>492.27543661296215</v>
      </c>
      <c r="CD80" s="62">
        <f ca="1">AVERAGE(OFFSET($CC$3,0,0,'Données projet'!$E$12+1,1))-AVERAGE(OFFSET($H$3,0,0,'Données projet'!$E$12+1,1))</f>
        <v>37.174340347509542</v>
      </c>
      <c r="CE80" s="62">
        <f t="shared" si="94"/>
        <v>-42.822755675927624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9.9279379242539463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9.9279379242539463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4.833333333333333</v>
      </c>
      <c r="CT80" s="13">
        <f>IF('Données projet'!$A$140&gt;35,CT79+CS80-DB79,IF(A80&lt;'Données projet'!$A$140,$CQ$205^A80,IF(A80='Données projet'!$A$140,'Données projet'!$B$140,CT79+CS80-DB79)))</f>
        <v>99.166666666666657</v>
      </c>
      <c r="CU80" s="18">
        <f>CT80*VLOOKUP('Données projet'!$B$13,Paramètres!$A$1:$I$89,3,0)*VLOOKUP('Données projet'!$B$13,Paramètres!$A$1:$I$89,5,0)</f>
        <v>103.649</v>
      </c>
      <c r="CV80" s="14">
        <f t="shared" si="95"/>
        <v>27.829499877513946</v>
      </c>
      <c r="CW80" s="22">
        <f t="shared" si="67"/>
        <v>228.99172062000343</v>
      </c>
      <c r="CX80" s="62">
        <f t="shared" si="68"/>
        <v>522.32505395333669</v>
      </c>
      <c r="CY80" s="62">
        <f ca="1">AVERAGE(OFFSET($CX$3,0,0,'Données projet'!$E$13+1,1))-AVERAGE(OFFSET($H$3,0,0,'Données projet'!$E$13+1,1))</f>
        <v>63.282881814092605</v>
      </c>
      <c r="CZ80" s="62">
        <f t="shared" si="96"/>
        <v>-40.869120230674525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11.468480015948526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11.468480015948526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63.273599999999966</v>
      </c>
      <c r="D81" s="12">
        <f t="shared" si="86"/>
        <v>17.99336150025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627.32391333526289</v>
      </c>
      <c r="H81" s="70">
        <f t="shared" si="56"/>
        <v>434.87329127960197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-5.6843418860808015E-14</v>
      </c>
      <c r="O81" s="14">
        <f>N81*VLOOKUP('Données projet'!$B$9,Paramètres!$A$1:$I$89,3,0)*VLOOKUP('Données projet'!$B$9,Paramètres!$A$1:$I$89,5,0)</f>
        <v>-2.8908289095852525E-14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121.64341556501768</v>
      </c>
      <c r="T81" s="62">
        <f t="shared" si="88"/>
        <v>370.21160497429781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29.41175890482462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29.41175890482462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-5.6843418860808015E-14</v>
      </c>
      <c r="AJ81" s="14">
        <f>AI81*VLOOKUP('Données projet'!$B$10,Paramètres!$A$1:$I$89,3,0)*VLOOKUP('Données projet'!$B$10,Paramètres!$A$1:$I$89,5,0)</f>
        <v>-3.2810021366458389E-14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140.99869591649082</v>
      </c>
      <c r="AO81" s="62">
        <f t="shared" si="90"/>
        <v>425.5885140588652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33.381444155782532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33.381444155782532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-5.6843418860808015E-14</v>
      </c>
      <c r="BE81" s="14">
        <f>BD81*VLOOKUP('Données projet'!$B$11,Paramètres!$A$1:$I$89,3,0)*VLOOKUP('Données projet'!$B$11,Paramètres!$A$1:$I$89,5,0)</f>
        <v>-3.2810021366458389E-14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140.99869591649082</v>
      </c>
      <c r="BJ81" s="62">
        <f t="shared" si="92"/>
        <v>425.5885140588652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33.381444155782532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33.381444155782532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>
        <f>VLOOKUP(A81,'Données projet'!$A$113:$I$133,2,0)</f>
        <v>104</v>
      </c>
      <c r="BW81" s="13">
        <f>VLOOKUP(A81,'Données projet'!$A$113:$I$133,9,0)</f>
        <v>4.833333333333333</v>
      </c>
      <c r="BX81" s="13">
        <f t="array" ref="BX81">INDEX(BW:BW,MIN(IF(ISNUMBER(BW81:BW277),ROW(BW81:BW277),"")))</f>
        <v>4.833333333333333</v>
      </c>
      <c r="BY81" s="13">
        <f>IF('Données projet'!$A$114&gt;35,BY80+BX81-CG80,IF(A81&lt;'Données projet'!$A$114,$BV$205^A81,IF(A81='Données projet'!$A$114,'Données projet'!$B$114,BY80+BX81-CG80)))</f>
        <v>103.99999999999999</v>
      </c>
      <c r="BZ81" s="14">
        <f>BY81*VLOOKUP('Données projet'!$B$12,Paramètres!$A$1:$I$89,3,0)*VLOOKUP('Données projet'!$B$12,Paramètres!$A$1:$I$89,5,0)</f>
        <v>94.099199999999982</v>
      </c>
      <c r="CA81" s="14">
        <f t="shared" si="93"/>
        <v>25.551276031514817</v>
      </c>
      <c r="CB81" s="22">
        <f t="shared" si="64"/>
        <v>208.39124575488825</v>
      </c>
      <c r="CC81" s="62">
        <f t="shared" si="65"/>
        <v>501.72457908822156</v>
      </c>
      <c r="CD81" s="62">
        <f ca="1">AVERAGE(OFFSET($CC$3,0,0,'Données projet'!$E$12+1,1))-AVERAGE(OFFSET($H$3,0,0,'Données projet'!$E$12+1,1))</f>
        <v>37.174340347509542</v>
      </c>
      <c r="CE81" s="62">
        <f t="shared" si="94"/>
        <v>-42.822755675927624</v>
      </c>
      <c r="CF81" s="16">
        <f>IF(ISNA(VLOOKUP(A81,'Données projet'!$A$113:$I$133,3,0)),0,VLOOKUP(A81,'Données projet'!$A$113:$I$133,3,0))</f>
        <v>9</v>
      </c>
      <c r="CG81" s="16">
        <f>IF(ISNA(VLOOKUP(A81,'Données projet'!$A$113:$I$133,4,0)),0,VLOOKUP(A81,'Données projet'!$A$113:$I$133,4,0))</f>
        <v>22</v>
      </c>
      <c r="CH81" s="17">
        <f>IF(ISNA(VLOOKUP(A81,'Données projet'!$A$113:$I$133,5,0)),0%,VLOOKUP(A81,'Données projet'!$A$113:$I$133,5,0)*VLOOKUP('Données projet'!$B$12,Paramètres!$A$1:$I$89,7,0))</f>
        <v>0.18489999999999998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13.801991081448602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13.801991081448602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>
        <f>VLOOKUP(A81,'Données projet'!$A$139:$I$159,2,0)</f>
        <v>104</v>
      </c>
      <c r="CR81" s="13">
        <f>VLOOKUP(A81,'Données projet'!$A$139:$I$159,9,0)</f>
        <v>4.833333333333333</v>
      </c>
      <c r="CS81" s="13">
        <f t="array" ref="CS81">INDEX(CR:CR,MIN(IF(ISNUMBER(CR81:CR277),ROW(CR81:CR277),"")))</f>
        <v>4.833333333333333</v>
      </c>
      <c r="CT81" s="13">
        <f>IF('Données projet'!$A$140&gt;35,CT80+CS81-DB80,IF(A81&lt;'Données projet'!$A$140,$CQ$205^A81,IF(A81='Données projet'!$A$140,'Données projet'!$B$140,CT80+CS81-DB80)))</f>
        <v>103.99999999999999</v>
      </c>
      <c r="CU81" s="18">
        <f>CT81*VLOOKUP('Données projet'!$B$13,Paramètres!$A$1:$I$89,3,0)*VLOOKUP('Données projet'!$B$13,Paramètres!$A$1:$I$89,5,0)</f>
        <v>108.70079999999999</v>
      </c>
      <c r="CV81" s="14">
        <f t="shared" si="95"/>
        <v>29.024671575819966</v>
      </c>
      <c r="CW81" s="22">
        <f t="shared" si="67"/>
        <v>239.87186299455308</v>
      </c>
      <c r="CX81" s="62">
        <f t="shared" si="68"/>
        <v>533.20519632788637</v>
      </c>
      <c r="CY81" s="62">
        <f ca="1">AVERAGE(OFFSET($CX$3,0,0,'Données projet'!$E$13+1,1))-AVERAGE(OFFSET($H$3,0,0,'Données projet'!$E$13+1,1))</f>
        <v>63.282881814092605</v>
      </c>
      <c r="CZ81" s="62">
        <f t="shared" si="96"/>
        <v>-40.869120230674525</v>
      </c>
      <c r="DA81" s="16">
        <f>IF(ISNA(VLOOKUP(A81,'Données projet'!$A$139:$I$159,3,0)),0,VLOOKUP(A81,'Données projet'!$A$139:$I$159,3,0))</f>
        <v>9</v>
      </c>
      <c r="DB81" s="16">
        <f>IF(ISNA(VLOOKUP(A81,'Données projet'!$A$139:$I$159,4,0)),0,VLOOKUP(A81,'Données projet'!$A$139:$I$159,4,0))</f>
        <v>22</v>
      </c>
      <c r="DC81" s="17">
        <f>IF(ISNA(VLOOKUP(A81,'Données projet'!$A$139:$I$159,5,0)),0%,VLOOKUP(A81,'Données projet'!$A$139:$I$159,5,0)*VLOOKUP('Données projet'!$B$13,Paramètres!$A$1:$I$89,7,0))</f>
        <v>0.18489999999999998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15.943679352707871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15.943679352707871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64.084799999999973</v>
      </c>
      <c r="D82" s="12">
        <f t="shared" si="86"/>
        <v>18.197042620605469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635.15808338712975</v>
      </c>
      <c r="H82" s="70">
        <f t="shared" si="56"/>
        <v>436.64087589755445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-5.6843418860808015E-14</v>
      </c>
      <c r="O82" s="14">
        <f>N82*VLOOKUP('Données projet'!$B$9,Paramètres!$A$1:$I$89,3,0)*VLOOKUP('Données projet'!$B$9,Paramètres!$A$1:$I$89,5,0)</f>
        <v>-2.8908289095852525E-14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121.64341556501768</v>
      </c>
      <c r="T82" s="62">
        <f t="shared" si="88"/>
        <v>370.21160497429781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28.835012252102572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28.835012252102572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-5.6843418860808015E-14</v>
      </c>
      <c r="AJ82" s="14">
        <f>AI82*VLOOKUP('Données projet'!$B$10,Paramètres!$A$1:$I$89,3,0)*VLOOKUP('Données projet'!$B$10,Paramètres!$A$1:$I$89,5,0)</f>
        <v>-3.2810021366458389E-14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140.99869591649082</v>
      </c>
      <c r="AO82" s="62">
        <f t="shared" si="90"/>
        <v>425.5885140588652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32.726854396558124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32.726854396558124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-5.6843418860808015E-14</v>
      </c>
      <c r="BE82" s="14">
        <f>BD82*VLOOKUP('Données projet'!$B$11,Paramètres!$A$1:$I$89,3,0)*VLOOKUP('Données projet'!$B$11,Paramètres!$A$1:$I$89,5,0)</f>
        <v>-3.2810021366458389E-14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140.99869591649082</v>
      </c>
      <c r="BJ82" s="62">
        <f t="shared" si="92"/>
        <v>425.5885140588652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32.726854396558124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32.726854396558124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5.333333333333333</v>
      </c>
      <c r="BY82" s="13">
        <f>IF('Données projet'!$A$114&gt;35,BY81+BX82-CG81,IF(A82&lt;'Données projet'!$A$114,$BV$205^A82,IF(A82='Données projet'!$A$114,'Données projet'!$B$114,BY81+BX82-CG81)))</f>
        <v>87.333333333333314</v>
      </c>
      <c r="BZ82" s="14">
        <f>BY82*VLOOKUP('Données projet'!$B$12,Paramètres!$A$1:$I$89,3,0)*VLOOKUP('Données projet'!$B$12,Paramètres!$A$1:$I$89,5,0)</f>
        <v>79.019199999999984</v>
      </c>
      <c r="CA82" s="14">
        <f t="shared" si="93"/>
        <v>21.897201531388252</v>
      </c>
      <c r="CB82" s="22">
        <f t="shared" si="64"/>
        <v>175.76273266716782</v>
      </c>
      <c r="CC82" s="62">
        <f t="shared" si="65"/>
        <v>469.09606600050114</v>
      </c>
      <c r="CD82" s="62">
        <f ca="1">AVERAGE(OFFSET($CC$3,0,0,'Données projet'!$E$12+1,1))-AVERAGE(OFFSET($H$3,0,0,'Données projet'!$E$12+1,1))</f>
        <v>37.174340347509542</v>
      </c>
      <c r="CE82" s="62">
        <f t="shared" si="94"/>
        <v>-42.822755675927624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13.531342454724708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13.531342454724708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5.333333333333333</v>
      </c>
      <c r="CT82" s="13">
        <f>IF('Données projet'!$A$140&gt;35,CT81+CS82-DB81,IF(A82&lt;'Données projet'!$A$140,$CQ$205^A82,IF(A82='Données projet'!$A$140,'Données projet'!$B$140,CT81+CS82-DB81)))</f>
        <v>87.333333333333314</v>
      </c>
      <c r="CU82" s="18">
        <f>CT82*VLOOKUP('Données projet'!$B$13,Paramètres!$A$1:$I$89,3,0)*VLOOKUP('Données projet'!$B$13,Paramètres!$A$1:$I$89,5,0)</f>
        <v>91.280799999999985</v>
      </c>
      <c r="CV82" s="14">
        <f t="shared" si="95"/>
        <v>24.873868612048607</v>
      </c>
      <c r="CW82" s="22">
        <f t="shared" si="67"/>
        <v>202.30271449931797</v>
      </c>
      <c r="CX82" s="62">
        <f t="shared" si="68"/>
        <v>495.63604783265129</v>
      </c>
      <c r="CY82" s="62">
        <f ca="1">AVERAGE(OFFSET($CX$3,0,0,'Données projet'!$E$13+1,1))-AVERAGE(OFFSET($H$3,0,0,'Données projet'!$E$13+1,1))</f>
        <v>63.282881814092605</v>
      </c>
      <c r="CZ82" s="62">
        <f t="shared" si="96"/>
        <v>-40.869120230674525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15.631033525285442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15.631033525285442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64.895999999999972</v>
      </c>
      <c r="D83" s="12">
        <f t="shared" si="86"/>
        <v>18.400423846102949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642.98993846114547</v>
      </c>
      <c r="H83" s="70">
        <f t="shared" si="56"/>
        <v>438.40793819862927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-5.6843418860808015E-14</v>
      </c>
      <c r="O83" s="14">
        <f>N83*VLOOKUP('Données projet'!$B$9,Paramètres!$A$1:$I$89,3,0)*VLOOKUP('Données projet'!$B$9,Paramètres!$A$1:$I$89,5,0)</f>
        <v>-2.8908289095852525E-14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121.64341556501768</v>
      </c>
      <c r="T83" s="62">
        <f t="shared" si="88"/>
        <v>370.21160497429781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28.269575249459681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28.269575249459681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-5.6843418860808015E-14</v>
      </c>
      <c r="AJ83" s="14">
        <f>AI83*VLOOKUP('Données projet'!$B$10,Paramètres!$A$1:$I$89,3,0)*VLOOKUP('Données projet'!$B$10,Paramètres!$A$1:$I$89,5,0)</f>
        <v>-3.2810021366458389E-14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140.99869591649082</v>
      </c>
      <c r="AO83" s="62">
        <f t="shared" si="90"/>
        <v>425.5885140588652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32.085100743251779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32.085100743251779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-5.6843418860808015E-14</v>
      </c>
      <c r="BE83" s="14">
        <f>BD83*VLOOKUP('Données projet'!$B$11,Paramètres!$A$1:$I$89,3,0)*VLOOKUP('Données projet'!$B$11,Paramètres!$A$1:$I$89,5,0)</f>
        <v>-3.2810021366458389E-14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140.99869591649082</v>
      </c>
      <c r="BJ83" s="62">
        <f t="shared" si="92"/>
        <v>425.5885140588652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32.085100743251779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32.085100743251779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5.333333333333333</v>
      </c>
      <c r="BY83" s="13">
        <f>IF('Données projet'!$A$114&gt;35,BY82+BX83-CG82,IF(A83&lt;'Données projet'!$A$114,$BV$205^A83,IF(A83='Données projet'!$A$114,'Données projet'!$B$114,BY82+BX83-CG82)))</f>
        <v>92.666666666666643</v>
      </c>
      <c r="BZ83" s="14">
        <f>BY83*VLOOKUP('Données projet'!$B$12,Paramètres!$A$1:$I$89,3,0)*VLOOKUP('Données projet'!$B$12,Paramètres!$A$1:$I$89,5,0)</f>
        <v>83.844799999999978</v>
      </c>
      <c r="CA83" s="14">
        <f t="shared" si="93"/>
        <v>23.074674110553687</v>
      </c>
      <c r="CB83" s="22">
        <f t="shared" si="64"/>
        <v>186.21808407588097</v>
      </c>
      <c r="CC83" s="62">
        <f t="shared" si="65"/>
        <v>479.55141740921431</v>
      </c>
      <c r="CD83" s="62">
        <f ca="1">AVERAGE(OFFSET($CC$3,0,0,'Données projet'!$E$12+1,1))-AVERAGE(OFFSET($H$3,0,0,'Données projet'!$E$12+1,1))</f>
        <v>37.174340347509542</v>
      </c>
      <c r="CE83" s="62">
        <f t="shared" si="94"/>
        <v>-42.822755675927624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13.266001082491508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13.266001082491508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5.333333333333333</v>
      </c>
      <c r="CT83" s="13">
        <f>IF('Données projet'!$A$140&gt;35,CT82+CS83-DB82,IF(A83&lt;'Données projet'!$A$140,$CQ$205^A83,IF(A83='Données projet'!$A$140,'Données projet'!$B$140,CT82+CS83-DB82)))</f>
        <v>92.666666666666643</v>
      </c>
      <c r="CU83" s="18">
        <f>CT83*VLOOKUP('Données projet'!$B$13,Paramètres!$A$1:$I$89,3,0)*VLOOKUP('Données projet'!$B$13,Paramètres!$A$1:$I$89,5,0)</f>
        <v>96.855199999999982</v>
      </c>
      <c r="CV83" s="14">
        <f t="shared" si="95"/>
        <v>26.211404743616313</v>
      </c>
      <c r="CW83" s="22">
        <f t="shared" si="67"/>
        <v>214.34100326179836</v>
      </c>
      <c r="CX83" s="62">
        <f t="shared" si="68"/>
        <v>507.67433659513165</v>
      </c>
      <c r="CY83" s="62">
        <f ca="1">AVERAGE(OFFSET($CX$3,0,0,'Données projet'!$E$13+1,1))-AVERAGE(OFFSET($H$3,0,0,'Données projet'!$E$13+1,1))</f>
        <v>63.282881814092605</v>
      </c>
      <c r="CZ83" s="62">
        <f t="shared" si="96"/>
        <v>-40.869120230674525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15.324518491843643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15.324518491843643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65.707199999999972</v>
      </c>
      <c r="D84" s="12">
        <f t="shared" si="86"/>
        <v>18.603509358951104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650.81951084102582</v>
      </c>
      <c r="H84" s="70">
        <f t="shared" si="56"/>
        <v>440.17448546683977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-5.6843418860808015E-14</v>
      </c>
      <c r="O84" s="14">
        <f>N84*VLOOKUP('Données projet'!$B$9,Paramètres!$A$1:$I$89,3,0)*VLOOKUP('Données projet'!$B$9,Paramètres!$A$1:$I$89,5,0)</f>
        <v>-2.8908289095852525E-14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121.64341556501768</v>
      </c>
      <c r="T84" s="62">
        <f t="shared" si="88"/>
        <v>370.21160497429781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27.7152261215561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27.7152261215561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projet'!$B$10,Paramètres!$A$1:$I$89,3,0)*VLOOKUP('Données projet'!$B$10,Paramètres!$A$1:$I$89,5,0)</f>
        <v>-3.2810021366458389E-14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140.99869591649082</v>
      </c>
      <c r="AO84" s="62">
        <f t="shared" si="90"/>
        <v>425.5885140588652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31.45593148765569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31.45593148765569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-5.6843418860808015E-14</v>
      </c>
      <c r="BE84" s="14">
        <f>BD84*VLOOKUP('Données projet'!$B$11,Paramètres!$A$1:$I$89,3,0)*VLOOKUP('Données projet'!$B$11,Paramètres!$A$1:$I$89,5,0)</f>
        <v>-3.2810021366458389E-14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140.99869591649082</v>
      </c>
      <c r="BJ84" s="62">
        <f t="shared" si="92"/>
        <v>425.5885140588652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31.45593148765569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31.45593148765569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5.333333333333333</v>
      </c>
      <c r="BY84" s="13">
        <f>IF('Données projet'!$A$114&gt;35,BY83+BX84-CG83,IF(A84&lt;'Données projet'!$A$114,$BV$205^A84,IF(A84='Données projet'!$A$114,'Données projet'!$B$114,BY83+BX84-CG83)))</f>
        <v>97.999999999999972</v>
      </c>
      <c r="BZ84" s="14">
        <f>BY84*VLOOKUP('Données projet'!$B$12,Paramètres!$A$1:$I$89,3,0)*VLOOKUP('Données projet'!$B$12,Paramètres!$A$1:$I$89,5,0)</f>
        <v>88.670399999999972</v>
      </c>
      <c r="CA84" s="14">
        <f t="shared" si="93"/>
        <v>24.244280250395491</v>
      </c>
      <c r="CB84" s="22">
        <f t="shared" si="64"/>
        <v>196.65973476943876</v>
      </c>
      <c r="CC84" s="62">
        <f t="shared" si="65"/>
        <v>489.9930681027721</v>
      </c>
      <c r="CD84" s="62">
        <f ca="1">AVERAGE(OFFSET($CC$3,0,0,'Données projet'!$E$12+1,1))-AVERAGE(OFFSET($H$3,0,0,'Données projet'!$E$12+1,1))</f>
        <v>37.174340347509542</v>
      </c>
      <c r="CE84" s="62">
        <f t="shared" si="94"/>
        <v>-42.822755675927624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13.005862892725544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13.005862892725544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5.333333333333333</v>
      </c>
      <c r="CT84" s="13">
        <f>IF('Données projet'!$A$140&gt;35,CT83+CS84-DB83,IF(A84&lt;'Données projet'!$A$140,$CQ$205^A84,IF(A84='Données projet'!$A$140,'Données projet'!$B$140,CT83+CS84-DB83)))</f>
        <v>97.999999999999972</v>
      </c>
      <c r="CU84" s="18">
        <f>CT84*VLOOKUP('Données projet'!$B$13,Paramètres!$A$1:$I$89,3,0)*VLOOKUP('Données projet'!$B$13,Paramètres!$A$1:$I$89,5,0)</f>
        <v>102.42959999999998</v>
      </c>
      <c r="CV84" s="14">
        <f t="shared" si="95"/>
        <v>27.540005085928001</v>
      </c>
      <c r="CW84" s="22">
        <f t="shared" si="67"/>
        <v>226.36372885799122</v>
      </c>
      <c r="CX84" s="62">
        <f t="shared" si="68"/>
        <v>519.69706219132456</v>
      </c>
      <c r="CY84" s="62">
        <f ca="1">AVERAGE(OFFSET($CX$3,0,0,'Données projet'!$E$13+1,1))-AVERAGE(OFFSET($H$3,0,0,'Données projet'!$E$13+1,1))</f>
        <v>63.282881814092605</v>
      </c>
      <c r="CZ84" s="62">
        <f t="shared" si="96"/>
        <v>-40.869120230674525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15.024014031251927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15.024014031251927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66.518399999999971</v>
      </c>
      <c r="D85" s="12">
        <f t="shared" si="86"/>
        <v>18.80630323215442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658.64683196750764</v>
      </c>
      <c r="H85" s="70">
        <f t="shared" si="56"/>
        <v>441.94052479600219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-5.6843418860808015E-14</v>
      </c>
      <c r="O85" s="14">
        <f>N85*VLOOKUP('Données projet'!$B$9,Paramètres!$A$1:$I$89,3,0)*VLOOKUP('Données projet'!$B$9,Paramètres!$A$1:$I$89,5,0)</f>
        <v>-2.8908289095852525E-14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121.64341556501768</v>
      </c>
      <c r="T85" s="62">
        <f t="shared" si="88"/>
        <v>370.21160497429781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27.171747441931128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27.171747441931128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projet'!$B$10,Paramètres!$A$1:$I$89,3,0)*VLOOKUP('Données projet'!$B$10,Paramètres!$A$1:$I$89,5,0)</f>
        <v>-3.2810021366458389E-14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140.99869591649082</v>
      </c>
      <c r="AO85" s="62">
        <f t="shared" si="90"/>
        <v>425.5885140588652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30.839099857406488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30.839099857406488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-5.6843418860808015E-14</v>
      </c>
      <c r="BE85" s="14">
        <f>BD85*VLOOKUP('Données projet'!$B$11,Paramètres!$A$1:$I$89,3,0)*VLOOKUP('Données projet'!$B$11,Paramètres!$A$1:$I$89,5,0)</f>
        <v>-3.2810021366458389E-14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140.99869591649082</v>
      </c>
      <c r="BJ85" s="62">
        <f t="shared" si="92"/>
        <v>425.5885140588652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30.839099857406488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30.839099857406488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5.333333333333333</v>
      </c>
      <c r="BY85" s="13">
        <f>IF('Données projet'!$A$114&gt;35,BY84+BX85-CG84,IF(A85&lt;'Données projet'!$A$114,$BV$205^A85,IF(A85='Données projet'!$A$114,'Données projet'!$B$114,BY84+BX85-CG84)))</f>
        <v>103.3333333333333</v>
      </c>
      <c r="BZ85" s="14">
        <f>BY85*VLOOKUP('Données projet'!$B$12,Paramètres!$A$1:$I$89,3,0)*VLOOKUP('Données projet'!$B$12,Paramètres!$A$1:$I$89,5,0)</f>
        <v>93.495999999999967</v>
      </c>
      <c r="CA85" s="14">
        <f t="shared" si="93"/>
        <v>25.406496860614332</v>
      </c>
      <c r="CB85" s="22">
        <f t="shared" si="64"/>
        <v>207.08851536556986</v>
      </c>
      <c r="CC85" s="62">
        <f t="shared" si="65"/>
        <v>500.4218486989032</v>
      </c>
      <c r="CD85" s="62">
        <f ca="1">AVERAGE(OFFSET($CC$3,0,0,'Données projet'!$E$12+1,1))-AVERAGE(OFFSET($H$3,0,0,'Données projet'!$E$12+1,1))</f>
        <v>37.174340347509542</v>
      </c>
      <c r="CE85" s="62">
        <f t="shared" si="94"/>
        <v>-42.822755675927624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12.750825854192263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12.750825854192263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5.333333333333333</v>
      </c>
      <c r="CT85" s="13">
        <f>IF('Données projet'!$A$140&gt;35,CT84+CS85-DB84,IF(A85&lt;'Données projet'!$A$140,$CQ$205^A85,IF(A85='Données projet'!$A$140,'Données projet'!$B$140,CT84+CS85-DB84)))</f>
        <v>103.3333333333333</v>
      </c>
      <c r="CU85" s="18">
        <f>CT85*VLOOKUP('Données projet'!$B$13,Paramètres!$A$1:$I$89,3,0)*VLOOKUP('Données projet'!$B$13,Paramètres!$A$1:$I$89,5,0)</f>
        <v>108.00399999999998</v>
      </c>
      <c r="CV85" s="14">
        <f t="shared" si="95"/>
        <v>28.860211378950613</v>
      </c>
      <c r="CW85" s="22">
        <f t="shared" si="67"/>
        <v>238.37183481833893</v>
      </c>
      <c r="CX85" s="62">
        <f t="shared" si="68"/>
        <v>531.7051681516723</v>
      </c>
      <c r="CY85" s="62">
        <f ca="1">AVERAGE(OFFSET($CX$3,0,0,'Données projet'!$E$13+1,1))-AVERAGE(OFFSET($H$3,0,0,'Données projet'!$E$13+1,1))</f>
        <v>63.282881814092605</v>
      </c>
      <c r="CZ85" s="62">
        <f t="shared" si="96"/>
        <v>-40.869120230674525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14.729402279842791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14.729402279842791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67.329599999999971</v>
      </c>
      <c r="D86" s="12">
        <f t="shared" si="86"/>
        <v>19.008809433660943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666.471932470365</v>
      </c>
      <c r="H86" s="70">
        <f t="shared" si="56"/>
        <v>443.70606309695938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-5.6843418860808015E-14</v>
      </c>
      <c r="O86" s="14">
        <f>N86*VLOOKUP('Données projet'!$B$9,Paramètres!$A$1:$I$89,3,0)*VLOOKUP('Données projet'!$B$9,Paramètres!$A$1:$I$89,5,0)</f>
        <v>-2.8908289095852525E-14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121.64341556501768</v>
      </c>
      <c r="T86" s="62">
        <f t="shared" si="88"/>
        <v>370.21160497429781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26.638926047724336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26.638926047724336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projet'!$B$10,Paramètres!$A$1:$I$89,3,0)*VLOOKUP('Données projet'!$B$10,Paramètres!$A$1:$I$89,5,0)</f>
        <v>-3.2810021366458389E-14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140.99869591649082</v>
      </c>
      <c r="AO86" s="62">
        <f t="shared" si="90"/>
        <v>425.5885140588652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30.234363919196326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30.234363919196326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-5.6843418860808015E-14</v>
      </c>
      <c r="BE86" s="14">
        <f>BD86*VLOOKUP('Données projet'!$B$11,Paramètres!$A$1:$I$89,3,0)*VLOOKUP('Données projet'!$B$11,Paramètres!$A$1:$I$89,5,0)</f>
        <v>-3.2810021366458389E-14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140.99869591649082</v>
      </c>
      <c r="BJ86" s="62">
        <f t="shared" si="92"/>
        <v>425.5885140588652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30.234363919196326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30.234363919196326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5.333333333333333</v>
      </c>
      <c r="BY86" s="13">
        <f>IF('Données projet'!$A$114&gt;35,BY85+BX86-CG85,IF(A86&lt;'Données projet'!$A$114,$BV$205^A86,IF(A86='Données projet'!$A$114,'Données projet'!$B$114,BY85+BX86-CG85)))</f>
        <v>108.66666666666663</v>
      </c>
      <c r="BZ86" s="14">
        <f>BY86*VLOOKUP('Données projet'!$B$12,Paramètres!$A$1:$I$89,3,0)*VLOOKUP('Données projet'!$B$12,Paramètres!$A$1:$I$89,5,0)</f>
        <v>98.321599999999961</v>
      </c>
      <c r="CA86" s="14">
        <f t="shared" si="93"/>
        <v>26.561748840923315</v>
      </c>
      <c r="CB86" s="22">
        <f t="shared" si="64"/>
        <v>217.5051658979414</v>
      </c>
      <c r="CC86" s="62">
        <f t="shared" si="65"/>
        <v>510.83849923127468</v>
      </c>
      <c r="CD86" s="62">
        <f ca="1">AVERAGE(OFFSET($CC$3,0,0,'Données projet'!$E$12+1,1))-AVERAGE(OFFSET($H$3,0,0,'Données projet'!$E$12+1,1))</f>
        <v>37.174340347509542</v>
      </c>
      <c r="CE86" s="62">
        <f t="shared" si="94"/>
        <v>-42.822755675927624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12.500789936427385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12.500789936427385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5.333333333333333</v>
      </c>
      <c r="CT86" s="13">
        <f>IF('Données projet'!$A$140&gt;35,CT85+CS86-DB85,IF(A86&lt;'Données projet'!$A$140,$CQ$205^A86,IF(A86='Données projet'!$A$140,'Données projet'!$B$140,CT85+CS86-DB85)))</f>
        <v>108.66666666666663</v>
      </c>
      <c r="CU86" s="18">
        <f>CT86*VLOOKUP('Données projet'!$B$13,Paramètres!$A$1:$I$89,3,0)*VLOOKUP('Données projet'!$B$13,Paramètres!$A$1:$I$89,5,0)</f>
        <v>113.57839999999997</v>
      </c>
      <c r="CV86" s="14">
        <f t="shared" si="95"/>
        <v>30.17250628251735</v>
      </c>
      <c r="CW86" s="22">
        <f t="shared" si="67"/>
        <v>250.36616177538428</v>
      </c>
      <c r="CX86" s="62">
        <f t="shared" si="68"/>
        <v>543.69949510871766</v>
      </c>
      <c r="CY86" s="62">
        <f ca="1">AVERAGE(OFFSET($CX$3,0,0,'Données projet'!$E$13+1,1))-AVERAGE(OFFSET($H$3,0,0,'Données projet'!$E$13+1,1))</f>
        <v>63.282881814092605</v>
      </c>
      <c r="CZ86" s="62">
        <f t="shared" si="96"/>
        <v>-40.869120230674525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14.440567685183364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14.440567685183364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68.14079999999997</v>
      </c>
      <c r="D87" s="12">
        <f t="shared" si="86"/>
        <v>19.21103183030446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674.29484219884125</v>
      </c>
      <c r="H87" s="70">
        <f t="shared" si="56"/>
        <v>445.4711071044469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-5.6843418860808015E-14</v>
      </c>
      <c r="O87" s="14">
        <f>N87*VLOOKUP('Données projet'!$B$9,Paramètres!$A$1:$I$89,3,0)*VLOOKUP('Données projet'!$B$9,Paramètres!$A$1:$I$89,5,0)</f>
        <v>-2.8908289095852525E-14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121.64341556501768</v>
      </c>
      <c r="T87" s="62">
        <f t="shared" si="88"/>
        <v>370.21160497429781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26.116552956068979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26.116552956068979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projet'!$B$10,Paramètres!$A$1:$I$89,3,0)*VLOOKUP('Données projet'!$B$10,Paramètres!$A$1:$I$89,5,0)</f>
        <v>-3.2810021366458389E-14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140.99869591649082</v>
      </c>
      <c r="AO87" s="62">
        <f t="shared" si="90"/>
        <v>425.5885140588652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29.641486483881966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29.641486483881966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-5.6843418860808015E-14</v>
      </c>
      <c r="BE87" s="14">
        <f>BD87*VLOOKUP('Données projet'!$B$11,Paramètres!$A$1:$I$89,3,0)*VLOOKUP('Données projet'!$B$11,Paramètres!$A$1:$I$89,5,0)</f>
        <v>-3.2810021366458389E-14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140.99869591649082</v>
      </c>
      <c r="BJ87" s="62">
        <f t="shared" si="92"/>
        <v>425.5885140588652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29.641486483881966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29.641486483881966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>
        <f>VLOOKUP(A87,'Données projet'!$A$113:$I$133,2,0)</f>
        <v>114</v>
      </c>
      <c r="BW87" s="13">
        <f>VLOOKUP(A87,'Données projet'!$A$113:$I$133,9,0)</f>
        <v>5.333333333333333</v>
      </c>
      <c r="BX87" s="13">
        <f t="array" ref="BX87">INDEX(BW:BW,MIN(IF(ISNUMBER(BW87:BW283),ROW(BW87:BW283),"")))</f>
        <v>5.333333333333333</v>
      </c>
      <c r="BY87" s="13">
        <f>IF('Données projet'!$A$114&gt;35,BY86+BX87-CG86,IF(A87&lt;'Données projet'!$A$114,$BV$205^A87,IF(A87='Données projet'!$A$114,'Données projet'!$B$114,BY86+BX87-CG86)))</f>
        <v>113.99999999999996</v>
      </c>
      <c r="BZ87" s="14">
        <f>BY87*VLOOKUP('Données projet'!$B$12,Paramètres!$A$1:$I$89,3,0)*VLOOKUP('Données projet'!$B$12,Paramètres!$A$1:$I$89,5,0)</f>
        <v>103.14719999999997</v>
      </c>
      <c r="CA87" s="14">
        <f t="shared" si="93"/>
        <v>27.710417026801451</v>
      </c>
      <c r="CB87" s="22">
        <f t="shared" si="64"/>
        <v>227.91034965501248</v>
      </c>
      <c r="CC87" s="62">
        <f t="shared" si="65"/>
        <v>521.24368298834577</v>
      </c>
      <c r="CD87" s="62">
        <f ca="1">AVERAGE(OFFSET($CC$3,0,0,'Données projet'!$E$12+1,1))-AVERAGE(OFFSET($H$3,0,0,'Données projet'!$E$12+1,1))</f>
        <v>37.174340347509542</v>
      </c>
      <c r="CE87" s="62">
        <f t="shared" si="94"/>
        <v>-42.822755675927624</v>
      </c>
      <c r="CF87" s="16">
        <f>IF(ISNA(VLOOKUP(A87,'Données projet'!$A$113:$I$133,3,0)),0,VLOOKUP(A87,'Données projet'!$A$113:$I$133,3,0))</f>
        <v>10</v>
      </c>
      <c r="CG87" s="16">
        <f>IF(ISNA(VLOOKUP(A87,'Données projet'!$A$113:$I$133,4,0)),0,VLOOKUP(A87,'Données projet'!$A$113:$I$133,4,0))</f>
        <v>19</v>
      </c>
      <c r="CH87" s="17">
        <f>IF(ISNA(VLOOKUP(A87,'Données projet'!$A$113:$I$133,5,0)),0%,VLOOKUP(A87,'Données projet'!$A$113:$I$133,5,0)*VLOOKUP('Données projet'!$B$12,Paramètres!$A$1:$I$89,7,0))</f>
        <v>0.18489999999999998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15.76956367616013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15.76956367616013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>
        <f>VLOOKUP(A87,'Données projet'!$A$139:$I$159,2,0)</f>
        <v>114</v>
      </c>
      <c r="CR87" s="13">
        <f>VLOOKUP(A87,'Données projet'!$A$139:$I$159,9,0)</f>
        <v>5.333333333333333</v>
      </c>
      <c r="CS87" s="13">
        <f t="array" ref="CS87">INDEX(CR:CR,MIN(IF(ISNUMBER(CR87:CR283),ROW(CR87:CR283),"")))</f>
        <v>5.333333333333333</v>
      </c>
      <c r="CT87" s="13">
        <f>IF('Données projet'!$A$140&gt;35,CT86+CS87-DB86,IF(A87&lt;'Données projet'!$A$140,$CQ$205^A87,IF(A87='Données projet'!$A$140,'Données projet'!$B$140,CT86+CS87-DB86)))</f>
        <v>113.99999999999996</v>
      </c>
      <c r="CU87" s="18">
        <f>CT87*VLOOKUP('Données projet'!$B$13,Paramètres!$A$1:$I$89,3,0)*VLOOKUP('Données projet'!$B$13,Paramètres!$A$1:$I$89,5,0)</f>
        <v>119.15279999999997</v>
      </c>
      <c r="CV87" s="14">
        <f t="shared" si="95"/>
        <v>31.477322402212724</v>
      </c>
      <c r="CW87" s="22">
        <f t="shared" si="67"/>
        <v>262.34746318385379</v>
      </c>
      <c r="CX87" s="62">
        <f t="shared" si="68"/>
        <v>555.6807965171871</v>
      </c>
      <c r="CY87" s="62">
        <f ca="1">AVERAGE(OFFSET($CX$3,0,0,'Données projet'!$E$13+1,1))-AVERAGE(OFFSET($H$3,0,0,'Données projet'!$E$13+1,1))</f>
        <v>63.282881814092605</v>
      </c>
      <c r="CZ87" s="62">
        <f t="shared" si="96"/>
        <v>-40.869120230674525</v>
      </c>
      <c r="DA87" s="16">
        <f>IF(ISNA(VLOOKUP(A87,'Données projet'!$A$139:$I$159,3,0)),0,VLOOKUP(A87,'Données projet'!$A$139:$I$159,3,0))</f>
        <v>10</v>
      </c>
      <c r="DB87" s="16">
        <f>IF(ISNA(VLOOKUP(A87,'Données projet'!$A$139:$I$159,4,0)),0,VLOOKUP(A87,'Données projet'!$A$139:$I$159,4,0))</f>
        <v>19</v>
      </c>
      <c r="DC87" s="17">
        <f>IF(ISNA(VLOOKUP(A87,'Données projet'!$A$139:$I$159,5,0)),0%,VLOOKUP(A87,'Données projet'!$A$139:$I$159,5,0)*VLOOKUP('Données projet'!$B$13,Paramètres!$A$1:$I$89,7,0))</f>
        <v>0.18489999999999998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18.216564936253949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18.216564936253949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68.95199999999997</v>
      </c>
      <c r="D88" s="12">
        <f t="shared" si="86"/>
        <v>19.412974191553577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682.11559025058875</v>
      </c>
      <c r="H88" s="70">
        <f t="shared" si="56"/>
        <v>447.23566338362241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-5.6843418860808015E-14</v>
      </c>
      <c r="O88" s="14">
        <f>N88*VLOOKUP('Données projet'!$B$9,Paramètres!$A$1:$I$89,3,0)*VLOOKUP('Données projet'!$B$9,Paramètres!$A$1:$I$89,5,0)</f>
        <v>-2.8908289095852525E-14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121.64341556501768</v>
      </c>
      <c r="T88" s="62">
        <f t="shared" si="88"/>
        <v>370.21160497429781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25.604423282124859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25.604423282124859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projet'!$B$10,Paramètres!$A$1:$I$89,3,0)*VLOOKUP('Données projet'!$B$10,Paramètres!$A$1:$I$89,5,0)</f>
        <v>-3.2810021366458389E-14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140.99869591649082</v>
      </c>
      <c r="AO88" s="62">
        <f t="shared" si="90"/>
        <v>425.5885140588652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29.060235013454591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29.060235013454591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-5.6843418860808015E-14</v>
      </c>
      <c r="BE88" s="14">
        <f>BD88*VLOOKUP('Données projet'!$B$11,Paramètres!$A$1:$I$89,3,0)*VLOOKUP('Données projet'!$B$11,Paramètres!$A$1:$I$89,5,0)</f>
        <v>-3.2810021366458389E-14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140.99869591649082</v>
      </c>
      <c r="BJ88" s="62">
        <f t="shared" si="92"/>
        <v>425.5885140588652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29.060235013454591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29.060235013454591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4.666666666666667</v>
      </c>
      <c r="BY88" s="13">
        <f>IF('Données projet'!$A$114&gt;35,BY87+BX88-CG87,IF(A88&lt;'Données projet'!$A$114,$BV$205^A88,IF(A88='Données projet'!$A$114,'Données projet'!$B$114,BY87+BX88-CG87)))</f>
        <v>99.666666666666629</v>
      </c>
      <c r="BZ88" s="14">
        <f>BY88*VLOOKUP('Données projet'!$B$12,Paramètres!$A$1:$I$89,3,0)*VLOOKUP('Données projet'!$B$12,Paramètres!$A$1:$I$89,5,0)</f>
        <v>90.178399999999968</v>
      </c>
      <c r="CA88" s="14">
        <f t="shared" si="93"/>
        <v>24.608245818020293</v>
      </c>
      <c r="CB88" s="22">
        <f t="shared" si="64"/>
        <v>199.92007479971861</v>
      </c>
      <c r="CC88" s="62">
        <f t="shared" si="65"/>
        <v>493.25340813305195</v>
      </c>
      <c r="CD88" s="62">
        <f ca="1">AVERAGE(OFFSET($CC$3,0,0,'Données projet'!$E$12+1,1))-AVERAGE(OFFSET($H$3,0,0,'Données projet'!$E$12+1,1))</f>
        <v>37.174340347509542</v>
      </c>
      <c r="CE88" s="62">
        <f t="shared" si="94"/>
        <v>-42.822755675927624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15.460332150954725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15.460332150954725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4.666666666666667</v>
      </c>
      <c r="CT88" s="13">
        <f>IF('Données projet'!$A$140&gt;35,CT87+CS88-DB87,IF(A88&lt;'Données projet'!$A$140,$CQ$205^A88,IF(A88='Données projet'!$A$140,'Données projet'!$B$140,CT87+CS88-DB87)))</f>
        <v>99.666666666666629</v>
      </c>
      <c r="CU88" s="18">
        <f>CT88*VLOOKUP('Données projet'!$B$13,Paramètres!$A$1:$I$89,3,0)*VLOOKUP('Données projet'!$B$13,Paramètres!$A$1:$I$89,5,0)</f>
        <v>104.17159999999997</v>
      </c>
      <c r="CV88" s="14">
        <f t="shared" si="95"/>
        <v>27.953447492960297</v>
      </c>
      <c r="CW88" s="22">
        <f t="shared" si="67"/>
        <v>230.11779105023913</v>
      </c>
      <c r="CX88" s="62">
        <f t="shared" si="68"/>
        <v>523.45112438357251</v>
      </c>
      <c r="CY88" s="62">
        <f ca="1">AVERAGE(OFFSET($CX$3,0,0,'Données projet'!$E$13+1,1))-AVERAGE(OFFSET($H$3,0,0,'Données projet'!$E$13+1,1))</f>
        <v>63.282881814092605</v>
      </c>
      <c r="CZ88" s="62">
        <f t="shared" si="96"/>
        <v>-40.869120230674525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17.859349208861499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17.859349208861499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69.763199999999969</v>
      </c>
      <c r="D89" s="12">
        <f t="shared" si="86"/>
        <v>19.614640193079403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689.93420499920921</v>
      </c>
      <c r="H89" s="70">
        <f t="shared" si="56"/>
        <v>448.9997383362799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-5.6843418860808015E-14</v>
      </c>
      <c r="O89" s="14">
        <f>N89*VLOOKUP('Données projet'!$B$9,Paramètres!$A$1:$I$89,3,0)*VLOOKUP('Données projet'!$B$9,Paramètres!$A$1:$I$89,5,0)</f>
        <v>-2.8908289095852525E-14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121.64341556501768</v>
      </c>
      <c r="T89" s="62">
        <f t="shared" si="88"/>
        <v>370.21160497429781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25.102336158718526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25.102336158718526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projet'!$B$10,Paramètres!$A$1:$I$89,3,0)*VLOOKUP('Données projet'!$B$10,Paramètres!$A$1:$I$89,5,0)</f>
        <v>-3.2810021366458389E-14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140.99869591649082</v>
      </c>
      <c r="AO89" s="62">
        <f t="shared" si="90"/>
        <v>425.5885140588652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28.490381529833908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28.490381529833908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-5.6843418860808015E-14</v>
      </c>
      <c r="BE89" s="14">
        <f>BD89*VLOOKUP('Données projet'!$B$11,Paramètres!$A$1:$I$89,3,0)*VLOOKUP('Données projet'!$B$11,Paramètres!$A$1:$I$89,5,0)</f>
        <v>-3.2810021366458389E-14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140.99869591649082</v>
      </c>
      <c r="BJ89" s="62">
        <f t="shared" si="92"/>
        <v>425.5885140588652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28.490381529833908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28.490381529833908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4.666666666666667</v>
      </c>
      <c r="BY89" s="13">
        <f>IF('Données projet'!$A$114&gt;35,BY88+BX89-CG88,IF(A89&lt;'Données projet'!$A$114,$BV$205^A89,IF(A89='Données projet'!$A$114,'Données projet'!$B$114,BY88+BX89-CG88)))</f>
        <v>104.3333333333333</v>
      </c>
      <c r="BZ89" s="14">
        <f>BY89*VLOOKUP('Données projet'!$B$12,Paramètres!$A$1:$I$89,3,0)*VLOOKUP('Données projet'!$B$12,Paramètres!$A$1:$I$89,5,0)</f>
        <v>94.400799999999961</v>
      </c>
      <c r="CA89" s="14">
        <f t="shared" si="93"/>
        <v>25.623625073236759</v>
      </c>
      <c r="CB89" s="22">
        <f t="shared" si="64"/>
        <v>209.04254033588731</v>
      </c>
      <c r="CC89" s="62">
        <f t="shared" si="65"/>
        <v>502.3758736692206</v>
      </c>
      <c r="CD89" s="62">
        <f ca="1">AVERAGE(OFFSET($CC$3,0,0,'Données projet'!$E$12+1,1))-AVERAGE(OFFSET($H$3,0,0,'Données projet'!$E$12+1,1))</f>
        <v>37.174340347509542</v>
      </c>
      <c r="CE89" s="62">
        <f t="shared" si="94"/>
        <v>-42.822755675927624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15.157164467345993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15.157164467345993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4.666666666666667</v>
      </c>
      <c r="CT89" s="13">
        <f>IF('Données projet'!$A$140&gt;35,CT88+CS89-DB88,IF(A89&lt;'Données projet'!$A$140,$CQ$205^A89,IF(A89='Données projet'!$A$140,'Données projet'!$B$140,CT88+CS89-DB88)))</f>
        <v>104.3333333333333</v>
      </c>
      <c r="CU89" s="18">
        <f>CT89*VLOOKUP('Données projet'!$B$13,Paramètres!$A$1:$I$89,3,0)*VLOOKUP('Données projet'!$B$13,Paramètres!$A$1:$I$89,5,0)</f>
        <v>109.04919999999998</v>
      </c>
      <c r="CV89" s="14">
        <f t="shared" si="95"/>
        <v>29.106855619083216</v>
      </c>
      <c r="CW89" s="22">
        <f t="shared" si="67"/>
        <v>240.62179686990319</v>
      </c>
      <c r="CX89" s="62">
        <f t="shared" si="68"/>
        <v>533.95513020323654</v>
      </c>
      <c r="CY89" s="62">
        <f ca="1">AVERAGE(OFFSET($CX$3,0,0,'Données projet'!$E$13+1,1))-AVERAGE(OFFSET($H$3,0,0,'Données projet'!$E$13+1,1))</f>
        <v>63.282881814092605</v>
      </c>
      <c r="CZ89" s="62">
        <f t="shared" si="96"/>
        <v>-40.869120230674525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17.509138264003134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17.509138264003134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70.574399999999969</v>
      </c>
      <c r="D90" s="12">
        <f t="shared" si="86"/>
        <v>19.816033420152426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697.75071412047464</v>
      </c>
      <c r="H90" s="70">
        <f t="shared" si="56"/>
        <v>450.76333820676541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-5.6843418860808015E-14</v>
      </c>
      <c r="O90" s="14">
        <f>N90*VLOOKUP('Données projet'!$B$9,Paramètres!$A$1:$I$89,3,0)*VLOOKUP('Données projet'!$B$9,Paramètres!$A$1:$I$89,5,0)</f>
        <v>-2.8908289095852525E-14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121.64341556501768</v>
      </c>
      <c r="T90" s="62">
        <f t="shared" si="88"/>
        <v>370.21160497429781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24.610094657559284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24.610094657559284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projet'!$B$10,Paramètres!$A$1:$I$89,3,0)*VLOOKUP('Données projet'!$B$10,Paramètres!$A$1:$I$89,5,0)</f>
        <v>-3.2810021366458389E-14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140.99869591649082</v>
      </c>
      <c r="AO90" s="62">
        <f t="shared" si="90"/>
        <v>425.5885140588652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27.931702525450721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27.931702525450721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-5.6843418860808015E-14</v>
      </c>
      <c r="BE90" s="14">
        <f>BD90*VLOOKUP('Données projet'!$B$11,Paramètres!$A$1:$I$89,3,0)*VLOOKUP('Données projet'!$B$11,Paramètres!$A$1:$I$89,5,0)</f>
        <v>-3.2810021366458389E-14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140.99869591649082</v>
      </c>
      <c r="BJ90" s="62">
        <f t="shared" si="92"/>
        <v>425.5885140588652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27.931702525450721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27.931702525450721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4.666666666666667</v>
      </c>
      <c r="BY90" s="13">
        <f>IF('Données projet'!$A$114&gt;35,BY89+BX90-CG89,IF(A90&lt;'Données projet'!$A$114,$BV$205^A90,IF(A90='Données projet'!$A$114,'Données projet'!$B$114,BY89+BX90-CG89)))</f>
        <v>108.99999999999997</v>
      </c>
      <c r="BZ90" s="14">
        <f>BY90*VLOOKUP('Données projet'!$B$12,Paramètres!$A$1:$I$89,3,0)*VLOOKUP('Données projet'!$B$12,Paramètres!$A$1:$I$89,5,0)</f>
        <v>98.623199999999969</v>
      </c>
      <c r="CA90" s="14">
        <f t="shared" si="93"/>
        <v>26.633729748944909</v>
      </c>
      <c r="CB90" s="22">
        <f t="shared" si="64"/>
        <v>218.15581931274565</v>
      </c>
      <c r="CC90" s="62">
        <f t="shared" si="65"/>
        <v>511.48915264607899</v>
      </c>
      <c r="CD90" s="62">
        <f ca="1">AVERAGE(OFFSET($CC$3,0,0,'Données projet'!$E$12+1,1))-AVERAGE(OFFSET($H$3,0,0,'Données projet'!$E$12+1,1))</f>
        <v>37.174340347509542</v>
      </c>
      <c r="CE90" s="62">
        <f t="shared" si="94"/>
        <v>-42.822755675927624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14.859941717098799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14.859941717098799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4.666666666666667</v>
      </c>
      <c r="CT90" s="13">
        <f>IF('Données projet'!$A$140&gt;35,CT89+CS90-DB89,IF(A90&lt;'Données projet'!$A$140,$CQ$205^A90,IF(A90='Données projet'!$A$140,'Données projet'!$B$140,CT89+CS90-DB89)))</f>
        <v>108.99999999999997</v>
      </c>
      <c r="CU90" s="18">
        <f>CT90*VLOOKUP('Données projet'!$B$13,Paramètres!$A$1:$I$89,3,0)*VLOOKUP('Données projet'!$B$13,Paramètres!$A$1:$I$89,5,0)</f>
        <v>113.92679999999999</v>
      </c>
      <c r="CV90" s="14">
        <f t="shared" si="95"/>
        <v>30.254272148632189</v>
      </c>
      <c r="CW90" s="22">
        <f t="shared" si="67"/>
        <v>251.11536732553432</v>
      </c>
      <c r="CX90" s="62">
        <f t="shared" si="68"/>
        <v>544.44870065886766</v>
      </c>
      <c r="CY90" s="62">
        <f ca="1">AVERAGE(OFFSET($CX$3,0,0,'Données projet'!$E$13+1,1))-AVERAGE(OFFSET($H$3,0,0,'Données projet'!$E$13+1,1))</f>
        <v>63.282881814092605</v>
      </c>
      <c r="CZ90" s="62">
        <f t="shared" si="96"/>
        <v>-40.869120230674525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17.165794742165858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17.165794742165858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71.385599999999968</v>
      </c>
      <c r="D91" s="12">
        <f t="shared" si="86"/>
        <v>20.017157370878905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705.56514461731058</v>
      </c>
      <c r="H91" s="70">
        <f t="shared" si="56"/>
        <v>452.52646908761403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-5.6843418860808015E-14</v>
      </c>
      <c r="O91" s="14">
        <f>N91*VLOOKUP('Données projet'!$B$9,Paramètres!$A$1:$I$89,3,0)*VLOOKUP('Données projet'!$B$9,Paramètres!$A$1:$I$89,5,0)</f>
        <v>-2.8908289095852525E-14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121.64341556501768</v>
      </c>
      <c r="T91" s="62">
        <f t="shared" si="88"/>
        <v>370.21160497429781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24.127505712000104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24.127505712000104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projet'!$B$10,Paramètres!$A$1:$I$89,3,0)*VLOOKUP('Données projet'!$B$10,Paramètres!$A$1:$I$89,5,0)</f>
        <v>-3.2810021366458389E-14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140.99869591649082</v>
      </c>
      <c r="AO91" s="62">
        <f t="shared" si="90"/>
        <v>425.5885140588652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27.383978875582944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27.383978875582944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-5.6843418860808015E-14</v>
      </c>
      <c r="BE91" s="14">
        <f>BD91*VLOOKUP('Données projet'!$B$11,Paramètres!$A$1:$I$89,3,0)*VLOOKUP('Données projet'!$B$11,Paramètres!$A$1:$I$89,5,0)</f>
        <v>-3.2810021366458389E-14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140.99869591649082</v>
      </c>
      <c r="BJ91" s="62">
        <f t="shared" si="92"/>
        <v>425.5885140588652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27.383978875582944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27.383978875582944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4.666666666666667</v>
      </c>
      <c r="BY91" s="13">
        <f>IF('Données projet'!$A$114&gt;35,BY90+BX91-CG90,IF(A91&lt;'Données projet'!$A$114,$BV$205^A91,IF(A91='Données projet'!$A$114,'Données projet'!$B$114,BY90+BX91-CG90)))</f>
        <v>113.66666666666664</v>
      </c>
      <c r="BZ91" s="14">
        <f>BY91*VLOOKUP('Données projet'!$B$12,Paramètres!$A$1:$I$89,3,0)*VLOOKUP('Données projet'!$B$12,Paramètres!$A$1:$I$89,5,0)</f>
        <v>102.84559999999998</v>
      </c>
      <c r="CA91" s="14">
        <f t="shared" si="93"/>
        <v>27.638811483647853</v>
      </c>
      <c r="CB91" s="22">
        <f t="shared" si="64"/>
        <v>227.2603500006866</v>
      </c>
      <c r="CC91" s="62">
        <f t="shared" si="65"/>
        <v>520.59368333401994</v>
      </c>
      <c r="CD91" s="62">
        <f ca="1">AVERAGE(OFFSET($CC$3,0,0,'Données projet'!$E$12+1,1))-AVERAGE(OFFSET($H$3,0,0,'Données projet'!$E$12+1,1))</f>
        <v>37.174340347509542</v>
      </c>
      <c r="CE91" s="62">
        <f t="shared" si="94"/>
        <v>-42.822755675927624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14.568547323695975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14.568547323695975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4.666666666666667</v>
      </c>
      <c r="CT91" s="13">
        <f>IF('Données projet'!$A$140&gt;35,CT90+CS91-DB90,IF(A91&lt;'Données projet'!$A$140,$CQ$205^A91,IF(A91='Données projet'!$A$140,'Données projet'!$B$140,CT90+CS91-DB90)))</f>
        <v>113.66666666666664</v>
      </c>
      <c r="CU91" s="18">
        <f>CT91*VLOOKUP('Données projet'!$B$13,Paramètres!$A$1:$I$89,3,0)*VLOOKUP('Données projet'!$B$13,Paramètres!$A$1:$I$89,5,0)</f>
        <v>118.80439999999999</v>
      </c>
      <c r="CV91" s="14">
        <f t="shared" si="95"/>
        <v>31.395982927406113</v>
      </c>
      <c r="CW91" s="22">
        <f t="shared" si="67"/>
        <v>261.59900026523229</v>
      </c>
      <c r="CX91" s="62">
        <f t="shared" si="68"/>
        <v>554.93233359856561</v>
      </c>
      <c r="CY91" s="62">
        <f ca="1">AVERAGE(OFFSET($CX$3,0,0,'Données projet'!$E$13+1,1))-AVERAGE(OFFSET($H$3,0,0,'Données projet'!$E$13+1,1))</f>
        <v>63.282881814092605</v>
      </c>
      <c r="CZ91" s="62">
        <f t="shared" si="96"/>
        <v>-40.869120230674525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16.829183977372942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16.829183977372942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72.196799999999968</v>
      </c>
      <c r="D92" s="12">
        <f t="shared" si="86"/>
        <v>20.218015459285905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713.37752284361034</v>
      </c>
      <c r="H92" s="70">
        <f t="shared" si="56"/>
        <v>454.2891369249229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-5.6843418860808015E-14</v>
      </c>
      <c r="O92" s="14">
        <f>N92*VLOOKUP('Données projet'!$B$9,Paramètres!$A$1:$I$89,3,0)*VLOOKUP('Données projet'!$B$9,Paramètres!$A$1:$I$89,5,0)</f>
        <v>-2.8908289095852525E-14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121.64341556501768</v>
      </c>
      <c r="T92" s="62">
        <f t="shared" si="88"/>
        <v>370.21160497429781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23.65438004131315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23.65438004131315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projet'!$B$10,Paramètres!$A$1:$I$89,3,0)*VLOOKUP('Données projet'!$B$10,Paramètres!$A$1:$I$89,5,0)</f>
        <v>-3.2810021366458389E-14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140.99869591649082</v>
      </c>
      <c r="AO92" s="62">
        <f t="shared" si="90"/>
        <v>425.5885140588652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26.846995752410635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26.846995752410635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-5.6843418860808015E-14</v>
      </c>
      <c r="BE92" s="14">
        <f>BD92*VLOOKUP('Données projet'!$B$11,Paramètres!$A$1:$I$89,3,0)*VLOOKUP('Données projet'!$B$11,Paramètres!$A$1:$I$89,5,0)</f>
        <v>-3.2810021366458389E-14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140.99869591649082</v>
      </c>
      <c r="BJ92" s="62">
        <f t="shared" si="92"/>
        <v>425.5885140588652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26.846995752410635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26.846995752410635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4.666666666666667</v>
      </c>
      <c r="BY92" s="13">
        <f>IF('Données projet'!$A$114&gt;35,BY91+BX92-CG91,IF(A92&lt;'Données projet'!$A$114,$BV$205^A92,IF(A92='Données projet'!$A$114,'Données projet'!$B$114,BY91+BX92-CG91)))</f>
        <v>118.33333333333331</v>
      </c>
      <c r="BZ92" s="14">
        <f>BY92*VLOOKUP('Données projet'!$B$12,Paramètres!$A$1:$I$89,3,0)*VLOOKUP('Données projet'!$B$12,Paramètres!$A$1:$I$89,5,0)</f>
        <v>107.06799999999997</v>
      </c>
      <c r="CA92" s="14">
        <f t="shared" si="93"/>
        <v>28.639100084256544</v>
      </c>
      <c r="CB92" s="22">
        <f t="shared" si="64"/>
        <v>236.35653264674673</v>
      </c>
      <c r="CC92" s="62">
        <f t="shared" si="65"/>
        <v>529.68986598008007</v>
      </c>
      <c r="CD92" s="62">
        <f ca="1">AVERAGE(OFFSET($CC$3,0,0,'Données projet'!$E$12+1,1))-AVERAGE(OFFSET($H$3,0,0,'Données projet'!$E$12+1,1))</f>
        <v>37.174340347509542</v>
      </c>
      <c r="CE92" s="62">
        <f t="shared" si="94"/>
        <v>-42.822755675927624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14.282866996614752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14.282866996614752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4.666666666666667</v>
      </c>
      <c r="CT92" s="13">
        <f>IF('Données projet'!$A$140&gt;35,CT91+CS92-DB91,IF(A92&lt;'Données projet'!$A$140,$CQ$205^A92,IF(A92='Données projet'!$A$140,'Données projet'!$B$140,CT91+CS92-DB91)))</f>
        <v>118.33333333333331</v>
      </c>
      <c r="CU92" s="18">
        <f>CT92*VLOOKUP('Données projet'!$B$13,Paramètres!$A$1:$I$89,3,0)*VLOOKUP('Données projet'!$B$13,Paramètres!$A$1:$I$89,5,0)</f>
        <v>123.682</v>
      </c>
      <c r="CV92" s="14">
        <f t="shared" si="95"/>
        <v>32.532249001863399</v>
      </c>
      <c r="CW92" s="22">
        <f t="shared" si="67"/>
        <v>272.07315034491211</v>
      </c>
      <c r="CX92" s="62">
        <f t="shared" si="68"/>
        <v>565.40648367824542</v>
      </c>
      <c r="CY92" s="62">
        <f ca="1">AVERAGE(OFFSET($CX$3,0,0,'Données projet'!$E$13+1,1))-AVERAGE(OFFSET($H$3,0,0,'Données projet'!$E$13+1,1))</f>
        <v>63.282881814092605</v>
      </c>
      <c r="CZ92" s="62">
        <f t="shared" si="96"/>
        <v>-40.869120230674525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16.499173944365321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16.499173944365321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73.007999999999967</v>
      </c>
      <c r="D93" s="12">
        <f t="shared" si="86"/>
        <v>20.418611018263636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721.18787452694698</v>
      </c>
      <c r="H93" s="70">
        <f t="shared" si="56"/>
        <v>456.05134752347578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-5.6843418860808015E-14</v>
      </c>
      <c r="O93" s="14">
        <f>N93*VLOOKUP('Données projet'!$B$9,Paramètres!$A$1:$I$89,3,0)*VLOOKUP('Données projet'!$B$9,Paramètres!$A$1:$I$89,5,0)</f>
        <v>-2.8908289095852525E-14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121.64341556501768</v>
      </c>
      <c r="T93" s="62">
        <f t="shared" si="88"/>
        <v>370.21160497429781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23.190532076450204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23.190532076450204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projet'!$B$10,Paramètres!$A$1:$I$89,3,0)*VLOOKUP('Données projet'!$B$10,Paramètres!$A$1:$I$89,5,0)</f>
        <v>-3.2810021366458389E-14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140.99869591649082</v>
      </c>
      <c r="AO93" s="62">
        <f t="shared" si="90"/>
        <v>425.5885140588652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26.320542540756371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26.320542540756371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-5.6843418860808015E-14</v>
      </c>
      <c r="BE93" s="14">
        <f>BD93*VLOOKUP('Données projet'!$B$11,Paramètres!$A$1:$I$89,3,0)*VLOOKUP('Données projet'!$B$11,Paramètres!$A$1:$I$89,5,0)</f>
        <v>-3.2810021366458389E-14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140.99869591649082</v>
      </c>
      <c r="BJ93" s="62">
        <f t="shared" si="92"/>
        <v>425.5885140588652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26.320542540756371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26.320542540756371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123</v>
      </c>
      <c r="BW93" s="13">
        <f>VLOOKUP(A93,'Données projet'!$A$113:$I$133,9,0)</f>
        <v>4.666666666666667</v>
      </c>
      <c r="BX93" s="13">
        <f t="array" ref="BX93">INDEX(BW:BW,MIN(IF(ISNUMBER(BW93:BW289),ROW(BW93:BW289),"")))</f>
        <v>4.666666666666667</v>
      </c>
      <c r="BY93" s="13">
        <f>IF('Données projet'!$A$114&gt;35,BY92+BX93-CG92,IF(A93&lt;'Données projet'!$A$114,$BV$205^A93,IF(A93='Données projet'!$A$114,'Données projet'!$B$114,BY92+BX93-CG92)))</f>
        <v>122.99999999999999</v>
      </c>
      <c r="BZ93" s="14">
        <f>BY93*VLOOKUP('Données projet'!$B$12,Paramètres!$A$1:$I$89,3,0)*VLOOKUP('Données projet'!$B$12,Paramètres!$A$1:$I$89,5,0)</f>
        <v>111.29039999999999</v>
      </c>
      <c r="CA93" s="14">
        <f t="shared" si="93"/>
        <v>29.634806205918245</v>
      </c>
      <c r="CB93" s="22">
        <f t="shared" si="64"/>
        <v>245.44473414197429</v>
      </c>
      <c r="CC93" s="62">
        <f t="shared" si="65"/>
        <v>538.77806747530758</v>
      </c>
      <c r="CD93" s="62">
        <f ca="1">AVERAGE(OFFSET($CC$3,0,0,'Données projet'!$E$12+1,1))-AVERAGE(OFFSET($H$3,0,0,'Données projet'!$E$12+1,1))</f>
        <v>37.174340347509542</v>
      </c>
      <c r="CE93" s="62">
        <f t="shared" si="94"/>
        <v>-42.822755675927624</v>
      </c>
      <c r="CF93" s="16">
        <f>IF(ISNA(VLOOKUP(A93,'Données projet'!$A$113:$I$133,3,0)),0,VLOOKUP(A93,'Données projet'!$A$113:$I$133,3,0))</f>
        <v>11</v>
      </c>
      <c r="CG93" s="16">
        <f>IF(ISNA(VLOOKUP(A93,'Données projet'!$A$113:$I$133,4,0)),0,VLOOKUP(A93,'Données projet'!$A$113:$I$133,4,0))</f>
        <v>21</v>
      </c>
      <c r="CH93" s="17">
        <f>IF(ISNA(VLOOKUP(A93,'Données projet'!$A$113:$I$133,5,0)),0%,VLOOKUP(A93,'Données projet'!$A$113:$I$133,5,0)*VLOOKUP('Données projet'!$B$12,Paramètres!$A$1:$I$89,7,0))</f>
        <v>0.18489999999999998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17.886580198015544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17.886580198015544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123</v>
      </c>
      <c r="CR93" s="13">
        <f>VLOOKUP(A93,'Données projet'!$A$139:$I$159,9,0)</f>
        <v>4.666666666666667</v>
      </c>
      <c r="CS93" s="13">
        <f t="array" ref="CS93">INDEX(CR:CR,MIN(IF(ISNUMBER(CR93:CR289),ROW(CR93:CR289),"")))</f>
        <v>4.666666666666667</v>
      </c>
      <c r="CT93" s="13">
        <f>IF('Données projet'!$A$140&gt;35,CT92+CS93-DB92,IF(A93&lt;'Données projet'!$A$140,$CQ$205^A93,IF(A93='Données projet'!$A$140,'Données projet'!$B$140,CT92+CS93-DB92)))</f>
        <v>122.99999999999999</v>
      </c>
      <c r="CU93" s="18">
        <f>CT93*VLOOKUP('Données projet'!$B$13,Paramètres!$A$1:$I$89,3,0)*VLOOKUP('Données projet'!$B$13,Paramètres!$A$1:$I$89,5,0)</f>
        <v>128.55959999999999</v>
      </c>
      <c r="CV93" s="14">
        <f t="shared" si="95"/>
        <v>33.663309663241684</v>
      </c>
      <c r="CW93" s="22">
        <f t="shared" si="67"/>
        <v>282.53823433014588</v>
      </c>
      <c r="CX93" s="62">
        <f t="shared" si="68"/>
        <v>575.87156766347925</v>
      </c>
      <c r="CY93" s="62">
        <f ca="1">AVERAGE(OFFSET($CX$3,0,0,'Données projet'!$E$13+1,1))-AVERAGE(OFFSET($H$3,0,0,'Données projet'!$E$13+1,1))</f>
        <v>63.282881814092605</v>
      </c>
      <c r="CZ93" s="62">
        <f t="shared" si="96"/>
        <v>-40.869120230674525</v>
      </c>
      <c r="DA93" s="16">
        <f>IF(ISNA(VLOOKUP(A93,'Données projet'!$A$139:$I$159,3,0)),0,VLOOKUP(A93,'Données projet'!$A$139:$I$159,3,0))</f>
        <v>11</v>
      </c>
      <c r="DB93" s="16">
        <f>IF(ISNA(VLOOKUP(A93,'Données projet'!$A$139:$I$159,4,0)),0,VLOOKUP(A93,'Données projet'!$A$139:$I$159,4,0))</f>
        <v>21</v>
      </c>
      <c r="DC93" s="17">
        <f>IF(ISNA(VLOOKUP(A93,'Données projet'!$A$139:$I$159,5,0)),0%,VLOOKUP(A93,'Données projet'!$A$139:$I$159,5,0)*VLOOKUP('Données projet'!$B$13,Paramètres!$A$1:$I$89,7,0))</f>
        <v>0.18489999999999998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20.662084021845548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20.662084021845548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73.819199999999967</v>
      </c>
      <c r="D94" s="12">
        <f t="shared" si="86"/>
        <v>20.618947302373449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728.99622479025095</v>
      </c>
      <c r="H94" s="70">
        <f t="shared" si="56"/>
        <v>457.81310655163367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-5.6843418860808015E-14</v>
      </c>
      <c r="O94" s="14">
        <f>N94*VLOOKUP('Données projet'!$B$9,Paramètres!$A$1:$I$89,3,0)*VLOOKUP('Données projet'!$B$9,Paramètres!$A$1:$I$89,5,0)</f>
        <v>-2.8908289095852525E-14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121.64341556501768</v>
      </c>
      <c r="T94" s="62">
        <f t="shared" si="88"/>
        <v>370.21160497429781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22.735779887258897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22.735779887258897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projet'!$B$10,Paramètres!$A$1:$I$89,3,0)*VLOOKUP('Données projet'!$B$10,Paramètres!$A$1:$I$89,5,0)</f>
        <v>-3.2810021366458389E-14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140.99869591649082</v>
      </c>
      <c r="AO94" s="62">
        <f t="shared" si="90"/>
        <v>425.5885140588652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25.804412755477895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25.804412755477895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-5.6843418860808015E-14</v>
      </c>
      <c r="BE94" s="14">
        <f>BD94*VLOOKUP('Données projet'!$B$11,Paramètres!$A$1:$I$89,3,0)*VLOOKUP('Données projet'!$B$11,Paramètres!$A$1:$I$89,5,0)</f>
        <v>-3.2810021366458389E-14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140.99869591649082</v>
      </c>
      <c r="BJ94" s="62">
        <f t="shared" si="92"/>
        <v>425.5885140588652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25.804412755477895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25.804412755477895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4.125</v>
      </c>
      <c r="BY94" s="13">
        <f>IF('Données projet'!$A$114&gt;35,BY93+BX94-CG93,IF(A94&lt;'Données projet'!$A$114,$BV$205^A94,IF(A94='Données projet'!$A$114,'Données projet'!$B$114,BY93+BX94-CG93)))</f>
        <v>106.12499999999999</v>
      </c>
      <c r="BZ94" s="14">
        <f>BY94*VLOOKUP('Données projet'!$B$12,Paramètres!$A$1:$I$89,3,0)*VLOOKUP('Données projet'!$B$12,Paramètres!$A$1:$I$89,5,0)</f>
        <v>96.021899999999988</v>
      </c>
      <c r="CA94" s="14">
        <f t="shared" si="93"/>
        <v>26.012042665849933</v>
      </c>
      <c r="CB94" s="22">
        <f t="shared" si="64"/>
        <v>212.54245014302194</v>
      </c>
      <c r="CC94" s="62">
        <f t="shared" si="65"/>
        <v>505.87578347635525</v>
      </c>
      <c r="CD94" s="62">
        <f ca="1">AVERAGE(OFFSET($CC$3,0,0,'Données projet'!$E$12+1,1))-AVERAGE(OFFSET($H$3,0,0,'Données projet'!$E$12+1,1))</f>
        <v>37.174340347509542</v>
      </c>
      <c r="CE94" s="62">
        <f t="shared" si="94"/>
        <v>-42.822755675927624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17.535835270069132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17.535835270069132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4.125</v>
      </c>
      <c r="CT94" s="13">
        <f>IF('Données projet'!$A$140&gt;35,CT93+CS94-DB93,IF(A94&lt;'Données projet'!$A$140,$CQ$205^A94,IF(A94='Données projet'!$A$140,'Données projet'!$B$140,CT93+CS94-DB93)))</f>
        <v>106.12499999999999</v>
      </c>
      <c r="CU94" s="18">
        <f>CT94*VLOOKUP('Données projet'!$B$13,Paramètres!$A$1:$I$89,3,0)*VLOOKUP('Données projet'!$B$13,Paramètres!$A$1:$I$89,5,0)</f>
        <v>110.92184999999999</v>
      </c>
      <c r="CV94" s="14">
        <f t="shared" si="95"/>
        <v>29.548074016393883</v>
      </c>
      <c r="CW94" s="22">
        <f t="shared" si="67"/>
        <v>244.65178432855262</v>
      </c>
      <c r="CX94" s="62">
        <f t="shared" si="68"/>
        <v>537.98511766188597</v>
      </c>
      <c r="CY94" s="62">
        <f ca="1">AVERAGE(OFFSET($CX$3,0,0,'Données projet'!$E$13+1,1))-AVERAGE(OFFSET($H$3,0,0,'Données projet'!$E$13+1,1))</f>
        <v>63.282881814092605</v>
      </c>
      <c r="CZ94" s="62">
        <f t="shared" si="96"/>
        <v>-40.869120230674525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20.256913156804004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20.256913156804004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74.630399999999966</v>
      </c>
      <c r="D95" s="12">
        <f t="shared" si="86"/>
        <v>20.819027490528757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736.80259817250237</v>
      </c>
      <c r="H95" s="70">
        <f t="shared" si="56"/>
        <v>459.57441954600415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-5.6843418860808015E-14</v>
      </c>
      <c r="O95" s="14">
        <f>N95*VLOOKUP('Données projet'!$B$9,Paramètres!$A$1:$I$89,3,0)*VLOOKUP('Données projet'!$B$9,Paramètres!$A$1:$I$89,5,0)</f>
        <v>-2.8908289095852525E-14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121.64341556501768</v>
      </c>
      <c r="T95" s="62">
        <f t="shared" si="88"/>
        <v>370.21160497429781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22.289945111126183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22.289945111126183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projet'!$B$10,Paramètres!$A$1:$I$89,3,0)*VLOOKUP('Données projet'!$B$10,Paramètres!$A$1:$I$89,5,0)</f>
        <v>-3.2810021366458389E-14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140.99869591649082</v>
      </c>
      <c r="AO95" s="62">
        <f t="shared" si="90"/>
        <v>425.5885140588652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25.298403960480645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25.298403960480645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-5.6843418860808015E-14</v>
      </c>
      <c r="BE95" s="14">
        <f>BD95*VLOOKUP('Données projet'!$B$11,Paramètres!$A$1:$I$89,3,0)*VLOOKUP('Données projet'!$B$11,Paramètres!$A$1:$I$89,5,0)</f>
        <v>-3.2810021366458389E-14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140.99869591649082</v>
      </c>
      <c r="BJ95" s="62">
        <f t="shared" si="92"/>
        <v>425.5885140588652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25.298403960480645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25.298403960480645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4.125</v>
      </c>
      <c r="BY95" s="13">
        <f>IF('Données projet'!$A$114&gt;35,BY94+BX95-CG94,IF(A95&lt;'Données projet'!$A$114,$BV$205^A95,IF(A95='Données projet'!$A$114,'Données projet'!$B$114,BY94+BX95-CG94)))</f>
        <v>110.24999999999999</v>
      </c>
      <c r="BZ95" s="14">
        <f>BY95*VLOOKUP('Données projet'!$B$12,Paramètres!$A$1:$I$89,3,0)*VLOOKUP('Données projet'!$B$12,Paramètres!$A$1:$I$89,5,0)</f>
        <v>99.754199999999983</v>
      </c>
      <c r="CA95" s="14">
        <f t="shared" si="93"/>
        <v>26.903430703061815</v>
      </c>
      <c r="CB95" s="22">
        <f t="shared" si="64"/>
        <v>220.5953734744993</v>
      </c>
      <c r="CC95" s="62">
        <f t="shared" si="65"/>
        <v>513.92870680783267</v>
      </c>
      <c r="CD95" s="62">
        <f ca="1">AVERAGE(OFFSET($CC$3,0,0,'Données projet'!$E$12+1,1))-AVERAGE(OFFSET($H$3,0,0,'Données projet'!$E$12+1,1))</f>
        <v>37.174340347509542</v>
      </c>
      <c r="CE95" s="62">
        <f t="shared" si="94"/>
        <v>-42.822755675927624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17.191968236226469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17.191968236226469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4.125</v>
      </c>
      <c r="CT95" s="13">
        <f>IF('Données projet'!$A$140&gt;35,CT94+CS95-DB94,IF(A95&lt;'Données projet'!$A$140,$CQ$205^A95,IF(A95='Données projet'!$A$140,'Données projet'!$B$140,CT94+CS95-DB94)))</f>
        <v>110.24999999999999</v>
      </c>
      <c r="CU95" s="18">
        <f>CT95*VLOOKUP('Données projet'!$B$13,Paramètres!$A$1:$I$89,3,0)*VLOOKUP('Données projet'!$B$13,Paramètres!$A$1:$I$89,5,0)</f>
        <v>115.23329999999999</v>
      </c>
      <c r="CV95" s="14">
        <f t="shared" si="95"/>
        <v>30.560635776314587</v>
      </c>
      <c r="CW95" s="22">
        <f t="shared" si="67"/>
        <v>253.92443814374789</v>
      </c>
      <c r="CX95" s="62">
        <f t="shared" si="68"/>
        <v>547.25777147708118</v>
      </c>
      <c r="CY95" s="62">
        <f ca="1">AVERAGE(OFFSET($CX$3,0,0,'Données projet'!$E$13+1,1))-AVERAGE(OFFSET($H$3,0,0,'Données projet'!$E$13+1,1))</f>
        <v>63.282881814092605</v>
      </c>
      <c r="CZ95" s="62">
        <f t="shared" si="96"/>
        <v>-40.869120230674525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19.8596874452961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19.8596874452961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75.441599999999966</v>
      </c>
      <c r="D96" s="12">
        <f t="shared" si="86"/>
        <v>21.018854688556051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744.60701864850262</v>
      </c>
      <c r="H96" s="70">
        <f t="shared" si="56"/>
        <v>461.33529191590168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-5.6843418860808015E-14</v>
      </c>
      <c r="O96" s="14">
        <f>N96*VLOOKUP('Données projet'!$B$9,Paramètres!$A$1:$I$89,3,0)*VLOOKUP('Données projet'!$B$9,Paramètres!$A$1:$I$89,5,0)</f>
        <v>-2.8908289095852525E-14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121.64341556501768</v>
      </c>
      <c r="T96" s="62">
        <f t="shared" si="88"/>
        <v>370.21160497429781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21.852852883021072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21.852852883021072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projet'!$B$10,Paramètres!$A$1:$I$89,3,0)*VLOOKUP('Données projet'!$B$10,Paramètres!$A$1:$I$89,5,0)</f>
        <v>-3.2810021366458389E-14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140.99869591649082</v>
      </c>
      <c r="AO96" s="62">
        <f t="shared" si="90"/>
        <v>425.5885140588652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24.8023176893184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24.8023176893184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-5.6843418860808015E-14</v>
      </c>
      <c r="BE96" s="14">
        <f>BD96*VLOOKUP('Données projet'!$B$11,Paramètres!$A$1:$I$89,3,0)*VLOOKUP('Données projet'!$B$11,Paramètres!$A$1:$I$89,5,0)</f>
        <v>-3.2810021366458389E-14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140.99869591649082</v>
      </c>
      <c r="BJ96" s="62">
        <f t="shared" si="92"/>
        <v>425.5885140588652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24.8023176893184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24.8023176893184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4.125</v>
      </c>
      <c r="BY96" s="13">
        <f>IF('Données projet'!$A$114&gt;35,BY95+BX96-CG95,IF(A96&lt;'Données projet'!$A$114,$BV$205^A96,IF(A96='Données projet'!$A$114,'Données projet'!$B$114,BY95+BX96-CG95)))</f>
        <v>114.37499999999999</v>
      </c>
      <c r="BZ96" s="14">
        <f>BY96*VLOOKUP('Données projet'!$B$12,Paramètres!$A$1:$I$89,3,0)*VLOOKUP('Données projet'!$B$12,Paramètres!$A$1:$I$89,5,0)</f>
        <v>103.48649999999999</v>
      </c>
      <c r="CA96" s="14">
        <f t="shared" si="93"/>
        <v>27.790944140744621</v>
      </c>
      <c r="CB96" s="22">
        <f t="shared" si="64"/>
        <v>228.64154854513018</v>
      </c>
      <c r="CC96" s="62">
        <f t="shared" si="65"/>
        <v>521.97488187846352</v>
      </c>
      <c r="CD96" s="62">
        <f ca="1">AVERAGE(OFFSET($CC$3,0,0,'Données projet'!$E$12+1,1))-AVERAGE(OFFSET($H$3,0,0,'Données projet'!$E$12+1,1))</f>
        <v>37.174340347509542</v>
      </c>
      <c r="CE96" s="62">
        <f t="shared" si="94"/>
        <v>-42.822755675927624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16.854844225179278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16.854844225179278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4.125</v>
      </c>
      <c r="CT96" s="13">
        <f>IF('Données projet'!$A$140&gt;35,CT95+CS96-DB95,IF(A96&lt;'Données projet'!$A$140,$CQ$205^A96,IF(A96='Données projet'!$A$140,'Données projet'!$B$140,CT95+CS96-DB95)))</f>
        <v>114.37499999999999</v>
      </c>
      <c r="CU96" s="18">
        <f>CT96*VLOOKUP('Données projet'!$B$13,Paramètres!$A$1:$I$89,3,0)*VLOOKUP('Données projet'!$B$13,Paramètres!$A$1:$I$89,5,0)</f>
        <v>119.54474999999999</v>
      </c>
      <c r="CV96" s="14">
        <f t="shared" si="95"/>
        <v>31.568796230457792</v>
      </c>
      <c r="CW96" s="22">
        <f t="shared" si="67"/>
        <v>263.18942635138063</v>
      </c>
      <c r="CX96" s="62">
        <f t="shared" si="68"/>
        <v>556.52275968471395</v>
      </c>
      <c r="CY96" s="62">
        <f ca="1">AVERAGE(OFFSET($CX$3,0,0,'Données projet'!$E$13+1,1))-AVERAGE(OFFSET($H$3,0,0,'Données projet'!$E$13+1,1))</f>
        <v>63.282881814092605</v>
      </c>
      <c r="CZ96" s="62">
        <f t="shared" si="96"/>
        <v>-40.869120230674525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19.470251087707105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19.470251087707105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76.252799999999965</v>
      </c>
      <c r="D97" s="12">
        <f t="shared" si="86"/>
        <v>21.21843193164284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752.40950964776903</v>
      </c>
      <c r="H97" s="70">
        <f t="shared" si="56"/>
        <v>463.09572894761118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-5.6843418860808015E-14</v>
      </c>
      <c r="O97" s="14">
        <f>N97*VLOOKUP('Données projet'!$B$9,Paramètres!$A$1:$I$89,3,0)*VLOOKUP('Données projet'!$B$9,Paramètres!$A$1:$I$89,5,0)</f>
        <v>-2.8908289095852525E-14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121.64341556501768</v>
      </c>
      <c r="T97" s="62">
        <f t="shared" si="88"/>
        <v>370.21160497429781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21.424331766909166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21.424331766909166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projet'!$B$10,Paramètres!$A$1:$I$89,3,0)*VLOOKUP('Données projet'!$B$10,Paramètres!$A$1:$I$89,5,0)</f>
        <v>-3.2810021366458389E-14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140.99869591649082</v>
      </c>
      <c r="AO97" s="62">
        <f t="shared" si="90"/>
        <v>425.5885140588652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24.315959367350899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24.315959367350899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-5.6843418860808015E-14</v>
      </c>
      <c r="BE97" s="14">
        <f>BD97*VLOOKUP('Données projet'!$B$11,Paramètres!$A$1:$I$89,3,0)*VLOOKUP('Données projet'!$B$11,Paramètres!$A$1:$I$89,5,0)</f>
        <v>-3.2810021366458389E-14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140.99869591649082</v>
      </c>
      <c r="BJ97" s="62">
        <f t="shared" si="92"/>
        <v>425.5885140588652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24.315959367350899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24.315959367350899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4.125</v>
      </c>
      <c r="BY97" s="13">
        <f>IF('Données projet'!$A$114&gt;35,BY96+BX97-CG96,IF(A97&lt;'Données projet'!$A$114,$BV$205^A97,IF(A97='Données projet'!$A$114,'Données projet'!$B$114,BY96+BX97-CG96)))</f>
        <v>118.49999999999999</v>
      </c>
      <c r="BZ97" s="14">
        <f>BY97*VLOOKUP('Données projet'!$B$12,Paramètres!$A$1:$I$89,3,0)*VLOOKUP('Données projet'!$B$12,Paramètres!$A$1:$I$89,5,0)</f>
        <v>107.21879999999999</v>
      </c>
      <c r="CA97" s="14">
        <f t="shared" si="93"/>
        <v>28.674738725921287</v>
      </c>
      <c r="CB97" s="22">
        <f t="shared" si="64"/>
        <v>236.68124661431287</v>
      </c>
      <c r="CC97" s="62">
        <f t="shared" si="65"/>
        <v>530.01457994764621</v>
      </c>
      <c r="CD97" s="62">
        <f ca="1">AVERAGE(OFFSET($CC$3,0,0,'Données projet'!$E$12+1,1))-AVERAGE(OFFSET($H$3,0,0,'Données projet'!$E$12+1,1))</f>
        <v>37.174340347509542</v>
      </c>
      <c r="CE97" s="62">
        <f t="shared" si="94"/>
        <v>-42.822755675927624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16.52433101036338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16.52433101036338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4.125</v>
      </c>
      <c r="CT97" s="13">
        <f>IF('Données projet'!$A$140&gt;35,CT96+CS97-DB96,IF(A97&lt;'Données projet'!$A$140,$CQ$205^A97,IF(A97='Données projet'!$A$140,'Données projet'!$B$140,CT96+CS97-DB96)))</f>
        <v>118.49999999999999</v>
      </c>
      <c r="CU97" s="18">
        <f>CT97*VLOOKUP('Données projet'!$B$13,Paramètres!$A$1:$I$89,3,0)*VLOOKUP('Données projet'!$B$13,Paramètres!$A$1:$I$89,5,0)</f>
        <v>123.8562</v>
      </c>
      <c r="CV97" s="14">
        <f t="shared" si="95"/>
        <v>32.572732297822959</v>
      </c>
      <c r="CW97" s="22">
        <f t="shared" si="67"/>
        <v>272.44705708537498</v>
      </c>
      <c r="CX97" s="62">
        <f t="shared" si="68"/>
        <v>565.78039041870829</v>
      </c>
      <c r="CY97" s="62">
        <f ca="1">AVERAGE(OFFSET($CX$3,0,0,'Données projet'!$E$13+1,1))-AVERAGE(OFFSET($H$3,0,0,'Données projet'!$E$13+1,1))</f>
        <v>63.282881814092605</v>
      </c>
      <c r="CZ97" s="62">
        <f t="shared" si="96"/>
        <v>-40.869120230674525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19.088451339557707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19.088451339557707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77.063999999999965</v>
      </c>
      <c r="D98" s="12">
        <f t="shared" si="86"/>
        <v>21.417762186678065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760.21009407260237</v>
      </c>
      <c r="H98" s="70">
        <f t="shared" si="56"/>
        <v>464.8557358084642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-5.6843418860808015E-14</v>
      </c>
      <c r="O98" s="14">
        <f>N98*VLOOKUP('Données projet'!$B$9,Paramètres!$A$1:$I$89,3,0)*VLOOKUP('Données projet'!$B$9,Paramètres!$A$1:$I$89,5,0)</f>
        <v>-2.8908289095852525E-14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121.64341556501768</v>
      </c>
      <c r="T98" s="62">
        <f t="shared" si="88"/>
        <v>370.21160497429781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21.004213688512142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21.004213688512142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projet'!$B$10,Paramètres!$A$1:$I$89,3,0)*VLOOKUP('Données projet'!$B$10,Paramètres!$A$1:$I$89,5,0)</f>
        <v>-3.2810021366458389E-14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140.99869591649082</v>
      </c>
      <c r="AO98" s="62">
        <f t="shared" si="90"/>
        <v>425.5885140588652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23.839138235427896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23.839138235427896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-5.6843418860808015E-14</v>
      </c>
      <c r="BE98" s="14">
        <f>BD98*VLOOKUP('Données projet'!$B$11,Paramètres!$A$1:$I$89,3,0)*VLOOKUP('Données projet'!$B$11,Paramètres!$A$1:$I$89,5,0)</f>
        <v>-3.2810021366458389E-14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140.99869591649082</v>
      </c>
      <c r="BJ98" s="62">
        <f t="shared" si="92"/>
        <v>425.5885140588652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23.839138235427896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23.839138235427896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4.125</v>
      </c>
      <c r="BY98" s="13">
        <f>IF('Données projet'!$A$114&gt;35,BY97+BX98-CG97,IF(A98&lt;'Données projet'!$A$114,$BV$205^A98,IF(A98='Données projet'!$A$114,'Données projet'!$B$114,BY97+BX98-CG97)))</f>
        <v>122.62499999999999</v>
      </c>
      <c r="BZ98" s="14">
        <f>BY98*VLOOKUP('Données projet'!$B$12,Paramètres!$A$1:$I$89,3,0)*VLOOKUP('Données projet'!$B$12,Paramètres!$A$1:$I$89,5,0)</f>
        <v>110.95109999999998</v>
      </c>
      <c r="CA98" s="14">
        <f t="shared" si="93"/>
        <v>29.554958747563823</v>
      </c>
      <c r="CB98" s="22">
        <f t="shared" si="64"/>
        <v>244.71471898534026</v>
      </c>
      <c r="CC98" s="62">
        <f t="shared" si="65"/>
        <v>538.04805231867363</v>
      </c>
      <c r="CD98" s="62">
        <f ca="1">AVERAGE(OFFSET($CC$3,0,0,'Données projet'!$E$12+1,1))-AVERAGE(OFFSET($H$3,0,0,'Données projet'!$E$12+1,1))</f>
        <v>37.174340347509542</v>
      </c>
      <c r="CE98" s="62">
        <f t="shared" si="94"/>
        <v>-42.822755675927624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16.200298958096866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16.200298958096866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4.125</v>
      </c>
      <c r="CT98" s="13">
        <f>IF('Données projet'!$A$140&gt;35,CT97+CS98-DB97,IF(A98&lt;'Données projet'!$A$140,$CQ$205^A98,IF(A98='Données projet'!$A$140,'Données projet'!$B$140,CT97+CS98-DB97)))</f>
        <v>122.62499999999999</v>
      </c>
      <c r="CU98" s="18">
        <f>CT98*VLOOKUP('Données projet'!$B$13,Paramètres!$A$1:$I$89,3,0)*VLOOKUP('Données projet'!$B$13,Paramètres!$A$1:$I$89,5,0)</f>
        <v>128.16765000000001</v>
      </c>
      <c r="CV98" s="14">
        <f t="shared" si="95"/>
        <v>33.572607881771283</v>
      </c>
      <c r="CW98" s="22">
        <f t="shared" si="67"/>
        <v>281.6976158107517</v>
      </c>
      <c r="CX98" s="62">
        <f t="shared" si="68"/>
        <v>575.03094914408507</v>
      </c>
      <c r="CY98" s="62">
        <f ca="1">AVERAGE(OFFSET($CX$3,0,0,'Données projet'!$E$13+1,1))-AVERAGE(OFFSET($H$3,0,0,'Données projet'!$E$13+1,1))</f>
        <v>63.282881814092605</v>
      </c>
      <c r="CZ98" s="62">
        <f t="shared" si="96"/>
        <v>-40.869120230674525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18.714138451594668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18.714138451594668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77.875199999999964</v>
      </c>
      <c r="D99" s="12">
        <f t="shared" si="86"/>
        <v>21.616848354491538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768.00879431537305</v>
      </c>
      <c r="H99" s="70">
        <f t="shared" si="56"/>
        <v>466.61531755073935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-5.6843418860808015E-14</v>
      </c>
      <c r="O99" s="14">
        <f>N99*VLOOKUP('Données projet'!$B$9,Paramètres!$A$1:$I$89,3,0)*VLOOKUP('Données projet'!$B$9,Paramètres!$A$1:$I$89,5,0)</f>
        <v>-2.8908289095852525E-14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121.64341556501768</v>
      </c>
      <c r="T99" s="62">
        <f t="shared" si="88"/>
        <v>370.21160497429781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20.592333869385758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20.592333869385758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projet'!$B$10,Paramètres!$A$1:$I$89,3,0)*VLOOKUP('Données projet'!$B$10,Paramètres!$A$1:$I$89,5,0)</f>
        <v>-3.2810021366458389E-14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140.99869591649082</v>
      </c>
      <c r="AO99" s="62">
        <f t="shared" si="90"/>
        <v>425.5885140588652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23.371667275069729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23.371667275069729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-5.6843418860808015E-14</v>
      </c>
      <c r="BE99" s="14">
        <f>BD99*VLOOKUP('Données projet'!$B$11,Paramètres!$A$1:$I$89,3,0)*VLOOKUP('Données projet'!$B$11,Paramètres!$A$1:$I$89,5,0)</f>
        <v>-3.2810021366458389E-14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140.99869591649082</v>
      </c>
      <c r="BJ99" s="62">
        <f t="shared" si="92"/>
        <v>425.5885140588652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23.371667275069729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23.371667275069729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4.125</v>
      </c>
      <c r="BY99" s="13">
        <f>IF('Données projet'!$A$114&gt;35,BY98+BX99-CG98,IF(A99&lt;'Données projet'!$A$114,$BV$205^A99,IF(A99='Données projet'!$A$114,'Données projet'!$B$114,BY98+BX99-CG98)))</f>
        <v>126.74999999999999</v>
      </c>
      <c r="BZ99" s="14">
        <f>BY99*VLOOKUP('Données projet'!$B$12,Paramètres!$A$1:$I$89,3,0)*VLOOKUP('Données projet'!$B$12,Paramètres!$A$1:$I$89,5,0)</f>
        <v>114.68339999999998</v>
      </c>
      <c r="CA99" s="14">
        <f t="shared" si="93"/>
        <v>30.431738236352274</v>
      </c>
      <c r="CB99" s="22">
        <f t="shared" si="64"/>
        <v>252.74219909498015</v>
      </c>
      <c r="CC99" s="62">
        <f t="shared" si="65"/>
        <v>546.07553242831341</v>
      </c>
      <c r="CD99" s="62">
        <f ca="1">AVERAGE(OFFSET($CC$3,0,0,'Données projet'!$E$12+1,1))-AVERAGE(OFFSET($H$3,0,0,'Données projet'!$E$12+1,1))</f>
        <v>37.174340347509542</v>
      </c>
      <c r="CE99" s="62">
        <f t="shared" si="94"/>
        <v>-42.822755675927624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15.882620976735263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15.882620976735263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4.125</v>
      </c>
      <c r="CT99" s="13">
        <f>IF('Données projet'!$A$140&gt;35,CT98+CS99-DB98,IF(A99&lt;'Données projet'!$A$140,$CQ$205^A99,IF(A99='Données projet'!$A$140,'Données projet'!$B$140,CT98+CS99-DB98)))</f>
        <v>126.74999999999999</v>
      </c>
      <c r="CU99" s="18">
        <f>CT99*VLOOKUP('Données projet'!$B$13,Paramètres!$A$1:$I$89,3,0)*VLOOKUP('Données projet'!$B$13,Paramètres!$A$1:$I$89,5,0)</f>
        <v>132.47910000000002</v>
      </c>
      <c r="CV99" s="14">
        <f t="shared" si="95"/>
        <v>34.568575232877805</v>
      </c>
      <c r="CW99" s="22">
        <f t="shared" si="67"/>
        <v>290.94136769726219</v>
      </c>
      <c r="CX99" s="62">
        <f t="shared" si="68"/>
        <v>584.27470103059545</v>
      </c>
      <c r="CY99" s="62">
        <f ca="1">AVERAGE(OFFSET($CX$3,0,0,'Données projet'!$E$13+1,1))-AVERAGE(OFFSET($H$3,0,0,'Données projet'!$E$13+1,1))</f>
        <v>63.282881814092605</v>
      </c>
      <c r="CZ99" s="62">
        <f t="shared" si="96"/>
        <v>-40.869120230674525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18.347165611056262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18.347165611056262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78.686399999999963</v>
      </c>
      <c r="D100" s="12">
        <f t="shared" si="86"/>
        <v>21.815693271997169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775.80563227506548</v>
      </c>
      <c r="H100" s="70">
        <f t="shared" si="56"/>
        <v>468.37447911539493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-5.6843418860808015E-14</v>
      </c>
      <c r="O100" s="14">
        <f>N100*VLOOKUP('Données projet'!$B$9,Paramètres!$A$1:$I$89,3,0)*VLOOKUP('Données projet'!$B$9,Paramètres!$A$1:$I$89,5,0)</f>
        <v>-2.8908289095852525E-14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121.64341556501768</v>
      </c>
      <c r="T100" s="62">
        <f t="shared" si="88"/>
        <v>370.21160497429781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20.188530762290558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20.188530762290558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projet'!$B$10,Paramètres!$A$1:$I$89,3,0)*VLOOKUP('Données projet'!$B$10,Paramètres!$A$1:$I$89,5,0)</f>
        <v>-3.2810021366458389E-14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140.99869591649082</v>
      </c>
      <c r="AO100" s="62">
        <f t="shared" si="90"/>
        <v>425.5885140588652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22.913363135115056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22.913363135115056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-5.6843418860808015E-14</v>
      </c>
      <c r="BE100" s="14">
        <f>BD100*VLOOKUP('Données projet'!$B$11,Paramètres!$A$1:$I$89,3,0)*VLOOKUP('Données projet'!$B$11,Paramètres!$A$1:$I$89,5,0)</f>
        <v>-3.2810021366458389E-14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140.99869591649082</v>
      </c>
      <c r="BJ100" s="62">
        <f t="shared" si="92"/>
        <v>425.5885140588652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22.913363135115056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22.913363135115056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4.125</v>
      </c>
      <c r="BY100" s="13">
        <f>IF('Données projet'!$A$114&gt;35,BY99+BX100-CG99,IF(A100&lt;'Données projet'!$A$114,$BV$205^A100,IF(A100='Données projet'!$A$114,'Données projet'!$B$114,BY99+BX100-CG99)))</f>
        <v>130.875</v>
      </c>
      <c r="BZ100" s="14">
        <f>BY100*VLOOKUP('Données projet'!$B$12,Paramètres!$A$1:$I$89,3,0)*VLOOKUP('Données projet'!$B$12,Paramètres!$A$1:$I$89,5,0)</f>
        <v>118.4157</v>
      </c>
      <c r="CA100" s="14">
        <f t="shared" si="93"/>
        <v>31.305202003864693</v>
      </c>
      <c r="CB100" s="22">
        <f t="shared" si="64"/>
        <v>260.76390432339764</v>
      </c>
      <c r="CC100" s="62">
        <f t="shared" si="65"/>
        <v>554.09723765673095</v>
      </c>
      <c r="CD100" s="62">
        <f ca="1">AVERAGE(OFFSET($CC$3,0,0,'Données projet'!$E$12+1,1))-AVERAGE(OFFSET($H$3,0,0,'Données projet'!$E$12+1,1))</f>
        <v>37.174340347509542</v>
      </c>
      <c r="CE100" s="62">
        <f t="shared" si="94"/>
        <v>-42.822755675927624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15.571172466823725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15.571172466823725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4.125</v>
      </c>
      <c r="CT100" s="13">
        <f>IF('Données projet'!$A$140&gt;35,CT99+CS100-DB99,IF(A100&lt;'Données projet'!$A$140,$CQ$205^A100,IF(A100='Données projet'!$A$140,'Données projet'!$B$140,CT99+CS100-DB99)))</f>
        <v>130.875</v>
      </c>
      <c r="CU100" s="18">
        <f>CT100*VLOOKUP('Données projet'!$B$13,Paramètres!$A$1:$I$89,3,0)*VLOOKUP('Données projet'!$B$13,Paramètres!$A$1:$I$89,5,0)</f>
        <v>136.79055</v>
      </c>
      <c r="CV100" s="14">
        <f t="shared" si="95"/>
        <v>35.560776129387136</v>
      </c>
      <c r="CW100" s="22">
        <f t="shared" si="67"/>
        <v>300.17855967534922</v>
      </c>
      <c r="CX100" s="62">
        <f t="shared" si="68"/>
        <v>593.51189300868259</v>
      </c>
      <c r="CY100" s="62">
        <f ca="1">AVERAGE(OFFSET($CX$3,0,0,'Données projet'!$E$13+1,1))-AVERAGE(OFFSET($H$3,0,0,'Données projet'!$E$13+1,1))</f>
        <v>63.282881814092605</v>
      </c>
      <c r="CZ100" s="62">
        <f t="shared" si="96"/>
        <v>-40.869120230674525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17.987388884089484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17.987388884089484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79.497599999999963</v>
      </c>
      <c r="D101" s="12">
        <f t="shared" si="86"/>
        <v>22.014299714245336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783.60062937312159</v>
      </c>
      <c r="H101" s="70">
        <f t="shared" si="56"/>
        <v>470.13322533564389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-5.6843418860808015E-14</v>
      </c>
      <c r="O101" s="14">
        <f>N101*VLOOKUP('Données projet'!$B$9,Paramètres!$A$1:$I$89,3,0)*VLOOKUP('Données projet'!$B$9,Paramètres!$A$1:$I$89,5,0)</f>
        <v>-2.8908289095852525E-14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121.64341556501768</v>
      </c>
      <c r="T101" s="62">
        <f t="shared" si="88"/>
        <v>370.21160497429781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19.792645987829921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19.792645987829921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projet'!$B$10,Paramètres!$A$1:$I$89,3,0)*VLOOKUP('Données projet'!$B$10,Paramètres!$A$1:$I$89,5,0)</f>
        <v>-3.2810021366458389E-14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140.99869591649082</v>
      </c>
      <c r="AO101" s="62">
        <f t="shared" si="90"/>
        <v>425.5885140588652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22.464046059806968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22.464046059806968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-5.6843418860808015E-14</v>
      </c>
      <c r="BE101" s="14">
        <f>BD101*VLOOKUP('Données projet'!$B$11,Paramètres!$A$1:$I$89,3,0)*VLOOKUP('Données projet'!$B$11,Paramètres!$A$1:$I$89,5,0)</f>
        <v>-3.2810021366458389E-14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140.99869591649082</v>
      </c>
      <c r="BJ101" s="62">
        <f t="shared" si="92"/>
        <v>425.5885140588652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22.464046059806968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22.464046059806968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>
        <f>VLOOKUP(A101,'Données projet'!$A$113:$I$133,2,0)</f>
        <v>135</v>
      </c>
      <c r="BW101" s="13">
        <f>VLOOKUP(A101,'Données projet'!$A$113:$I$133,9,0)</f>
        <v>4.125</v>
      </c>
      <c r="BX101" s="13">
        <f t="array" ref="BX101">INDEX(BW:BW,MIN(IF(ISNUMBER(BW101:BW297),ROW(BW101:BW297),"")))</f>
        <v>4.125</v>
      </c>
      <c r="BY101" s="13">
        <f>IF('Données projet'!$A$114&gt;35,BY100+BX101-CG100,IF(A101&lt;'Données projet'!$A$114,$BV$205^A101,IF(A101='Données projet'!$A$114,'Données projet'!$B$114,BY100+BX101-CG100)))</f>
        <v>135</v>
      </c>
      <c r="BZ101" s="14">
        <f>BY101*VLOOKUP('Données projet'!$B$12,Paramètres!$A$1:$I$89,3,0)*VLOOKUP('Données projet'!$B$12,Paramètres!$A$1:$I$89,5,0)</f>
        <v>122.148</v>
      </c>
      <c r="CA101" s="14">
        <f t="shared" si="93"/>
        <v>32.175466547071615</v>
      </c>
      <c r="CB101" s="22">
        <f t="shared" si="64"/>
        <v>268.78003756948306</v>
      </c>
      <c r="CC101" s="62">
        <f t="shared" si="65"/>
        <v>562.11337090281631</v>
      </c>
      <c r="CD101" s="62">
        <f ca="1">AVERAGE(OFFSET($CC$3,0,0,'Données projet'!$E$12+1,1))-AVERAGE(OFFSET($H$3,0,0,'Données projet'!$E$12+1,1))</f>
        <v>37.174340347509542</v>
      </c>
      <c r="CE101" s="62">
        <f t="shared" si="94"/>
        <v>-42.822755675927624</v>
      </c>
      <c r="CF101" s="16">
        <f>IF(ISNA(VLOOKUP(A101,'Données projet'!$A$113:$I$133,3,0)),0,VLOOKUP(A101,'Données projet'!$A$113:$I$133,3,0))</f>
        <v>12</v>
      </c>
      <c r="CG101" s="16">
        <f>IF(ISNA(VLOOKUP(A101,'Données projet'!$A$113:$I$133,4,0)),0,VLOOKUP(A101,'Données projet'!$A$113:$I$133,4,0))</f>
        <v>27</v>
      </c>
      <c r="CH101" s="17">
        <f>IF(ISNA(VLOOKUP(A101,'Données projet'!$A$113:$I$133,5,0)),0%,VLOOKUP(A101,'Données projet'!$A$113:$I$133,5,0)*VLOOKUP('Données projet'!$B$12,Paramètres!$A$1:$I$89,7,0))</f>
        <v>0.18489999999999998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20.25927750131839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20.25927750131839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>
        <f>VLOOKUP(A101,'Données projet'!$A$139:$I$159,2,0)</f>
        <v>135</v>
      </c>
      <c r="CR101" s="13">
        <f>VLOOKUP(A101,'Données projet'!$A$139:$I$159,9,0)</f>
        <v>4.125</v>
      </c>
      <c r="CS101" s="13">
        <f t="array" ref="CS101">INDEX(CR:CR,MIN(IF(ISNUMBER(CR101:CR297),ROW(CR101:CR297),"")))</f>
        <v>4.125</v>
      </c>
      <c r="CT101" s="13">
        <f>IF('Données projet'!$A$140&gt;35,CT100+CS101-DB100,IF(A101&lt;'Données projet'!$A$140,$CQ$205^A101,IF(A101='Données projet'!$A$140,'Données projet'!$B$140,CT100+CS101-DB100)))</f>
        <v>135</v>
      </c>
      <c r="CU101" s="18">
        <f>CT101*VLOOKUP('Données projet'!$B$13,Paramètres!$A$1:$I$89,3,0)*VLOOKUP('Données projet'!$B$13,Paramètres!$A$1:$I$89,5,0)</f>
        <v>141.102</v>
      </c>
      <c r="CV101" s="14">
        <f t="shared" si="95"/>
        <v>36.549342904663185</v>
      </c>
      <c r="CW101" s="22">
        <f t="shared" si="67"/>
        <v>309.40942222562171</v>
      </c>
      <c r="CX101" s="62">
        <f t="shared" si="68"/>
        <v>602.74275555895497</v>
      </c>
      <c r="CY101" s="62">
        <f ca="1">AVERAGE(OFFSET($CX$3,0,0,'Données projet'!$E$13+1,1))-AVERAGE(OFFSET($H$3,0,0,'Données projet'!$E$13+1,1))</f>
        <v>63.282881814092605</v>
      </c>
      <c r="CZ101" s="62">
        <f t="shared" si="96"/>
        <v>-40.869120230674525</v>
      </c>
      <c r="DA101" s="16">
        <f>IF(ISNA(VLOOKUP(A101,'Données projet'!$A$139:$I$159,3,0)),0,VLOOKUP(A101,'Données projet'!$A$139:$I$159,3,0))</f>
        <v>12</v>
      </c>
      <c r="DB101" s="16">
        <f>IF(ISNA(VLOOKUP(A101,'Données projet'!$A$139:$I$159,4,0)),0,VLOOKUP(A101,'Données projet'!$A$139:$I$159,4,0))</f>
        <v>27</v>
      </c>
      <c r="DC101" s="17">
        <f>IF(ISNA(VLOOKUP(A101,'Données projet'!$A$139:$I$159,5,0)),0%,VLOOKUP(A101,'Données projet'!$A$139:$I$159,5,0)*VLOOKUP('Données projet'!$B$13,Paramètres!$A$1:$I$89,7,0))</f>
        <v>0.18489999999999998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23.402958492902286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23.402958492902286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80.308799999999962</v>
      </c>
      <c r="D102" s="12">
        <f t="shared" si="86"/>
        <v>22.212670396389218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791.39380656861829</v>
      </c>
      <c r="H102" s="70">
        <f t="shared" si="56"/>
        <v>471.89156094037781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-5.6843418860808015E-14</v>
      </c>
      <c r="O102" s="14">
        <f>N102*VLOOKUP('Données projet'!$B$9,Paramètres!$A$1:$I$89,3,0)*VLOOKUP('Données projet'!$B$9,Paramètres!$A$1:$I$89,5,0)</f>
        <v>-2.8908289095852525E-14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121.64341556501768</v>
      </c>
      <c r="T102" s="62">
        <f t="shared" si="88"/>
        <v>370.21160497429781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19.404524272330587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19.404524272330587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projet'!$B$10,Paramètres!$A$1:$I$89,3,0)*VLOOKUP('Données projet'!$B$10,Paramètres!$A$1:$I$89,5,0)</f>
        <v>-3.2810021366458389E-14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140.99869591649082</v>
      </c>
      <c r="AO102" s="62">
        <f t="shared" si="90"/>
        <v>425.5885140588652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22.023539818289319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22.023539818289319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-5.6843418860808015E-14</v>
      </c>
      <c r="BE102" s="14">
        <f>BD102*VLOOKUP('Données projet'!$B$11,Paramètres!$A$1:$I$89,3,0)*VLOOKUP('Données projet'!$B$11,Paramètres!$A$1:$I$89,5,0)</f>
        <v>-3.2810021366458389E-14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140.99869591649082</v>
      </c>
      <c r="BJ102" s="62">
        <f t="shared" si="92"/>
        <v>425.5885140588652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22.023539818289319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22.023539818289319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4.875</v>
      </c>
      <c r="BY102" s="13">
        <f>IF('Données projet'!$A$114&gt;35,BY101+BX102-CG101,IF(A102&lt;'Données projet'!$A$114,$BV$205^A102,IF(A102='Données projet'!$A$114,'Données projet'!$B$114,BY101+BX102-CG101)))</f>
        <v>112.875</v>
      </c>
      <c r="BZ102" s="14">
        <f>BY102*VLOOKUP('Données projet'!$B$12,Paramètres!$A$1:$I$89,3,0)*VLOOKUP('Données projet'!$B$12,Paramètres!$A$1:$I$89,5,0)</f>
        <v>102.1293</v>
      </c>
      <c r="CA102" s="14">
        <f t="shared" si="93"/>
        <v>27.468650193353</v>
      </c>
      <c r="CB102" s="22">
        <f t="shared" si="64"/>
        <v>225.71642992008981</v>
      </c>
      <c r="CC102" s="62">
        <f t="shared" si="65"/>
        <v>519.04976325342318</v>
      </c>
      <c r="CD102" s="62">
        <f ca="1">AVERAGE(OFFSET($CC$3,0,0,'Données projet'!$E$12+1,1))-AVERAGE(OFFSET($H$3,0,0,'Données projet'!$E$12+1,1))</f>
        <v>37.174340347509542</v>
      </c>
      <c r="CE102" s="62">
        <f t="shared" si="94"/>
        <v>-42.822755675927624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19.862005426456665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19.862005426456665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4.875</v>
      </c>
      <c r="CT102" s="13">
        <f>IF('Données projet'!$A$140&gt;35,CT101+CS102-DB101,IF(A102&lt;'Données projet'!$A$140,$CQ$205^A102,IF(A102='Données projet'!$A$140,'Données projet'!$B$140,CT101+CS102-DB101)))</f>
        <v>112.875</v>
      </c>
      <c r="CU102" s="18">
        <f>CT102*VLOOKUP('Données projet'!$B$13,Paramètres!$A$1:$I$89,3,0)*VLOOKUP('Données projet'!$B$13,Paramètres!$A$1:$I$89,5,0)</f>
        <v>117.97695</v>
      </c>
      <c r="CV102" s="14">
        <f t="shared" si="95"/>
        <v>31.202690210453966</v>
      </c>
      <c r="CW102" s="22">
        <f t="shared" si="67"/>
        <v>259.82120669987393</v>
      </c>
      <c r="CX102" s="62">
        <f t="shared" si="68"/>
        <v>553.15454003320724</v>
      </c>
      <c r="CY102" s="62">
        <f ca="1">AVERAGE(OFFSET($CX$3,0,0,'Données projet'!$E$13+1,1))-AVERAGE(OFFSET($H$3,0,0,'Données projet'!$E$13+1,1))</f>
        <v>63.282881814092605</v>
      </c>
      <c r="CZ102" s="62">
        <f t="shared" si="96"/>
        <v>-40.869120230674525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22.944040751251674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22.944040751251674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81.119999999999962</v>
      </c>
      <c r="D103" s="12">
        <f t="shared" si="86"/>
        <v>22.410807975569163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799.18518437281443</v>
      </c>
      <c r="H103" s="70">
        <f t="shared" si="56"/>
        <v>473.64949055744955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-5.6843418860808015E-14</v>
      </c>
      <c r="O103" s="14">
        <f>N103*VLOOKUP('Données projet'!$B$9,Paramètres!$A$1:$I$89,3,0)*VLOOKUP('Données projet'!$B$9,Paramètres!$A$1:$I$89,5,0)</f>
        <v>-2.8908289095852525E-14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121.64341556501768</v>
      </c>
      <c r="T103" s="62">
        <f t="shared" si="88"/>
        <v>370.21160497429781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19.024013386941323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19.024013386941323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projet'!$B$10,Paramètres!$A$1:$I$89,3,0)*VLOOKUP('Données projet'!$B$10,Paramètres!$A$1:$I$89,5,0)</f>
        <v>-3.2810021366458389E-14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140.99869591649082</v>
      </c>
      <c r="AO103" s="62">
        <f t="shared" si="90"/>
        <v>425.5885140588652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21.591671635485554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21.591671635485554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-5.6843418860808015E-14</v>
      </c>
      <c r="BE103" s="14">
        <f>BD103*VLOOKUP('Données projet'!$B$11,Paramètres!$A$1:$I$89,3,0)*VLOOKUP('Données projet'!$B$11,Paramètres!$A$1:$I$89,5,0)</f>
        <v>-3.2810021366458389E-14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140.99869591649082</v>
      </c>
      <c r="BJ103" s="62">
        <f t="shared" si="92"/>
        <v>425.5885140588652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21.591671635485554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21.591671635485554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4.875</v>
      </c>
      <c r="BY103" s="13">
        <f>IF('Données projet'!$A$114&gt;35,BY102+BX103-CG102,IF(A103&lt;'Données projet'!$A$114,$BV$205^A103,IF(A103='Données projet'!$A$114,'Données projet'!$B$114,BY102+BX103-CG102)))</f>
        <v>117.75</v>
      </c>
      <c r="BZ103" s="14">
        <f>BY103*VLOOKUP('Données projet'!$B$12,Paramètres!$A$1:$I$89,3,0)*VLOOKUP('Données projet'!$B$12,Paramètres!$A$1:$I$89,5,0)</f>
        <v>106.54020000000001</v>
      </c>
      <c r="CA103" s="14">
        <f t="shared" si="93"/>
        <v>28.514318762694863</v>
      </c>
      <c r="CB103" s="22">
        <f t="shared" si="64"/>
        <v>235.21995351169357</v>
      </c>
      <c r="CC103" s="62">
        <f t="shared" si="65"/>
        <v>528.55328684502683</v>
      </c>
      <c r="CD103" s="62">
        <f ca="1">AVERAGE(OFFSET($CC$3,0,0,'Données projet'!$E$12+1,1))-AVERAGE(OFFSET($H$3,0,0,'Données projet'!$E$12+1,1))</f>
        <v>37.174340347509542</v>
      </c>
      <c r="CE103" s="62">
        <f t="shared" si="94"/>
        <v>-42.822755675927624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19.472523614670941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19.472523614670941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4.875</v>
      </c>
      <c r="CT103" s="13">
        <f>IF('Données projet'!$A$140&gt;35,CT102+CS103-DB102,IF(A103&lt;'Données projet'!$A$140,$CQ$205^A103,IF(A103='Données projet'!$A$140,'Données projet'!$B$140,CT102+CS103-DB102)))</f>
        <v>117.75</v>
      </c>
      <c r="CU103" s="18">
        <f>CT103*VLOOKUP('Données projet'!$B$13,Paramètres!$A$1:$I$89,3,0)*VLOOKUP('Données projet'!$B$13,Paramètres!$A$1:$I$89,5,0)</f>
        <v>123.0723</v>
      </c>
      <c r="CV103" s="14">
        <f t="shared" si="95"/>
        <v>32.390505126815562</v>
      </c>
      <c r="CW103" s="22">
        <f t="shared" si="67"/>
        <v>270.76438559587046</v>
      </c>
      <c r="CX103" s="62">
        <f t="shared" si="68"/>
        <v>564.09771892920378</v>
      </c>
      <c r="CY103" s="62">
        <f ca="1">AVERAGE(OFFSET($CX$3,0,0,'Données projet'!$E$13+1,1))-AVERAGE(OFFSET($H$3,0,0,'Données projet'!$E$13+1,1))</f>
        <v>63.282881814092605</v>
      </c>
      <c r="CZ103" s="62">
        <f t="shared" si="96"/>
        <v>-40.869120230674525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22.494122106602646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22.494122106602646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81.931199999999961</v>
      </c>
      <c r="D104" s="12">
        <f t="shared" si="86"/>
        <v>22.608715052719756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806.97478286309968</v>
      </c>
      <c r="H104" s="70">
        <f t="shared" si="56"/>
        <v>475.40701871682018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-5.6843418860808015E-14</v>
      </c>
      <c r="O104" s="14">
        <f>N104*VLOOKUP('Données projet'!$B$9,Paramètres!$A$1:$I$89,3,0)*VLOOKUP('Données projet'!$B$9,Paramètres!$A$1:$I$89,5,0)</f>
        <v>-2.8908289095852525E-14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121.64341556501768</v>
      </c>
      <c r="T104" s="62">
        <f t="shared" si="88"/>
        <v>370.21160497429781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18.650964087925818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18.650964087925818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-3.2810021366458389E-14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140.99869591649082</v>
      </c>
      <c r="AO104" s="62">
        <f t="shared" si="90"/>
        <v>425.5885140588652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21.168272124332987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21.168272124332987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-5.6843418860808015E-14</v>
      </c>
      <c r="BE104" s="14">
        <f>BD104*VLOOKUP('Données projet'!$B$11,Paramètres!$A$1:$I$89,3,0)*VLOOKUP('Données projet'!$B$11,Paramètres!$A$1:$I$89,5,0)</f>
        <v>-3.2810021366458389E-14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140.99869591649082</v>
      </c>
      <c r="BJ104" s="62">
        <f t="shared" si="92"/>
        <v>425.5885140588652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21.168272124332987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21.168272124332987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4.875</v>
      </c>
      <c r="BY104" s="13">
        <f>IF('Données projet'!$A$114&gt;35,BY103+BX104-CG103,IF(A104&lt;'Données projet'!$A$114,$BV$205^A104,IF(A104='Données projet'!$A$114,'Données projet'!$B$114,BY103+BX104-CG103)))</f>
        <v>122.625</v>
      </c>
      <c r="BZ104" s="14">
        <f>BY104*VLOOKUP('Données projet'!$B$12,Paramètres!$A$1:$I$89,3,0)*VLOOKUP('Données projet'!$B$12,Paramètres!$A$1:$I$89,5,0)</f>
        <v>110.95109999999998</v>
      </c>
      <c r="CA104" s="14">
        <f t="shared" si="93"/>
        <v>29.554958747563823</v>
      </c>
      <c r="CB104" s="22">
        <f t="shared" si="64"/>
        <v>244.71471898534026</v>
      </c>
      <c r="CC104" s="62">
        <f t="shared" si="65"/>
        <v>538.04805231867363</v>
      </c>
      <c r="CD104" s="62">
        <f ca="1">AVERAGE(OFFSET($CC$3,0,0,'Données projet'!$E$12+1,1))-AVERAGE(OFFSET($H$3,0,0,'Données projet'!$E$12+1,1))</f>
        <v>37.174340347509542</v>
      </c>
      <c r="CE104" s="62">
        <f t="shared" si="94"/>
        <v>-42.822755675927624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19.090679303653886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19.090679303653886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4.875</v>
      </c>
      <c r="CT104" s="13">
        <f>IF('Données projet'!$A$140&gt;35,CT103+CS104-DB103,IF(A104&lt;'Données projet'!$A$140,$CQ$205^A104,IF(A104='Données projet'!$A$140,'Données projet'!$B$140,CT103+CS104-DB103)))</f>
        <v>122.625</v>
      </c>
      <c r="CU104" s="18">
        <f>CT104*VLOOKUP('Données projet'!$B$13,Paramètres!$A$1:$I$89,3,0)*VLOOKUP('Données projet'!$B$13,Paramètres!$A$1:$I$89,5,0)</f>
        <v>128.16765000000001</v>
      </c>
      <c r="CV104" s="14">
        <f t="shared" si="95"/>
        <v>33.572607881771283</v>
      </c>
      <c r="CW104" s="22">
        <f t="shared" si="67"/>
        <v>281.6976158107517</v>
      </c>
      <c r="CX104" s="62">
        <f t="shared" si="68"/>
        <v>575.03094914408507</v>
      </c>
      <c r="CY104" s="62">
        <f ca="1">AVERAGE(OFFSET($CX$3,0,0,'Données projet'!$E$13+1,1))-AVERAGE(OFFSET($H$3,0,0,'Données projet'!$E$13+1,1))</f>
        <v>63.282881814092605</v>
      </c>
      <c r="CZ104" s="62">
        <f t="shared" si="96"/>
        <v>-40.869120230674525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22.05302609215191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22.05302609215191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82.742399999999961</v>
      </c>
      <c r="D105" s="12">
        <f t="shared" si="86"/>
        <v>22.806394174303183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814.76262169637505</v>
      </c>
      <c r="H105" s="70">
        <f t="shared" si="56"/>
        <v>477.16414985357795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-5.6843418860808015E-14</v>
      </c>
      <c r="O105" s="14">
        <f>N105*VLOOKUP('Données projet'!$B$9,Paramètres!$A$1:$I$89,3,0)*VLOOKUP('Données projet'!$B$9,Paramètres!$A$1:$I$89,5,0)</f>
        <v>-2.8908289095852525E-14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121.64341556501768</v>
      </c>
      <c r="T105" s="62">
        <f t="shared" si="88"/>
        <v>370.21160497429781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18.285230058126402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18.285230058126402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-3.2810021366458389E-14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140.99869591649082</v>
      </c>
      <c r="AO105" s="62">
        <f t="shared" si="90"/>
        <v>425.5885140588652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20.75317521934592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20.75317521934592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-5.6843418860808015E-14</v>
      </c>
      <c r="BE105" s="14">
        <f>BD105*VLOOKUP('Données projet'!$B$11,Paramètres!$A$1:$I$89,3,0)*VLOOKUP('Données projet'!$B$11,Paramètres!$A$1:$I$89,5,0)</f>
        <v>-3.2810021366458389E-14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140.99869591649082</v>
      </c>
      <c r="BJ105" s="62">
        <f t="shared" si="92"/>
        <v>425.5885140588652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20.75317521934592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20.75317521934592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4.875</v>
      </c>
      <c r="BY105" s="13">
        <f>IF('Données projet'!$A$114&gt;35,BY104+BX105-CG104,IF(A105&lt;'Données projet'!$A$114,$BV$205^A105,IF(A105='Données projet'!$A$114,'Données projet'!$B$114,BY104+BX105-CG104)))</f>
        <v>127.5</v>
      </c>
      <c r="BZ105" s="14">
        <f>BY105*VLOOKUP('Données projet'!$B$12,Paramètres!$A$1:$I$89,3,0)*VLOOKUP('Données projet'!$B$12,Paramètres!$A$1:$I$89,5,0)</f>
        <v>115.36199999999998</v>
      </c>
      <c r="CA105" s="14">
        <f t="shared" si="93"/>
        <v>30.590792934974772</v>
      </c>
      <c r="CB105" s="22">
        <f t="shared" si="64"/>
        <v>254.2011143617477</v>
      </c>
      <c r="CC105" s="62">
        <f t="shared" si="65"/>
        <v>547.53444769508098</v>
      </c>
      <c r="CD105" s="62">
        <f ca="1">AVERAGE(OFFSET($CC$3,0,0,'Données projet'!$E$12+1,1))-AVERAGE(OFFSET($H$3,0,0,'Données projet'!$E$12+1,1))</f>
        <v>37.174340347509542</v>
      </c>
      <c r="CE105" s="62">
        <f t="shared" si="94"/>
        <v>-42.822755675927624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18.716322726673841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18.716322726673841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4.875</v>
      </c>
      <c r="CT105" s="13">
        <f>IF('Données projet'!$A$140&gt;35,CT104+CS105-DB104,IF(A105&lt;'Données projet'!$A$140,$CQ$205^A105,IF(A105='Données projet'!$A$140,'Données projet'!$B$140,CT104+CS105-DB104)))</f>
        <v>127.5</v>
      </c>
      <c r="CU105" s="18">
        <f>CT105*VLOOKUP('Données projet'!$B$13,Paramètres!$A$1:$I$89,3,0)*VLOOKUP('Données projet'!$B$13,Paramètres!$A$1:$I$89,5,0)</f>
        <v>133.26300000000003</v>
      </c>
      <c r="CV105" s="14">
        <f t="shared" si="95"/>
        <v>34.749251547611173</v>
      </c>
      <c r="CW105" s="22">
        <f t="shared" si="67"/>
        <v>292.62133811208952</v>
      </c>
      <c r="CX105" s="62">
        <f t="shared" si="68"/>
        <v>585.95467144542283</v>
      </c>
      <c r="CY105" s="62">
        <f ca="1">AVERAGE(OFFSET($CX$3,0,0,'Données projet'!$E$13+1,1))-AVERAGE(OFFSET($H$3,0,0,'Données projet'!$E$13+1,1))</f>
        <v>63.282881814092605</v>
      </c>
      <c r="CZ105" s="62">
        <f t="shared" si="96"/>
        <v>-40.869120230674525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21.62057970150255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21.62057970150255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83.55359999999996</v>
      </c>
      <c r="D106" s="12">
        <f t="shared" si="86"/>
        <v>23.00384783397265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822.54872012189389</v>
      </c>
      <c r="H106" s="70">
        <f t="shared" si="56"/>
        <v>478.92088831083561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-5.6843418860808015E-14</v>
      </c>
      <c r="O106" s="14">
        <f>N106*VLOOKUP('Données projet'!$B$9,Paramètres!$A$1:$I$89,3,0)*VLOOKUP('Données projet'!$B$9,Paramètres!$A$1:$I$89,5,0)</f>
        <v>-2.8908289095852525E-14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121.64341556501768</v>
      </c>
      <c r="T106" s="62">
        <f t="shared" si="88"/>
        <v>370.21160497429781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17.926667849575622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17.926667849575622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-3.2810021366458389E-14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140.99869591649082</v>
      </c>
      <c r="AO106" s="62">
        <f t="shared" si="90"/>
        <v>425.5885140588652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20.346218111481537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20.346218111481537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-5.6843418860808015E-14</v>
      </c>
      <c r="BE106" s="14">
        <f>BD106*VLOOKUP('Données projet'!$B$11,Paramètres!$A$1:$I$89,3,0)*VLOOKUP('Données projet'!$B$11,Paramètres!$A$1:$I$89,5,0)</f>
        <v>-3.2810021366458389E-14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140.99869591649082</v>
      </c>
      <c r="BJ106" s="62">
        <f t="shared" si="92"/>
        <v>425.5885140588652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20.346218111481537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20.346218111481537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4.875</v>
      </c>
      <c r="BY106" s="13">
        <f>IF('Données projet'!$A$114&gt;35,BY105+BX106-CG105,IF(A106&lt;'Données projet'!$A$114,$BV$205^A106,IF(A106='Données projet'!$A$114,'Données projet'!$B$114,BY105+BX106-CG105)))</f>
        <v>132.375</v>
      </c>
      <c r="BZ106" s="14">
        <f>BY106*VLOOKUP('Données projet'!$B$12,Paramètres!$A$1:$I$89,3,0)*VLOOKUP('Données projet'!$B$12,Paramètres!$A$1:$I$89,5,0)</f>
        <v>119.77289999999999</v>
      </c>
      <c r="CA106" s="14">
        <f t="shared" si="93"/>
        <v>31.622026110406789</v>
      </c>
      <c r="CB106" s="22">
        <f t="shared" si="64"/>
        <v>263.67949630895845</v>
      </c>
      <c r="CC106" s="62">
        <f t="shared" si="65"/>
        <v>557.01282964229176</v>
      </c>
      <c r="CD106" s="62">
        <f ca="1">AVERAGE(OFFSET($CC$3,0,0,'Données projet'!$E$12+1,1))-AVERAGE(OFFSET($H$3,0,0,'Données projet'!$E$12+1,1))</f>
        <v>37.174340347509542</v>
      </c>
      <c r="CE106" s="62">
        <f t="shared" si="94"/>
        <v>-42.822755675927624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18.34930705383341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18.34930705383341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4.875</v>
      </c>
      <c r="CT106" s="13">
        <f>IF('Données projet'!$A$140&gt;35,CT105+CS106-DB105,IF(A106&lt;'Données projet'!$A$140,$CQ$205^A106,IF(A106='Données projet'!$A$140,'Données projet'!$B$140,CT105+CS106-DB105)))</f>
        <v>132.375</v>
      </c>
      <c r="CU106" s="18">
        <f>CT106*VLOOKUP('Données projet'!$B$13,Paramètres!$A$1:$I$89,3,0)*VLOOKUP('Données projet'!$B$13,Paramètres!$A$1:$I$89,5,0)</f>
        <v>138.35835000000003</v>
      </c>
      <c r="CV106" s="14">
        <f t="shared" si="95"/>
        <v>35.920668747992401</v>
      </c>
      <c r="CW106" s="22">
        <f t="shared" si="67"/>
        <v>303.5359576527535</v>
      </c>
      <c r="CX106" s="62">
        <f t="shared" si="68"/>
        <v>596.86929098608675</v>
      </c>
      <c r="CY106" s="62">
        <f ca="1">AVERAGE(OFFSET($CX$3,0,0,'Données projet'!$E$13+1,1))-AVERAGE(OFFSET($H$3,0,0,'Données projet'!$E$13+1,1))</f>
        <v>63.282881814092605</v>
      </c>
      <c r="CZ106" s="62">
        <f t="shared" si="96"/>
        <v>-40.869120230674525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21.196613320807568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21.196613320807568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84.36479999999996</v>
      </c>
      <c r="D107" s="12">
        <f t="shared" si="86"/>
        <v>23.201078474169361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830.33309699358779</v>
      </c>
      <c r="H107" s="70">
        <f t="shared" si="56"/>
        <v>480.67723834251154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-5.6843418860808015E-14</v>
      </c>
      <c r="O107" s="14">
        <f>N107*VLOOKUP('Données projet'!$B$9,Paramètres!$A$1:$I$89,3,0)*VLOOKUP('Données projet'!$B$9,Paramètres!$A$1:$I$89,5,0)</f>
        <v>-2.8908289095852525E-14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121.64341556501768</v>
      </c>
      <c r="T107" s="62">
        <f t="shared" si="88"/>
        <v>370.21160497429781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17.57513682723317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17.57513682723317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-3.2810021366458389E-14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140.99869591649082</v>
      </c>
      <c r="AO107" s="62">
        <f t="shared" si="90"/>
        <v>425.5885140588652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19.947241184283051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19.947241184283051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-5.6843418860808015E-14</v>
      </c>
      <c r="BE107" s="14">
        <f>BD107*VLOOKUP('Données projet'!$B$11,Paramètres!$A$1:$I$89,3,0)*VLOOKUP('Données projet'!$B$11,Paramètres!$A$1:$I$89,5,0)</f>
        <v>-3.2810021366458389E-14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140.99869591649082</v>
      </c>
      <c r="BJ107" s="62">
        <f t="shared" si="92"/>
        <v>425.5885140588652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19.947241184283051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19.947241184283051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4.875</v>
      </c>
      <c r="BY107" s="13">
        <f>IF('Données projet'!$A$114&gt;35,BY106+BX107-CG106,IF(A107&lt;'Données projet'!$A$114,$BV$205^A107,IF(A107='Données projet'!$A$114,'Données projet'!$B$114,BY106+BX107-CG106)))</f>
        <v>137.25</v>
      </c>
      <c r="BZ107" s="14">
        <f>BY107*VLOOKUP('Données projet'!$B$12,Paramètres!$A$1:$I$89,3,0)*VLOOKUP('Données projet'!$B$12,Paramètres!$A$1:$I$89,5,0)</f>
        <v>124.18379999999999</v>
      </c>
      <c r="CA107" s="14">
        <f t="shared" si="93"/>
        <v>32.648847121304541</v>
      </c>
      <c r="CB107" s="22">
        <f t="shared" si="64"/>
        <v>273.15019373627206</v>
      </c>
      <c r="CC107" s="62">
        <f t="shared" si="65"/>
        <v>566.48352706960532</v>
      </c>
      <c r="CD107" s="62">
        <f ca="1">AVERAGE(OFFSET($CC$3,0,0,'Données projet'!$E$12+1,1))-AVERAGE(OFFSET($H$3,0,0,'Données projet'!$E$12+1,1))</f>
        <v>37.174340347509542</v>
      </c>
      <c r="CE107" s="62">
        <f t="shared" si="94"/>
        <v>-42.822755675927624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17.989488334479926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17.989488334479926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4.875</v>
      </c>
      <c r="CT107" s="13">
        <f>IF('Données projet'!$A$140&gt;35,CT106+CS107-DB106,IF(A107&lt;'Données projet'!$A$140,$CQ$205^A107,IF(A107='Données projet'!$A$140,'Données projet'!$B$140,CT106+CS107-DB106)))</f>
        <v>137.25</v>
      </c>
      <c r="CU107" s="18">
        <f>CT107*VLOOKUP('Données projet'!$B$13,Paramètres!$A$1:$I$89,3,0)*VLOOKUP('Données projet'!$B$13,Paramètres!$A$1:$I$89,5,0)</f>
        <v>143.45370000000003</v>
      </c>
      <c r="CV107" s="14">
        <f t="shared" si="95"/>
        <v>37.087074001949169</v>
      </c>
      <c r="CW107" s="22">
        <f t="shared" si="67"/>
        <v>314.44184805339484</v>
      </c>
      <c r="CX107" s="62">
        <f t="shared" si="68"/>
        <v>607.77518138672815</v>
      </c>
      <c r="CY107" s="62">
        <f ca="1">AVERAGE(OFFSET($CX$3,0,0,'Données projet'!$E$13+1,1))-AVERAGE(OFFSET($H$3,0,0,'Données projet'!$E$13+1,1))</f>
        <v>63.282881814092605</v>
      </c>
      <c r="CZ107" s="62">
        <f t="shared" si="96"/>
        <v>-40.869120230674525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20.780960662244059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20.780960662244059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85.175999999999959</v>
      </c>
      <c r="D108" s="12">
        <f t="shared" si="86"/>
        <v>23.398088487656434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838.11577078190919</v>
      </c>
      <c r="H108" s="70">
        <f t="shared" si="56"/>
        <v>482.43320411600155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-5.6843418860808015E-14</v>
      </c>
      <c r="O108" s="14">
        <f>N108*VLOOKUP('Données projet'!$B$9,Paramètres!$A$1:$I$89,3,0)*VLOOKUP('Données projet'!$B$9,Paramètres!$A$1:$I$89,5,0)</f>
        <v>-2.8908289095852525E-14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121.64341556501768</v>
      </c>
      <c r="T108" s="62">
        <f t="shared" si="88"/>
        <v>370.21160497429781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17.230499113826102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17.230499113826102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-3.2810021366458389E-14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140.99869591649082</v>
      </c>
      <c r="AO108" s="62">
        <f t="shared" si="90"/>
        <v>425.5885140588652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19.556087951275028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19.556087951275028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-5.6843418860808015E-14</v>
      </c>
      <c r="BE108" s="14">
        <f>BD108*VLOOKUP('Données projet'!$B$11,Paramètres!$A$1:$I$89,3,0)*VLOOKUP('Données projet'!$B$11,Paramètres!$A$1:$I$89,5,0)</f>
        <v>-3.2810021366458389E-14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140.99869591649082</v>
      </c>
      <c r="BJ108" s="62">
        <f t="shared" si="92"/>
        <v>425.5885140588652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19.556087951275028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19.556087951275028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4.875</v>
      </c>
      <c r="BY108" s="13">
        <f>IF('Données projet'!$A$114&gt;35,BY107+BX108-CG107,IF(A108&lt;'Données projet'!$A$114,$BV$205^A108,IF(A108='Données projet'!$A$114,'Données projet'!$B$114,BY107+BX108-CG107)))</f>
        <v>142.125</v>
      </c>
      <c r="BZ108" s="14">
        <f>BY108*VLOOKUP('Données projet'!$B$12,Paramètres!$A$1:$I$89,3,0)*VLOOKUP('Données projet'!$B$12,Paramètres!$A$1:$I$89,5,0)</f>
        <v>128.59469999999999</v>
      </c>
      <c r="CA108" s="14">
        <f t="shared" si="93"/>
        <v>33.671430639165813</v>
      </c>
      <c r="CB108" s="22">
        <f t="shared" si="64"/>
        <v>282.61351086321378</v>
      </c>
      <c r="CC108" s="62">
        <f t="shared" si="65"/>
        <v>575.94684419654709</v>
      </c>
      <c r="CD108" s="62">
        <f ca="1">AVERAGE(OFFSET($CC$3,0,0,'Données projet'!$E$12+1,1))-AVERAGE(OFFSET($H$3,0,0,'Données projet'!$E$12+1,1))</f>
        <v>37.174340347509542</v>
      </c>
      <c r="CE108" s="62">
        <f t="shared" si="94"/>
        <v>-42.822755675927624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17.636725440745213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17.636725440745213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4.875</v>
      </c>
      <c r="CT108" s="13">
        <f>IF('Données projet'!$A$140&gt;35,CT107+CS108-DB107,IF(A108&lt;'Données projet'!$A$140,$CQ$205^A108,IF(A108='Données projet'!$A$140,'Données projet'!$B$140,CT107+CS108-DB107)))</f>
        <v>142.125</v>
      </c>
      <c r="CU108" s="18">
        <f>CT108*VLOOKUP('Données projet'!$B$13,Paramètres!$A$1:$I$89,3,0)*VLOOKUP('Données projet'!$B$13,Paramètres!$A$1:$I$89,5,0)</f>
        <v>148.54905000000002</v>
      </c>
      <c r="CV108" s="14">
        <f t="shared" si="95"/>
        <v>38.24866572551565</v>
      </c>
      <c r="CW108" s="22">
        <f t="shared" si="67"/>
        <v>325.33935488860647</v>
      </c>
      <c r="CX108" s="62">
        <f t="shared" si="68"/>
        <v>618.67268822193978</v>
      </c>
      <c r="CY108" s="62">
        <f ca="1">AVERAGE(OFFSET($CX$3,0,0,'Données projet'!$E$13+1,1))-AVERAGE(OFFSET($H$3,0,0,'Données projet'!$E$13+1,1))</f>
        <v>63.282881814092605</v>
      </c>
      <c r="CZ108" s="62">
        <f t="shared" si="96"/>
        <v>-40.869120230674525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20.373458698791893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20.373458698791893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85.987199999999959</v>
      </c>
      <c r="D109" s="12">
        <f t="shared" si="86"/>
        <v>23.594880218992504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845.89675958520502</v>
      </c>
      <c r="H109" s="70">
        <f t="shared" si="56"/>
        <v>484.18878971474516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-5.6843418860808015E-14</v>
      </c>
      <c r="O109" s="14">
        <f>N109*VLOOKUP('Données projet'!$B$9,Paramètres!$A$1:$I$89,3,0)*VLOOKUP('Données projet'!$B$9,Paramètres!$A$1:$I$89,5,0)</f>
        <v>-2.8908289095852525E-14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121.64341556501768</v>
      </c>
      <c r="T109" s="62">
        <f t="shared" si="88"/>
        <v>370.21160497429781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16.892619535770699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16.892619535770699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-3.2810021366458389E-14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140.99869591649082</v>
      </c>
      <c r="AO109" s="62">
        <f t="shared" si="90"/>
        <v>425.5885140588652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19.172604994586379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19.172604994586379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-5.6843418860808015E-14</v>
      </c>
      <c r="BE109" s="14">
        <f>BD109*VLOOKUP('Données projet'!$B$11,Paramètres!$A$1:$I$89,3,0)*VLOOKUP('Données projet'!$B$11,Paramètres!$A$1:$I$89,5,0)</f>
        <v>-3.2810021366458389E-14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140.99869591649082</v>
      </c>
      <c r="BJ109" s="62">
        <f t="shared" si="92"/>
        <v>425.5885140588652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19.172604994586379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19.172604994586379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>
        <f>VLOOKUP(A109,'Données projet'!$A$113:$I$133,2,0)</f>
        <v>147</v>
      </c>
      <c r="BW109" s="13">
        <f>VLOOKUP(A109,'Données projet'!$A$113:$I$133,9,0)</f>
        <v>4.875</v>
      </c>
      <c r="BX109" s="13">
        <f t="array" ref="BX109">INDEX(BW:BW,MIN(IF(ISNUMBER(BW109:BW305),ROW(BW109:BW305),"")))</f>
        <v>4.875</v>
      </c>
      <c r="BY109" s="13">
        <f>IF('Données projet'!$A$114&gt;35,BY108+BX109-CG108,IF(A109&lt;'Données projet'!$A$114,$BV$205^A109,IF(A109='Données projet'!$A$114,'Données projet'!$B$114,BY108+BX109-CG108)))</f>
        <v>147</v>
      </c>
      <c r="BZ109" s="14">
        <f>BY109*VLOOKUP('Données projet'!$B$12,Paramètres!$A$1:$I$89,3,0)*VLOOKUP('Données projet'!$B$12,Paramètres!$A$1:$I$89,5,0)</f>
        <v>133.00559999999999</v>
      </c>
      <c r="CA109" s="14">
        <f t="shared" si="93"/>
        <v>34.689938673073549</v>
      </c>
      <c r="CB109" s="22">
        <f t="shared" si="64"/>
        <v>292.06972985560304</v>
      </c>
      <c r="CC109" s="62">
        <f t="shared" si="65"/>
        <v>585.40306318893636</v>
      </c>
      <c r="CD109" s="62">
        <f ca="1">AVERAGE(OFFSET($CC$3,0,0,'Données projet'!$E$12+1,1))-AVERAGE(OFFSET($H$3,0,0,'Données projet'!$E$12+1,1))</f>
        <v>37.174340347509542</v>
      </c>
      <c r="CE109" s="62">
        <f t="shared" si="94"/>
        <v>-42.822755675927624</v>
      </c>
      <c r="CF109" s="16">
        <f>IF(ISNA(VLOOKUP(A109,'Données projet'!$A$113:$I$133,3,0)),0,VLOOKUP(A109,'Données projet'!$A$113:$I$133,3,0))</f>
        <v>13</v>
      </c>
      <c r="CG109" s="16">
        <f>IF(ISNA(VLOOKUP(A109,'Données projet'!$A$113:$I$133,4,0)),0,VLOOKUP(A109,'Données projet'!$A$113:$I$133,4,0))</f>
        <v>28</v>
      </c>
      <c r="CH109" s="17">
        <f>IF(ISNA(VLOOKUP(A109,'Données projet'!$A$113:$I$133,5,0)),0%,VLOOKUP(A109,'Données projet'!$A$113:$I$133,5,0)*VLOOKUP('Données projet'!$B$12,Paramètres!$A$1:$I$89,7,0))</f>
        <v>0.18489999999999998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22.469268694213515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22.469268694213515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>
        <f>VLOOKUP(A109,'Données projet'!$A$139:$I$159,2,0)</f>
        <v>147</v>
      </c>
      <c r="CR109" s="13">
        <f>VLOOKUP(A109,'Données projet'!$A$139:$I$159,9,0)</f>
        <v>4.875</v>
      </c>
      <c r="CS109" s="13">
        <f t="array" ref="CS109">INDEX(CR:CR,MIN(IF(ISNUMBER(CR109:CR305),ROW(CR109:CR305),"")))</f>
        <v>4.875</v>
      </c>
      <c r="CT109" s="13">
        <f>IF('Données projet'!$A$140&gt;35,CT108+CS109-DB108,IF(A109&lt;'Données projet'!$A$140,$CQ$205^A109,IF(A109='Données projet'!$A$140,'Données projet'!$B$140,CT108+CS109-DB108)))</f>
        <v>147</v>
      </c>
      <c r="CU109" s="18">
        <f>CT109*VLOOKUP('Données projet'!$B$13,Paramètres!$A$1:$I$89,3,0)*VLOOKUP('Données projet'!$B$13,Paramètres!$A$1:$I$89,5,0)</f>
        <v>153.64440000000002</v>
      </c>
      <c r="CV109" s="14">
        <f t="shared" si="95"/>
        <v>39.405627951004689</v>
      </c>
      <c r="CW109" s="22">
        <f t="shared" si="67"/>
        <v>336.22879868133322</v>
      </c>
      <c r="CX109" s="62">
        <f t="shared" si="68"/>
        <v>629.56213201466653</v>
      </c>
      <c r="CY109" s="62">
        <f ca="1">AVERAGE(OFFSET($CX$3,0,0,'Données projet'!$E$13+1,1))-AVERAGE(OFFSET($H$3,0,0,'Données projet'!$E$13+1,1))</f>
        <v>63.282881814092605</v>
      </c>
      <c r="CZ109" s="62">
        <f t="shared" si="96"/>
        <v>-40.869120230674525</v>
      </c>
      <c r="DA109" s="16">
        <f>IF(ISNA(VLOOKUP(A109,'Données projet'!$A$139:$I$159,3,0)),0,VLOOKUP(A109,'Données projet'!$A$139:$I$159,3,0))</f>
        <v>13</v>
      </c>
      <c r="DB109" s="16">
        <f>IF(ISNA(VLOOKUP(A109,'Données projet'!$A$139:$I$159,4,0)),0,VLOOKUP(A109,'Données projet'!$A$139:$I$159,4,0))</f>
        <v>28</v>
      </c>
      <c r="DC109" s="17">
        <f>IF(ISNA(VLOOKUP(A109,'Données projet'!$A$139:$I$159,5,0)),0%,VLOOKUP(A109,'Données projet'!$A$139:$I$159,5,0)*VLOOKUP('Données projet'!$B$13,Paramètres!$A$1:$I$89,7,0))</f>
        <v>0.18489999999999998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25.95587935366045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25.95587935366045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86.798399999999958</v>
      </c>
      <c r="D110" s="12">
        <f t="shared" si="86"/>
        <v>23.79145596594833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853.67608114065354</v>
      </c>
      <c r="H110" s="70">
        <f t="shared" si="56"/>
        <v>485.94399914069322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-5.6843418860808015E-14</v>
      </c>
      <c r="O110" s="14">
        <f>N110*VLOOKUP('Données projet'!$B$9,Paramètres!$A$1:$I$89,3,0)*VLOOKUP('Données projet'!$B$9,Paramètres!$A$1:$I$89,5,0)</f>
        <v>-2.8908289095852525E-14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121.64341556501768</v>
      </c>
      <c r="T110" s="62">
        <f t="shared" si="88"/>
        <v>370.21160497429781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16.561365570154766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16.561365570154766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-3.2810021366458389E-14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140.99869591649082</v>
      </c>
      <c r="AO110" s="62">
        <f t="shared" si="90"/>
        <v>425.5885140588652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18.796641904776887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18.796641904776887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-5.6843418860808015E-14</v>
      </c>
      <c r="BE110" s="14">
        <f>BD110*VLOOKUP('Données projet'!$B$11,Paramètres!$A$1:$I$89,3,0)*VLOOKUP('Données projet'!$B$11,Paramètres!$A$1:$I$89,5,0)</f>
        <v>-3.2810021366458389E-14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140.99869591649082</v>
      </c>
      <c r="BJ110" s="62">
        <f t="shared" si="92"/>
        <v>425.5885140588652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18.796641904776887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18.796641904776887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4.75</v>
      </c>
      <c r="BY110" s="13">
        <f>IF('Données projet'!$A$114&gt;35,BY109+BX110-CG109,IF(A110&lt;'Données projet'!$A$114,$BV$205^A110,IF(A110='Données projet'!$A$114,'Données projet'!$B$114,BY109+BX110-CG109)))</f>
        <v>123.75</v>
      </c>
      <c r="BZ110" s="14">
        <f>BY110*VLOOKUP('Données projet'!$B$12,Paramètres!$A$1:$I$89,3,0)*VLOOKUP('Données projet'!$B$12,Paramètres!$A$1:$I$89,5,0)</f>
        <v>111.96899999999999</v>
      </c>
      <c r="CA110" s="14">
        <f t="shared" si="93"/>
        <v>29.794416225358749</v>
      </c>
      <c r="CB110" s="22">
        <f t="shared" si="64"/>
        <v>246.90461659249979</v>
      </c>
      <c r="CC110" s="62">
        <f t="shared" si="65"/>
        <v>540.23794992583316</v>
      </c>
      <c r="CD110" s="62">
        <f ca="1">AVERAGE(OFFSET($CC$3,0,0,'Données projet'!$E$12+1,1))-AVERAGE(OFFSET($H$3,0,0,'Données projet'!$E$12+1,1))</f>
        <v>37.174340347509542</v>
      </c>
      <c r="CE110" s="62">
        <f t="shared" si="94"/>
        <v>-42.822755675927624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22.028660040020643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22.028660040020643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4.75</v>
      </c>
      <c r="CT110" s="13">
        <f>IF('Données projet'!$A$140&gt;35,CT109+CS110-DB109,IF(A110&lt;'Données projet'!$A$140,$CQ$205^A110,IF(A110='Données projet'!$A$140,'Données projet'!$B$140,CT109+CS110-DB109)))</f>
        <v>123.75</v>
      </c>
      <c r="CU110" s="18">
        <f>CT110*VLOOKUP('Données projet'!$B$13,Paramètres!$A$1:$I$89,3,0)*VLOOKUP('Données projet'!$B$13,Paramètres!$A$1:$I$89,5,0)</f>
        <v>129.34350000000001</v>
      </c>
      <c r="CV110" s="14">
        <f t="shared" si="95"/>
        <v>33.844616788128825</v>
      </c>
      <c r="CW110" s="22">
        <f t="shared" si="67"/>
        <v>284.21930340599107</v>
      </c>
      <c r="CX110" s="62">
        <f t="shared" si="68"/>
        <v>577.55263673932438</v>
      </c>
      <c r="CY110" s="62">
        <f ca="1">AVERAGE(OFFSET($CX$3,0,0,'Données projet'!$E$13+1,1))-AVERAGE(OFFSET($H$3,0,0,'Données projet'!$E$13+1,1))</f>
        <v>63.282881814092605</v>
      </c>
      <c r="CZ110" s="62">
        <f t="shared" si="96"/>
        <v>-40.869120230674525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25.446900391058342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25.446900391058342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87.609599999999958</v>
      </c>
      <c r="D111" s="12">
        <f t="shared" si="86"/>
        <v>23.987817980868776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861.45375283477608</v>
      </c>
      <c r="H111" s="70">
        <f t="shared" si="56"/>
        <v>487.69883631667966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-5.6843418860808015E-14</v>
      </c>
      <c r="O111" s="14">
        <f>N111*VLOOKUP('Données projet'!$B$9,Paramètres!$A$1:$I$89,3,0)*VLOOKUP('Données projet'!$B$9,Paramètres!$A$1:$I$89,5,0)</f>
        <v>-2.8908289095852525E-14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121.64341556501768</v>
      </c>
      <c r="T111" s="62">
        <f t="shared" si="88"/>
        <v>370.21160497429781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16.236607292759594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16.236607292759594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-3.2810021366458389E-14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140.99869591649082</v>
      </c>
      <c r="AO111" s="62">
        <f t="shared" si="90"/>
        <v>425.5885140588652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18.428051221843717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18.428051221843717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-5.6843418860808015E-14</v>
      </c>
      <c r="BE111" s="14">
        <f>BD111*VLOOKUP('Données projet'!$B$11,Paramètres!$A$1:$I$89,3,0)*VLOOKUP('Données projet'!$B$11,Paramètres!$A$1:$I$89,5,0)</f>
        <v>-3.2810021366458389E-14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140.99869591649082</v>
      </c>
      <c r="BJ111" s="62">
        <f t="shared" si="92"/>
        <v>425.5885140588652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18.428051221843717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18.428051221843717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4.75</v>
      </c>
      <c r="BY111" s="13">
        <f>IF('Données projet'!$A$114&gt;35,BY110+BX111-CG110,IF(A111&lt;'Données projet'!$A$114,$BV$205^A111,IF(A111='Données projet'!$A$114,'Données projet'!$B$114,BY110+BX111-CG110)))</f>
        <v>128.5</v>
      </c>
      <c r="BZ111" s="14">
        <f>BY111*VLOOKUP('Données projet'!$B$12,Paramètres!$A$1:$I$89,3,0)*VLOOKUP('Données projet'!$B$12,Paramètres!$A$1:$I$89,5,0)</f>
        <v>116.2668</v>
      </c>
      <c r="CA111" s="14">
        <f t="shared" si="93"/>
        <v>30.802696637636817</v>
      </c>
      <c r="CB111" s="22">
        <f t="shared" si="64"/>
        <v>256.14603997721747</v>
      </c>
      <c r="CC111" s="62">
        <f t="shared" si="65"/>
        <v>549.47937331055073</v>
      </c>
      <c r="CD111" s="62">
        <f ca="1">AVERAGE(OFFSET($CC$3,0,0,'Données projet'!$E$12+1,1))-AVERAGE(OFFSET($H$3,0,0,'Données projet'!$E$12+1,1))</f>
        <v>37.174340347509542</v>
      </c>
      <c r="CE111" s="62">
        <f t="shared" si="94"/>
        <v>-42.822755675927624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21.596691452791752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21.596691452791752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4.75</v>
      </c>
      <c r="CT111" s="13">
        <f>IF('Données projet'!$A$140&gt;35,CT110+CS111-DB110,IF(A111&lt;'Données projet'!$A$140,$CQ$205^A111,IF(A111='Données projet'!$A$140,'Données projet'!$B$140,CT110+CS111-DB110)))</f>
        <v>128.5</v>
      </c>
      <c r="CU111" s="18">
        <f>CT111*VLOOKUP('Données projet'!$B$13,Paramètres!$A$1:$I$89,3,0)*VLOOKUP('Données projet'!$B$13,Paramètres!$A$1:$I$89,5,0)</f>
        <v>134.3082</v>
      </c>
      <c r="CV111" s="14">
        <f t="shared" si="95"/>
        <v>34.989961067084131</v>
      </c>
      <c r="CW111" s="22">
        <f t="shared" si="67"/>
        <v>294.86096385850482</v>
      </c>
      <c r="CX111" s="62">
        <f t="shared" si="68"/>
        <v>588.19429719183813</v>
      </c>
      <c r="CY111" s="62">
        <f ca="1">AVERAGE(OFFSET($CX$3,0,0,'Données projet'!$E$13+1,1))-AVERAGE(OFFSET($H$3,0,0,'Données projet'!$E$13+1,1))</f>
        <v>63.282881814092605</v>
      </c>
      <c r="CZ111" s="62">
        <f t="shared" si="96"/>
        <v>-40.869120230674525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24.947902195466348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24.947902195466348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88.420799999999957</v>
      </c>
      <c r="D112" s="12">
        <f t="shared" si="86"/>
        <v>24.183968471983022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869.22979171355291</v>
      </c>
      <c r="H112" s="70">
        <f t="shared" si="56"/>
        <v>489.4533050887037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-5.6843418860808015E-14</v>
      </c>
      <c r="O112" s="14">
        <f>N112*VLOOKUP('Données projet'!$B$9,Paramètres!$A$1:$I$89,3,0)*VLOOKUP('Données projet'!$B$9,Paramètres!$A$1:$I$89,5,0)</f>
        <v>-2.8908289095852525E-14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121.64341556501768</v>
      </c>
      <c r="T112" s="62">
        <f t="shared" si="88"/>
        <v>370.21160497429781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15.918217327101152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15.918217327101152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-3.2810021366458389E-14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140.99869591649082</v>
      </c>
      <c r="AO112" s="62">
        <f t="shared" si="90"/>
        <v>425.5885140588652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18.06668837738475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18.06668837738475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-5.6843418860808015E-14</v>
      </c>
      <c r="BE112" s="14">
        <f>BD112*VLOOKUP('Données projet'!$B$11,Paramètres!$A$1:$I$89,3,0)*VLOOKUP('Données projet'!$B$11,Paramètres!$A$1:$I$89,5,0)</f>
        <v>-3.2810021366458389E-14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140.99869591649082</v>
      </c>
      <c r="BJ112" s="62">
        <f t="shared" si="92"/>
        <v>425.5885140588652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18.06668837738475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18.06668837738475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4.75</v>
      </c>
      <c r="BY112" s="13">
        <f>IF('Données projet'!$A$114&gt;35,BY111+BX112-CG111,IF(A112&lt;'Données projet'!$A$114,$BV$205^A112,IF(A112='Données projet'!$A$114,'Données projet'!$B$114,BY111+BX112-CG111)))</f>
        <v>133.25</v>
      </c>
      <c r="BZ112" s="14">
        <f>BY112*VLOOKUP('Données projet'!$B$12,Paramètres!$A$1:$I$89,3,0)*VLOOKUP('Données projet'!$B$12,Paramètres!$A$1:$I$89,5,0)</f>
        <v>120.5646</v>
      </c>
      <c r="CA112" s="14">
        <f t="shared" si="93"/>
        <v>31.806646976243858</v>
      </c>
      <c r="CB112" s="22">
        <f t="shared" si="64"/>
        <v>265.37992181695807</v>
      </c>
      <c r="CC112" s="62">
        <f t="shared" si="65"/>
        <v>558.71325515029139</v>
      </c>
      <c r="CD112" s="62">
        <f ca="1">AVERAGE(OFFSET($CC$3,0,0,'Données projet'!$E$12+1,1))-AVERAGE(OFFSET($H$3,0,0,'Données projet'!$E$12+1,1))</f>
        <v>37.174340347509542</v>
      </c>
      <c r="CE112" s="62">
        <f t="shared" si="94"/>
        <v>-42.822755675927624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21.173193506083599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21.173193506083599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4.75</v>
      </c>
      <c r="CT112" s="13">
        <f>IF('Données projet'!$A$140&gt;35,CT111+CS112-DB111,IF(A112&lt;'Données projet'!$A$140,$CQ$205^A112,IF(A112='Données projet'!$A$140,'Données projet'!$B$140,CT111+CS112-DB111)))</f>
        <v>133.25</v>
      </c>
      <c r="CU112" s="18">
        <f>CT112*VLOOKUP('Données projet'!$B$13,Paramètres!$A$1:$I$89,3,0)*VLOOKUP('Données projet'!$B$13,Paramètres!$A$1:$I$89,5,0)</f>
        <v>139.27290000000002</v>
      </c>
      <c r="CV112" s="14">
        <f t="shared" si="95"/>
        <v>36.130386649765882</v>
      </c>
      <c r="CW112" s="22">
        <f t="shared" si="67"/>
        <v>305.49405758167563</v>
      </c>
      <c r="CX112" s="62">
        <f t="shared" si="68"/>
        <v>598.82739091500889</v>
      </c>
      <c r="CY112" s="62">
        <f ca="1">AVERAGE(OFFSET($CX$3,0,0,'Données projet'!$E$13+1,1))-AVERAGE(OFFSET($H$3,0,0,'Données projet'!$E$13+1,1))</f>
        <v>63.282881814092605</v>
      </c>
      <c r="CZ112" s="62">
        <f t="shared" si="96"/>
        <v>-40.869120230674525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24.458689050131067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24.458689050131067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89.231999999999957</v>
      </c>
      <c r="D113" s="12">
        <f t="shared" si="86"/>
        <v>24.379909604665212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877.0042144921523</v>
      </c>
      <c r="H113" s="70">
        <f t="shared" si="56"/>
        <v>491.20740922812513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-5.6843418860808015E-14</v>
      </c>
      <c r="O113" s="14">
        <f>N113*VLOOKUP('Données projet'!$B$9,Paramètres!$A$1:$I$89,3,0)*VLOOKUP('Données projet'!$B$9,Paramètres!$A$1:$I$89,5,0)</f>
        <v>-2.8908289095852525E-14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121.64341556501768</v>
      </c>
      <c r="T113" s="62">
        <f t="shared" si="88"/>
        <v>370.21160497429781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15.606070794470568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15.606070794470568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-3.2810021366458389E-14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140.99869591649082</v>
      </c>
      <c r="AO113" s="62">
        <f t="shared" si="90"/>
        <v>425.5885140588652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17.71241163789605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17.71241163789605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-5.6843418860808015E-14</v>
      </c>
      <c r="BE113" s="14">
        <f>BD113*VLOOKUP('Données projet'!$B$11,Paramètres!$A$1:$I$89,3,0)*VLOOKUP('Données projet'!$B$11,Paramètres!$A$1:$I$89,5,0)</f>
        <v>-3.2810021366458389E-14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140.99869591649082</v>
      </c>
      <c r="BJ113" s="62">
        <f t="shared" si="92"/>
        <v>425.5885140588652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17.71241163789605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17.71241163789605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4.75</v>
      </c>
      <c r="BY113" s="13">
        <f>IF('Données projet'!$A$114&gt;35,BY112+BX113-CG112,IF(A113&lt;'Données projet'!$A$114,$BV$205^A113,IF(A113='Données projet'!$A$114,'Données projet'!$B$114,BY112+BX113-CG112)))</f>
        <v>138</v>
      </c>
      <c r="BZ113" s="14">
        <f>BY113*VLOOKUP('Données projet'!$B$12,Paramètres!$A$1:$I$89,3,0)*VLOOKUP('Données projet'!$B$12,Paramètres!$A$1:$I$89,5,0)</f>
        <v>124.86239999999999</v>
      </c>
      <c r="CA113" s="14">
        <f t="shared" si="93"/>
        <v>32.806439280561598</v>
      </c>
      <c r="CB113" s="22">
        <f t="shared" si="64"/>
        <v>274.60656174697812</v>
      </c>
      <c r="CC113" s="62">
        <f t="shared" si="65"/>
        <v>567.93989508031143</v>
      </c>
      <c r="CD113" s="62">
        <f ca="1">AVERAGE(OFFSET($CC$3,0,0,'Données projet'!$E$12+1,1))-AVERAGE(OFFSET($H$3,0,0,'Données projet'!$E$12+1,1))</f>
        <v>37.174340347509542</v>
      </c>
      <c r="CE113" s="62">
        <f t="shared" si="94"/>
        <v>-42.822755675927624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20.758000095802149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20.758000095802149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4.75</v>
      </c>
      <c r="CT113" s="13">
        <f>IF('Données projet'!$A$140&gt;35,CT112+CS113-DB112,IF(A113&lt;'Données projet'!$A$140,$CQ$205^A113,IF(A113='Données projet'!$A$140,'Données projet'!$B$140,CT112+CS113-DB112)))</f>
        <v>138</v>
      </c>
      <c r="CU113" s="18">
        <f>CT113*VLOOKUP('Données projet'!$B$13,Paramètres!$A$1:$I$89,3,0)*VLOOKUP('Données projet'!$B$13,Paramètres!$A$1:$I$89,5,0)</f>
        <v>144.23760000000001</v>
      </c>
      <c r="CV113" s="14">
        <f t="shared" si="95"/>
        <v>37.266088962286922</v>
      </c>
      <c r="CW113" s="22">
        <f t="shared" si="67"/>
        <v>316.1189249426497</v>
      </c>
      <c r="CX113" s="62">
        <f t="shared" si="68"/>
        <v>609.45225827598301</v>
      </c>
      <c r="CY113" s="62">
        <f ca="1">AVERAGE(OFFSET($CX$3,0,0,'Données projet'!$E$13+1,1))-AVERAGE(OFFSET($H$3,0,0,'Données projet'!$E$13+1,1))</f>
        <v>63.282881814092605</v>
      </c>
      <c r="CZ113" s="62">
        <f t="shared" si="96"/>
        <v>-40.869120230674525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23.979069076185255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23.979069076185255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90.043199999999956</v>
      </c>
      <c r="D114" s="12">
        <f t="shared" si="86"/>
        <v>24.575643502648031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884.77703756430037</v>
      </c>
      <c r="H114" s="70">
        <f t="shared" si="56"/>
        <v>492.96115243377858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-5.6843418860808015E-14</v>
      </c>
      <c r="O114" s="14">
        <f>N114*VLOOKUP('Données projet'!$B$9,Paramètres!$A$1:$I$89,3,0)*VLOOKUP('Données projet'!$B$9,Paramètres!$A$1:$I$89,5,0)</f>
        <v>-2.8908289095852525E-14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121.64341556501768</v>
      </c>
      <c r="T114" s="62">
        <f t="shared" si="88"/>
        <v>370.21160497429781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15.300045264954285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15.300045264954285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-3.2810021366458389E-14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140.99869591649082</v>
      </c>
      <c r="AO114" s="62">
        <f t="shared" si="90"/>
        <v>425.5885140588652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17.36508204918125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17.36508204918125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-5.6843418860808015E-14</v>
      </c>
      <c r="BE114" s="14">
        <f>BD114*VLOOKUP('Données projet'!$B$11,Paramètres!$A$1:$I$89,3,0)*VLOOKUP('Données projet'!$B$11,Paramètres!$A$1:$I$89,5,0)</f>
        <v>-3.2810021366458389E-14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140.99869591649082</v>
      </c>
      <c r="BJ114" s="62">
        <f t="shared" si="92"/>
        <v>425.5885140588652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17.36508204918125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17.36508204918125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4.75</v>
      </c>
      <c r="BY114" s="13">
        <f>IF('Données projet'!$A$114&gt;35,BY113+BX114-CG113,IF(A114&lt;'Données projet'!$A$114,$BV$205^A114,IF(A114='Données projet'!$A$114,'Données projet'!$B$114,BY113+BX114-CG113)))</f>
        <v>142.75</v>
      </c>
      <c r="BZ114" s="14">
        <f>BY114*VLOOKUP('Données projet'!$B$12,Paramètres!$A$1:$I$89,3,0)*VLOOKUP('Données projet'!$B$12,Paramètres!$A$1:$I$89,5,0)</f>
        <v>129.16019999999997</v>
      </c>
      <c r="CA114" s="14">
        <f t="shared" si="93"/>
        <v>33.80223307495099</v>
      </c>
      <c r="CB114" s="22">
        <f t="shared" si="64"/>
        <v>283.82623760553963</v>
      </c>
      <c r="CC114" s="62">
        <f t="shared" si="65"/>
        <v>577.159570938873</v>
      </c>
      <c r="CD114" s="62">
        <f ca="1">AVERAGE(OFFSET($CC$3,0,0,'Données projet'!$E$12+1,1))-AVERAGE(OFFSET($H$3,0,0,'Données projet'!$E$12+1,1))</f>
        <v>37.174340347509542</v>
      </c>
      <c r="CE114" s="62">
        <f t="shared" si="94"/>
        <v>-42.822755675927624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20.350948375053346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20.350948375053346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4.75</v>
      </c>
      <c r="CT114" s="13">
        <f>IF('Données projet'!$A$140&gt;35,CT113+CS114-DB113,IF(A114&lt;'Données projet'!$A$140,$CQ$205^A114,IF(A114='Données projet'!$A$140,'Données projet'!$B$140,CT113+CS114-DB113)))</f>
        <v>142.75</v>
      </c>
      <c r="CU114" s="18">
        <f>CT114*VLOOKUP('Données projet'!$B$13,Paramètres!$A$1:$I$89,3,0)*VLOOKUP('Données projet'!$B$13,Paramètres!$A$1:$I$89,5,0)</f>
        <v>149.20230000000004</v>
      </c>
      <c r="CV114" s="14">
        <f t="shared" si="95"/>
        <v>38.397249214469376</v>
      </c>
      <c r="CW114" s="22">
        <f t="shared" si="67"/>
        <v>326.73588154853422</v>
      </c>
      <c r="CX114" s="62">
        <f t="shared" si="68"/>
        <v>620.06921488186754</v>
      </c>
      <c r="CY114" s="62">
        <f ca="1">AVERAGE(OFFSET($CX$3,0,0,'Données projet'!$E$13+1,1))-AVERAGE(OFFSET($H$3,0,0,'Données projet'!$E$13+1,1))</f>
        <v>63.282881814092605</v>
      </c>
      <c r="CZ114" s="62">
        <f t="shared" si="96"/>
        <v>-40.869120230674525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23.508854157389223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23.508854157389223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90.854399999999956</v>
      </c>
      <c r="D115" s="12">
        <f t="shared" si="86"/>
        <v>24.771172249191263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892.5482770113008</v>
      </c>
      <c r="H115" s="70">
        <f t="shared" si="56"/>
        <v>494.71453833400801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-5.6843418860808015E-14</v>
      </c>
      <c r="O115" s="14">
        <f>N115*VLOOKUP('Données projet'!$B$9,Paramètres!$A$1:$I$89,3,0)*VLOOKUP('Données projet'!$B$9,Paramètres!$A$1:$I$89,5,0)</f>
        <v>-2.8908289095852525E-14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121.64341556501768</v>
      </c>
      <c r="T115" s="62">
        <f t="shared" si="88"/>
        <v>370.21160497429781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15.000020709414674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15.000020709414674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-3.2810021366458389E-14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140.99869591649082</v>
      </c>
      <c r="AO115" s="62">
        <f t="shared" si="90"/>
        <v>425.5885140588652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17.024563381851017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17.024563381851017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-5.6843418860808015E-14</v>
      </c>
      <c r="BE115" s="14">
        <f>BD115*VLOOKUP('Données projet'!$B$11,Paramètres!$A$1:$I$89,3,0)*VLOOKUP('Données projet'!$B$11,Paramètres!$A$1:$I$89,5,0)</f>
        <v>-3.2810021366458389E-14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140.99869591649082</v>
      </c>
      <c r="BJ115" s="62">
        <f t="shared" si="92"/>
        <v>425.5885140588652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17.024563381851017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17.024563381851017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4.75</v>
      </c>
      <c r="BY115" s="13">
        <f>IF('Données projet'!$A$114&gt;35,BY114+BX115-CG114,IF(A115&lt;'Données projet'!$A$114,$BV$205^A115,IF(A115='Données projet'!$A$114,'Données projet'!$B$114,BY114+BX115-CG114)))</f>
        <v>147.5</v>
      </c>
      <c r="BZ115" s="14">
        <f>BY115*VLOOKUP('Données projet'!$B$12,Paramètres!$A$1:$I$89,3,0)*VLOOKUP('Données projet'!$B$12,Paramètres!$A$1:$I$89,5,0)</f>
        <v>133.458</v>
      </c>
      <c r="CA115" s="14">
        <f t="shared" si="93"/>
        <v>34.794176665003405</v>
      </c>
      <c r="CB115" s="22">
        <f t="shared" si="64"/>
        <v>293.03920769154757</v>
      </c>
      <c r="CC115" s="62">
        <f t="shared" si="65"/>
        <v>586.37254102488089</v>
      </c>
      <c r="CD115" s="62">
        <f ca="1">AVERAGE(OFFSET($CC$3,0,0,'Données projet'!$E$12+1,1))-AVERAGE(OFFSET($H$3,0,0,'Données projet'!$E$12+1,1))</f>
        <v>37.174340347509542</v>
      </c>
      <c r="CE115" s="62">
        <f t="shared" si="94"/>
        <v>-42.822755675927624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19.951878690271389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19.951878690271389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4.75</v>
      </c>
      <c r="CT115" s="13">
        <f>IF('Données projet'!$A$140&gt;35,CT114+CS115-DB114,IF(A115&lt;'Données projet'!$A$140,$CQ$205^A115,IF(A115='Données projet'!$A$140,'Données projet'!$B$140,CT114+CS115-DB114)))</f>
        <v>147.5</v>
      </c>
      <c r="CU115" s="18">
        <f>CT115*VLOOKUP('Données projet'!$B$13,Paramètres!$A$1:$I$89,3,0)*VLOOKUP('Données projet'!$B$13,Paramètres!$A$1:$I$89,5,0)</f>
        <v>154.167</v>
      </c>
      <c r="CV115" s="14">
        <f t="shared" si="95"/>
        <v>39.524035872305944</v>
      </c>
      <c r="CW115" s="22">
        <f t="shared" si="67"/>
        <v>337.34522081093286</v>
      </c>
      <c r="CX115" s="62">
        <f t="shared" si="68"/>
        <v>630.67855414426617</v>
      </c>
      <c r="CY115" s="62">
        <f ca="1">AVERAGE(OFFSET($CX$3,0,0,'Données projet'!$E$13+1,1))-AVERAGE(OFFSET($H$3,0,0,'Données projet'!$E$13+1,1))</f>
        <v>63.282881814092605</v>
      </c>
      <c r="CZ115" s="62">
        <f t="shared" si="96"/>
        <v>-40.869120230674525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23.047859866347999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23.047859866347999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91.665599999999955</v>
      </c>
      <c r="D116" s="12">
        <f t="shared" si="86"/>
        <v>24.966497888207424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900.31794861072365</v>
      </c>
      <c r="H116" s="70">
        <f t="shared" si="56"/>
        <v>496.46757048862781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-5.6843418860808015E-14</v>
      </c>
      <c r="O116" s="14">
        <f>N116*VLOOKUP('Données projet'!$B$9,Paramètres!$A$1:$I$89,3,0)*VLOOKUP('Données projet'!$B$9,Paramètres!$A$1:$I$89,5,0)</f>
        <v>-2.8908289095852525E-14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121.64341556501768</v>
      </c>
      <c r="T116" s="62">
        <f t="shared" si="88"/>
        <v>370.21160497429781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14.705879452412285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14.705879452412285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-3.2810021366458389E-14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140.99869591649082</v>
      </c>
      <c r="AO116" s="62">
        <f t="shared" si="90"/>
        <v>425.5885140588652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16.690722077891252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16.690722077891252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-5.6843418860808015E-14</v>
      </c>
      <c r="BE116" s="14">
        <f>BD116*VLOOKUP('Données projet'!$B$11,Paramètres!$A$1:$I$89,3,0)*VLOOKUP('Données projet'!$B$11,Paramètres!$A$1:$I$89,5,0)</f>
        <v>-3.2810021366458389E-14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140.99869591649082</v>
      </c>
      <c r="BJ116" s="62">
        <f t="shared" si="92"/>
        <v>425.5885140588652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16.690722077891252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16.690722077891252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4.75</v>
      </c>
      <c r="BY116" s="13">
        <f>IF('Données projet'!$A$114&gt;35,BY115+BX116-CG115,IF(A116&lt;'Données projet'!$A$114,$BV$205^A116,IF(A116='Données projet'!$A$114,'Données projet'!$B$114,BY115+BX116-CG115)))</f>
        <v>152.25</v>
      </c>
      <c r="BZ116" s="14">
        <f>BY116*VLOOKUP('Données projet'!$B$12,Paramètres!$A$1:$I$89,3,0)*VLOOKUP('Données projet'!$B$12,Paramètres!$A$1:$I$89,5,0)</f>
        <v>137.75579999999999</v>
      </c>
      <c r="CA116" s="14">
        <f t="shared" si="93"/>
        <v>35.782408262126609</v>
      </c>
      <c r="CB116" s="22">
        <f t="shared" si="64"/>
        <v>302.24571272320384</v>
      </c>
      <c r="CC116" s="62">
        <f t="shared" si="65"/>
        <v>595.57904605653721</v>
      </c>
      <c r="CD116" s="62">
        <f ca="1">AVERAGE(OFFSET($CC$3,0,0,'Données projet'!$E$12+1,1))-AVERAGE(OFFSET($H$3,0,0,'Données projet'!$E$12+1,1))</f>
        <v>37.174340347509542</v>
      </c>
      <c r="CE116" s="62">
        <f t="shared" si="94"/>
        <v>-42.822755675927624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19.560634518599535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19.560634518599535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4.75</v>
      </c>
      <c r="CT116" s="13">
        <f>IF('Données projet'!$A$140&gt;35,CT115+CS116-DB115,IF(A116&lt;'Données projet'!$A$140,$CQ$205^A116,IF(A116='Données projet'!$A$140,'Données projet'!$B$140,CT115+CS116-DB115)))</f>
        <v>152.25</v>
      </c>
      <c r="CU116" s="18">
        <f>CT116*VLOOKUP('Données projet'!$B$13,Paramètres!$A$1:$I$89,3,0)*VLOOKUP('Données projet'!$B$13,Paramètres!$A$1:$I$89,5,0)</f>
        <v>159.13170000000002</v>
      </c>
      <c r="CV116" s="14">
        <f t="shared" si="95"/>
        <v>40.646605935420297</v>
      </c>
      <c r="CW116" s="22">
        <f t="shared" si="67"/>
        <v>347.94721617085708</v>
      </c>
      <c r="CX116" s="62">
        <f t="shared" si="68"/>
        <v>641.28054950419039</v>
      </c>
      <c r="CY116" s="62">
        <f ca="1">AVERAGE(OFFSET($CX$3,0,0,'Données projet'!$E$13+1,1))-AVERAGE(OFFSET($H$3,0,0,'Données projet'!$E$13+1,1))</f>
        <v>63.282881814092605</v>
      </c>
      <c r="CZ116" s="62">
        <f t="shared" si="96"/>
        <v>-40.869120230674525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22.595905392175339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22.595905392175339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92.476799999999955</v>
      </c>
      <c r="D117" s="12">
        <f t="shared" si="86"/>
        <v>25.161622425346401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908.086067844779</v>
      </c>
      <c r="H117" s="70">
        <f t="shared" si="56"/>
        <v>498.22025239081154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-5.6843418860808015E-14</v>
      </c>
      <c r="O117" s="14">
        <f>N117*VLOOKUP('Données projet'!$B$9,Paramètres!$A$1:$I$89,3,0)*VLOOKUP('Données projet'!$B$9,Paramètres!$A$1:$I$89,5,0)</f>
        <v>-2.8908289095852525E-14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121.64341556501768</v>
      </c>
      <c r="T117" s="62">
        <f t="shared" si="88"/>
        <v>370.21160497429781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14.417506126051261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14.417506126051261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-3.2810021366458389E-14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140.99869591649082</v>
      </c>
      <c r="AO117" s="62">
        <f t="shared" si="90"/>
        <v>425.5885140588652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16.363427198279048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16.363427198279048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-5.6843418860808015E-14</v>
      </c>
      <c r="BE117" s="14">
        <f>BD117*VLOOKUP('Données projet'!$B$11,Paramètres!$A$1:$I$89,3,0)*VLOOKUP('Données projet'!$B$11,Paramètres!$A$1:$I$89,5,0)</f>
        <v>-3.2810021366458389E-14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140.99869591649082</v>
      </c>
      <c r="BJ117" s="62">
        <f t="shared" si="92"/>
        <v>425.5885140588652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16.363427198279048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16.363427198279048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>
        <f>VLOOKUP(A117,'Données projet'!$A$113:$I$133,2,0)</f>
        <v>157</v>
      </c>
      <c r="BW117" s="13">
        <f>VLOOKUP(A117,'Données projet'!$A$113:$I$133,9,0)</f>
        <v>4.75</v>
      </c>
      <c r="BX117" s="13">
        <f t="array" ref="BX117">INDEX(BW:BW,MIN(IF(ISNUMBER(BW117:BW313),ROW(BW117:BW313),"")))</f>
        <v>4.75</v>
      </c>
      <c r="BY117" s="13">
        <f>IF('Données projet'!$A$114&gt;35,BY116+BX117-CG116,IF(A117&lt;'Données projet'!$A$114,$BV$205^A117,IF(A117='Données projet'!$A$114,'Données projet'!$B$114,BY116+BX117-CG116)))</f>
        <v>157</v>
      </c>
      <c r="BZ117" s="14">
        <f>BY117*VLOOKUP('Données projet'!$B$12,Paramètres!$A$1:$I$89,3,0)*VLOOKUP('Données projet'!$B$12,Paramètres!$A$1:$I$89,5,0)</f>
        <v>142.05359999999999</v>
      </c>
      <c r="CA117" s="14">
        <f t="shared" si="93"/>
        <v>36.767056963845924</v>
      </c>
      <c r="CB117" s="22">
        <f t="shared" si="64"/>
        <v>311.445977545365</v>
      </c>
      <c r="CC117" s="62">
        <f t="shared" si="65"/>
        <v>604.77931087869831</v>
      </c>
      <c r="CD117" s="62">
        <f ca="1">AVERAGE(OFFSET($CC$3,0,0,'Données projet'!$E$12+1,1))-AVERAGE(OFFSET($H$3,0,0,'Données projet'!$E$12+1,1))</f>
        <v>37.174340347509542</v>
      </c>
      <c r="CE117" s="62">
        <f t="shared" si="94"/>
        <v>-42.822755675927624</v>
      </c>
      <c r="CF117" s="16">
        <f>IF(ISNA(VLOOKUP(A117,'Données projet'!$A$113:$I$133,3,0)),0,VLOOKUP(A117,'Données projet'!$A$113:$I$133,3,0))</f>
        <v>14</v>
      </c>
      <c r="CG117" s="16">
        <f>IF(ISNA(VLOOKUP(A117,'Données projet'!$A$113:$I$133,4,0)),0,VLOOKUP(A117,'Données projet'!$A$113:$I$133,4,0))</f>
        <v>32</v>
      </c>
      <c r="CH117" s="17">
        <f>IF(ISNA(VLOOKUP(A117,'Données projet'!$A$113:$I$133,5,0)),0%,VLOOKUP(A117,'Données projet'!$A$113:$I$133,5,0)*VLOOKUP('Données projet'!$B$12,Paramètres!$A$1:$I$89,7,0))</f>
        <v>0.18489999999999998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25.095220900237067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25.095220900237067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>
        <f>VLOOKUP(A117,'Données projet'!$A$139:$I$159,2,0)</f>
        <v>157</v>
      </c>
      <c r="CR117" s="13">
        <f>VLOOKUP(A117,'Données projet'!$A$139:$I$159,9,0)</f>
        <v>4.75</v>
      </c>
      <c r="CS117" s="13">
        <f t="array" ref="CS117">INDEX(CR:CR,MIN(IF(ISNUMBER(CR117:CR313),ROW(CR117:CR313),"")))</f>
        <v>4.75</v>
      </c>
      <c r="CT117" s="13">
        <f>IF('Données projet'!$A$140&gt;35,CT116+CS117-DB116,IF(A117&lt;'Données projet'!$A$140,$CQ$205^A117,IF(A117='Données projet'!$A$140,'Données projet'!$B$140,CT116+CS117-DB116)))</f>
        <v>157</v>
      </c>
      <c r="CU117" s="18">
        <f>CT117*VLOOKUP('Données projet'!$B$13,Paramètres!$A$1:$I$89,3,0)*VLOOKUP('Données projet'!$B$13,Paramètres!$A$1:$I$89,5,0)</f>
        <v>164.09640000000002</v>
      </c>
      <c r="CV117" s="14">
        <f t="shared" si="95"/>
        <v>41.765106050628262</v>
      </c>
      <c r="CW117" s="22">
        <f t="shared" si="67"/>
        <v>358.54212303817758</v>
      </c>
      <c r="CX117" s="62">
        <f t="shared" si="68"/>
        <v>651.87545637151084</v>
      </c>
      <c r="CY117" s="62">
        <f ca="1">AVERAGE(OFFSET($CX$3,0,0,'Données projet'!$E$13+1,1))-AVERAGE(OFFSET($H$3,0,0,'Données projet'!$E$13+1,1))</f>
        <v>63.282881814092605</v>
      </c>
      <c r="CZ117" s="62">
        <f t="shared" si="96"/>
        <v>-40.869120230674525</v>
      </c>
      <c r="DA117" s="16">
        <f>IF(ISNA(VLOOKUP(A117,'Données projet'!$A$139:$I$159,3,0)),0,VLOOKUP(A117,'Données projet'!$A$139:$I$159,3,0))</f>
        <v>14</v>
      </c>
      <c r="DB117" s="16">
        <f>IF(ISNA(VLOOKUP(A117,'Données projet'!$A$139:$I$159,4,0)),0,VLOOKUP(A117,'Données projet'!$A$139:$I$159,4,0))</f>
        <v>32</v>
      </c>
      <c r="DC117" s="17">
        <f>IF(ISNA(VLOOKUP(A117,'Données projet'!$A$139:$I$159,5,0)),0%,VLOOKUP(A117,'Données projet'!$A$139:$I$159,5,0)*VLOOKUP('Données projet'!$B$13,Paramètres!$A$1:$I$89,7,0))</f>
        <v>0.18489999999999998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28.989306901998006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28.989306901998006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93.287999999999954</v>
      </c>
      <c r="D118" s="12">
        <f t="shared" si="86"/>
        <v>25.356547829040977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915.85264990838607</v>
      </c>
      <c r="H118" s="70">
        <f t="shared" si="56"/>
        <v>499.97258746891293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-5.6843418860808015E-14</v>
      </c>
      <c r="O118" s="14">
        <f>N118*VLOOKUP('Données projet'!$B$9,Paramètres!$A$1:$I$89,3,0)*VLOOKUP('Données projet'!$B$9,Paramètres!$A$1:$I$89,5,0)</f>
        <v>-2.8908289095852525E-14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121.64341556501768</v>
      </c>
      <c r="T118" s="62">
        <f t="shared" si="88"/>
        <v>370.21160497429781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14.134787624729816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14.134787624729816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-3.2810021366458389E-14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140.99869591649082</v>
      </c>
      <c r="AO118" s="62">
        <f t="shared" si="90"/>
        <v>425.5885140588652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16.042550371625875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16.042550371625875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-5.6843418860808015E-14</v>
      </c>
      <c r="BE118" s="14">
        <f>BD118*VLOOKUP('Données projet'!$B$11,Paramètres!$A$1:$I$89,3,0)*VLOOKUP('Données projet'!$B$11,Paramètres!$A$1:$I$89,5,0)</f>
        <v>-3.2810021366458389E-14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140.99869591649082</v>
      </c>
      <c r="BJ118" s="62">
        <f t="shared" si="92"/>
        <v>425.5885140588652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16.042550371625875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16.042550371625875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5.25</v>
      </c>
      <c r="BY118" s="13">
        <f>IF('Données projet'!$A$114&gt;35,BY117+BX118-CG117,IF(A118&lt;'Données projet'!$A$114,$BV$205^A118,IF(A118='Données projet'!$A$114,'Données projet'!$B$114,BY117+BX118-CG117)))</f>
        <v>130.25</v>
      </c>
      <c r="BZ118" s="14">
        <f>BY118*VLOOKUP('Données projet'!$B$12,Paramètres!$A$1:$I$89,3,0)*VLOOKUP('Données projet'!$B$12,Paramètres!$A$1:$I$89,5,0)</f>
        <v>117.8502</v>
      </c>
      <c r="CA118" s="14">
        <f t="shared" si="93"/>
        <v>31.173067437106159</v>
      </c>
      <c r="CB118" s="22">
        <f t="shared" si="64"/>
        <v>259.54885745295991</v>
      </c>
      <c r="CC118" s="62">
        <f t="shared" si="65"/>
        <v>552.88219078629322</v>
      </c>
      <c r="CD118" s="62">
        <f ca="1">AVERAGE(OFFSET($CC$3,0,0,'Données projet'!$E$12+1,1))-AVERAGE(OFFSET($H$3,0,0,'Données projet'!$E$12+1,1))</f>
        <v>37.174340347509542</v>
      </c>
      <c r="CE118" s="62">
        <f t="shared" si="94"/>
        <v>-42.822755675927624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24.603118924956767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24.603118924956767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5.25</v>
      </c>
      <c r="CT118" s="13">
        <f>IF('Données projet'!$A$140&gt;35,CT117+CS118-DB117,IF(A118&lt;'Données projet'!$A$140,$CQ$205^A118,IF(A118='Données projet'!$A$140,'Données projet'!$B$140,CT117+CS118-DB117)))</f>
        <v>130.25</v>
      </c>
      <c r="CU118" s="18">
        <f>CT118*VLOOKUP('Données projet'!$B$13,Paramètres!$A$1:$I$89,3,0)*VLOOKUP('Données projet'!$B$13,Paramètres!$A$1:$I$89,5,0)</f>
        <v>136.13730000000001</v>
      </c>
      <c r="CV118" s="14">
        <f t="shared" si="95"/>
        <v>35.410679421917472</v>
      </c>
      <c r="CW118" s="22">
        <f t="shared" si="67"/>
        <v>298.77939749317295</v>
      </c>
      <c r="CX118" s="62">
        <f t="shared" si="68"/>
        <v>592.11273082650632</v>
      </c>
      <c r="CY118" s="62">
        <f ca="1">AVERAGE(OFFSET($CX$3,0,0,'Données projet'!$E$13+1,1))-AVERAGE(OFFSET($H$3,0,0,'Données projet'!$E$13+1,1))</f>
        <v>63.282881814092605</v>
      </c>
      <c r="CZ118" s="62">
        <f t="shared" si="96"/>
        <v>-40.869120230674525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28.420844275381111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28.420844275381111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94.099199999999954</v>
      </c>
      <c r="D119" s="12">
        <f t="shared" si="86"/>
        <v>25.551276031514817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923.61770971695614</v>
      </c>
      <c r="H119" s="70">
        <f t="shared" si="56"/>
        <v>501.7245790882215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-2.8908289095852525E-14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121.64341556501768</v>
      </c>
      <c r="T119" s="62">
        <f t="shared" si="88"/>
        <v>370.21160497429781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13.857613060778025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13.857613060778025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-3.2810021366458389E-14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140.99869591649082</v>
      </c>
      <c r="AO119" s="62">
        <f t="shared" si="90"/>
        <v>425.5885140588652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15.727965743827831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15.727965743827831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-3.2810021366458389E-14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140.99869591649082</v>
      </c>
      <c r="BJ119" s="62">
        <f t="shared" si="92"/>
        <v>425.5885140588652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15.727965743827831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15.727965743827831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5.25</v>
      </c>
      <c r="BY119" s="13">
        <f>IF('Données projet'!$A$114&gt;35,BY118+BX119-CG118,IF(A119&lt;'Données projet'!$A$114,$BV$205^A119,IF(A119='Données projet'!$A$114,'Données projet'!$B$114,BY118+BX119-CG118)))</f>
        <v>135.5</v>
      </c>
      <c r="BZ119" s="14">
        <f>BY119*VLOOKUP('Données projet'!$B$12,Paramètres!$A$1:$I$89,3,0)*VLOOKUP('Données projet'!$B$12,Paramètres!$A$1:$I$89,5,0)</f>
        <v>122.60039999999999</v>
      </c>
      <c r="CA119" s="14">
        <f t="shared" si="93"/>
        <v>32.280741074383755</v>
      </c>
      <c r="CB119" s="22">
        <f t="shared" si="64"/>
        <v>269.75132070455169</v>
      </c>
      <c r="CC119" s="62">
        <f t="shared" si="65"/>
        <v>563.084654037885</v>
      </c>
      <c r="CD119" s="62">
        <f ca="1">AVERAGE(OFFSET($CC$3,0,0,'Données projet'!$E$12+1,1))-AVERAGE(OFFSET($H$3,0,0,'Données projet'!$E$12+1,1))</f>
        <v>37.174340347509542</v>
      </c>
      <c r="CE119" s="62">
        <f t="shared" si="94"/>
        <v>-42.822755675927624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24.120666769259149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24.120666769259149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5.25</v>
      </c>
      <c r="CT119" s="13">
        <f>IF('Données projet'!$A$140&gt;35,CT118+CS119-DB118,IF(A119&lt;'Données projet'!$A$140,$CQ$205^A119,IF(A119='Données projet'!$A$140,'Données projet'!$B$140,CT118+CS119-DB118)))</f>
        <v>135.5</v>
      </c>
      <c r="CU119" s="18">
        <f>CT119*VLOOKUP('Données projet'!$B$13,Paramètres!$A$1:$I$89,3,0)*VLOOKUP('Données projet'!$B$13,Paramètres!$A$1:$I$89,5,0)</f>
        <v>141.62460000000002</v>
      </c>
      <c r="CV119" s="14">
        <f t="shared" si="95"/>
        <v>36.668928266144341</v>
      </c>
      <c r="CW119" s="22">
        <f t="shared" si="67"/>
        <v>310.52789506353474</v>
      </c>
      <c r="CX119" s="62">
        <f t="shared" si="68"/>
        <v>603.861228396868</v>
      </c>
      <c r="CY119" s="62">
        <f ca="1">AVERAGE(OFFSET($CX$3,0,0,'Données projet'!$E$13+1,1))-AVERAGE(OFFSET($H$3,0,0,'Données projet'!$E$13+1,1))</f>
        <v>63.282881814092605</v>
      </c>
      <c r="CZ119" s="62">
        <f t="shared" si="96"/>
        <v>-40.869120230674525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27.863528854144207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27.863528854144207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94.910399999999953</v>
      </c>
      <c r="D120" s="12">
        <f t="shared" si="86"/>
        <v>25.745808929754968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931.38126191389767</v>
      </c>
      <c r="H120" s="70">
        <f t="shared" si="56"/>
        <v>503.47623055265649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-2.8908289095852525E-14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121.64341556501768</v>
      </c>
      <c r="T120" s="62">
        <f t="shared" si="88"/>
        <v>370.21160497429781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13.585873720965539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13.585873720965539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-3.2810021366458389E-14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140.99869591649082</v>
      </c>
      <c r="AO120" s="62">
        <f t="shared" si="90"/>
        <v>425.5885140588652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15.41954992870323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15.41954992870323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-3.2810021366458389E-14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140.99869591649082</v>
      </c>
      <c r="BJ120" s="62">
        <f t="shared" si="92"/>
        <v>425.5885140588652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15.41954992870323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15.41954992870323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5.25</v>
      </c>
      <c r="BY120" s="13">
        <f>IF('Données projet'!$A$114&gt;35,BY119+BX120-CG119,IF(A120&lt;'Données projet'!$A$114,$BV$205^A120,IF(A120='Données projet'!$A$114,'Données projet'!$B$114,BY119+BX120-CG119)))</f>
        <v>140.75</v>
      </c>
      <c r="BZ120" s="14">
        <f>BY120*VLOOKUP('Données projet'!$B$12,Paramètres!$A$1:$I$89,3,0)*VLOOKUP('Données projet'!$B$12,Paramètres!$A$1:$I$89,5,0)</f>
        <v>127.35059999999999</v>
      </c>
      <c r="CA120" s="14">
        <f t="shared" si="93"/>
        <v>33.383429074911994</v>
      </c>
      <c r="CB120" s="22">
        <f t="shared" si="64"/>
        <v>279.94510063880506</v>
      </c>
      <c r="CC120" s="62">
        <f t="shared" si="65"/>
        <v>573.27843397213837</v>
      </c>
      <c r="CD120" s="62">
        <f ca="1">AVERAGE(OFFSET($CC$3,0,0,'Données projet'!$E$12+1,1))-AVERAGE(OFFSET($H$3,0,0,'Données projet'!$E$12+1,1))</f>
        <v>37.174340347509542</v>
      </c>
      <c r="CE120" s="62">
        <f t="shared" si="94"/>
        <v>-42.822755675927624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23.647675206068001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23.647675206068001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5.25</v>
      </c>
      <c r="CT120" s="13">
        <f>IF('Données projet'!$A$140&gt;35,CT119+CS120-DB119,IF(A120&lt;'Données projet'!$A$140,$CQ$205^A120,IF(A120='Données projet'!$A$140,'Données projet'!$B$140,CT119+CS120-DB119)))</f>
        <v>140.75</v>
      </c>
      <c r="CU120" s="18">
        <f>CT120*VLOOKUP('Données projet'!$B$13,Paramètres!$A$1:$I$89,3,0)*VLOOKUP('Données projet'!$B$13,Paramètres!$A$1:$I$89,5,0)</f>
        <v>147.11190000000002</v>
      </c>
      <c r="CV120" s="14">
        <f t="shared" si="95"/>
        <v>37.921513734927025</v>
      </c>
      <c r="CW120" s="22">
        <f t="shared" si="67"/>
        <v>322.26652892166459</v>
      </c>
      <c r="CX120" s="62">
        <f t="shared" si="68"/>
        <v>615.5998622549979</v>
      </c>
      <c r="CY120" s="62">
        <f ca="1">AVERAGE(OFFSET($CX$3,0,0,'Données projet'!$E$13+1,1))-AVERAGE(OFFSET($H$3,0,0,'Données projet'!$E$13+1,1))</f>
        <v>63.282881814092605</v>
      </c>
      <c r="CZ120" s="62">
        <f t="shared" si="96"/>
        <v>-40.869120230674525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27.317142048388916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27.317142048388916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95.721599999999953</v>
      </c>
      <c r="D121" s="12">
        <f t="shared" si="86"/>
        <v>25.940148386449934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939.14332087785886</v>
      </c>
      <c r="H121" s="70">
        <f t="shared" si="56"/>
        <v>505.22754510640021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-2.8908289095852525E-14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121.64341556501768</v>
      </c>
      <c r="T121" s="62">
        <f t="shared" si="88"/>
        <v>370.21160497429781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13.319463023862145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13.319463023862145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-3.2810021366458389E-14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140.99869591649082</v>
      </c>
      <c r="AO121" s="62">
        <f t="shared" si="90"/>
        <v>425.5885140588652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15.117181959598149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15.117181959598149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-3.2810021366458389E-14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140.99869591649082</v>
      </c>
      <c r="BJ121" s="62">
        <f t="shared" si="92"/>
        <v>425.5885140588652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15.117181959598149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15.117181959598149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5.25</v>
      </c>
      <c r="BY121" s="13">
        <f>IF('Données projet'!$A$114&gt;35,BY120+BX121-CG120,IF(A121&lt;'Données projet'!$A$114,$BV$205^A121,IF(A121='Données projet'!$A$114,'Données projet'!$B$114,BY120+BX121-CG120)))</f>
        <v>146</v>
      </c>
      <c r="BZ121" s="14">
        <f>BY121*VLOOKUP('Données projet'!$B$12,Paramètres!$A$1:$I$89,3,0)*VLOOKUP('Données projet'!$B$12,Paramètres!$A$1:$I$89,5,0)</f>
        <v>132.10079999999999</v>
      </c>
      <c r="CA121" s="14">
        <f t="shared" si="93"/>
        <v>34.481338697931115</v>
      </c>
      <c r="CB121" s="22">
        <f t="shared" si="64"/>
        <v>290.13055823222999</v>
      </c>
      <c r="CC121" s="62">
        <f t="shared" si="65"/>
        <v>583.46389156556324</v>
      </c>
      <c r="CD121" s="62">
        <f ca="1">AVERAGE(OFFSET($CC$3,0,0,'Données projet'!$E$12+1,1))-AVERAGE(OFFSET($H$3,0,0,'Données projet'!$E$12+1,1))</f>
        <v>37.174340347509542</v>
      </c>
      <c r="CE121" s="62">
        <f t="shared" si="94"/>
        <v>-42.822755675927624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23.183958718934665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23.183958718934665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5.25</v>
      </c>
      <c r="CT121" s="13">
        <f>IF('Données projet'!$A$140&gt;35,CT120+CS121-DB120,IF(A121&lt;'Données projet'!$A$140,$CQ$205^A121,IF(A121='Données projet'!$A$140,'Données projet'!$B$140,CT120+CS121-DB120)))</f>
        <v>146</v>
      </c>
      <c r="CU121" s="18">
        <f>CT121*VLOOKUP('Données projet'!$B$13,Paramètres!$A$1:$I$89,3,0)*VLOOKUP('Données projet'!$B$13,Paramètres!$A$1:$I$89,5,0)</f>
        <v>152.59920000000002</v>
      </c>
      <c r="CV121" s="14">
        <f t="shared" si="95"/>
        <v>39.168671261962402</v>
      </c>
      <c r="CW121" s="22">
        <f t="shared" si="67"/>
        <v>333.99570911458454</v>
      </c>
      <c r="CX121" s="62">
        <f t="shared" si="68"/>
        <v>627.3290424479178</v>
      </c>
      <c r="CY121" s="62">
        <f ca="1">AVERAGE(OFFSET($CX$3,0,0,'Données projet'!$E$13+1,1))-AVERAGE(OFFSET($H$3,0,0,'Données projet'!$E$13+1,1))</f>
        <v>63.282881814092605</v>
      </c>
      <c r="CZ121" s="62">
        <f t="shared" si="96"/>
        <v>-40.869120230674525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26.781469554631443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26.781469554631443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96.532799999999952</v>
      </c>
      <c r="D122" s="12">
        <f t="shared" si="86"/>
        <v>26.134296230894964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946.90390072971513</v>
      </c>
      <c r="H122" s="70">
        <f t="shared" si="56"/>
        <v>506.97852593547532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-2.8908289095852525E-14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121.64341556501768</v>
      </c>
      <c r="T122" s="62">
        <f t="shared" si="88"/>
        <v>370.21160497429781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13.058276478034468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13.058276478034468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-3.2810021366458389E-14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140.99869591649082</v>
      </c>
      <c r="AO122" s="62">
        <f t="shared" si="90"/>
        <v>425.5885140588652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14.820743241940969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14.820743241940969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-3.2810021366458389E-14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140.99869591649082</v>
      </c>
      <c r="BJ122" s="62">
        <f t="shared" si="92"/>
        <v>425.5885140588652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14.820743241940969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14.820743241940969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5.25</v>
      </c>
      <c r="BY122" s="13">
        <f>IF('Données projet'!$A$114&gt;35,BY121+BX122-CG121,IF(A122&lt;'Données projet'!$A$114,$BV$205^A122,IF(A122='Données projet'!$A$114,'Données projet'!$B$114,BY121+BX122-CG121)))</f>
        <v>151.25</v>
      </c>
      <c r="BZ122" s="14">
        <f>BY122*VLOOKUP('Données projet'!$B$12,Paramètres!$A$1:$I$89,3,0)*VLOOKUP('Données projet'!$B$12,Paramètres!$A$1:$I$89,5,0)</f>
        <v>136.851</v>
      </c>
      <c r="CA122" s="14">
        <f t="shared" si="93"/>
        <v>35.574661452157265</v>
      </c>
      <c r="CB122" s="22">
        <f t="shared" si="64"/>
        <v>300.3080270291739</v>
      </c>
      <c r="CC122" s="62">
        <f t="shared" si="65"/>
        <v>593.64136036250716</v>
      </c>
      <c r="CD122" s="62">
        <f ca="1">AVERAGE(OFFSET($CC$3,0,0,'Données projet'!$E$12+1,1))-AVERAGE(OFFSET($H$3,0,0,'Données projet'!$E$12+1,1))</f>
        <v>37.174340347509542</v>
      </c>
      <c r="CE122" s="62">
        <f t="shared" si="94"/>
        <v>-42.822755675927624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22.729335429274887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22.729335429274887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5.25</v>
      </c>
      <c r="CT122" s="13">
        <f>IF('Données projet'!$A$140&gt;35,CT121+CS122-DB121,IF(A122&lt;'Données projet'!$A$140,$CQ$205^A122,IF(A122='Données projet'!$A$140,'Données projet'!$B$140,CT121+CS122-DB121)))</f>
        <v>151.25</v>
      </c>
      <c r="CU122" s="18">
        <f>CT122*VLOOKUP('Données projet'!$B$13,Paramètres!$A$1:$I$89,3,0)*VLOOKUP('Données projet'!$B$13,Paramètres!$A$1:$I$89,5,0)</f>
        <v>158.0865</v>
      </c>
      <c r="CV122" s="14">
        <f t="shared" si="95"/>
        <v>40.410618389324853</v>
      </c>
      <c r="CW122" s="22">
        <f t="shared" si="67"/>
        <v>345.71581452807413</v>
      </c>
      <c r="CX122" s="62">
        <f t="shared" si="68"/>
        <v>639.04914786140739</v>
      </c>
      <c r="CY122" s="62">
        <f ca="1">AVERAGE(OFFSET($CX$3,0,0,'Données projet'!$E$13+1,1))-AVERAGE(OFFSET($H$3,0,0,'Données projet'!$E$13+1,1))</f>
        <v>63.282881814092605</v>
      </c>
      <c r="CZ122" s="62">
        <f t="shared" si="96"/>
        <v>-40.869120230674525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26.256301271748594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26.256301271748594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97.343999999999951</v>
      </c>
      <c r="D123" s="12">
        <f t="shared" si="86"/>
        <v>26.328254259866451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954.66301533931983</v>
      </c>
      <c r="H123" s="70">
        <f t="shared" si="56"/>
        <v>508.7291761692673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-2.8908289095852525E-14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121.64341556501768</v>
      </c>
      <c r="T123" s="62">
        <f t="shared" si="88"/>
        <v>370.21160497429781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12.802211641062408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12.802211641062408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-3.2810021366458389E-14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140.99869591649082</v>
      </c>
      <c r="AO123" s="62">
        <f t="shared" si="90"/>
        <v>425.5885140588652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14.530117506727281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14.530117506727281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-3.2810021366458389E-14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140.99869591649082</v>
      </c>
      <c r="BJ123" s="62">
        <f t="shared" si="92"/>
        <v>425.5885140588652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14.530117506727281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14.530117506727281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5.25</v>
      </c>
      <c r="BY123" s="13">
        <f>IF('Données projet'!$A$114&gt;35,BY122+BX123-CG122,IF(A123&lt;'Données projet'!$A$114,$BV$205^A123,IF(A123='Données projet'!$A$114,'Données projet'!$B$114,BY122+BX123-CG122)))</f>
        <v>156.5</v>
      </c>
      <c r="BZ123" s="14">
        <f>BY123*VLOOKUP('Données projet'!$B$12,Paramètres!$A$1:$I$89,3,0)*VLOOKUP('Données projet'!$B$12,Paramètres!$A$1:$I$89,5,0)</f>
        <v>141.60120000000001</v>
      </c>
      <c r="CA123" s="14">
        <f t="shared" si="93"/>
        <v>36.66357479752002</v>
      </c>
      <c r="CB123" s="22">
        <f t="shared" si="64"/>
        <v>310.47781610568069</v>
      </c>
      <c r="CC123" s="62">
        <f t="shared" si="65"/>
        <v>603.811149439014</v>
      </c>
      <c r="CD123" s="62">
        <f ca="1">AVERAGE(OFFSET($CC$3,0,0,'Données projet'!$E$12+1,1))-AVERAGE(OFFSET($H$3,0,0,'Données projet'!$E$12+1,1))</f>
        <v>37.174340347509542</v>
      </c>
      <c r="CE123" s="62">
        <f t="shared" si="94"/>
        <v>-42.822755675927624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22.283627025032509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22.283627025032509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5.25</v>
      </c>
      <c r="CT123" s="13">
        <f>IF('Données projet'!$A$140&gt;35,CT122+CS123-DB122,IF(A123&lt;'Données projet'!$A$140,$CQ$205^A123,IF(A123='Données projet'!$A$140,'Données projet'!$B$140,CT122+CS123-DB122)))</f>
        <v>156.5</v>
      </c>
      <c r="CU123" s="18">
        <f>CT123*VLOOKUP('Données projet'!$B$13,Paramètres!$A$1:$I$89,3,0)*VLOOKUP('Données projet'!$B$13,Paramètres!$A$1:$I$89,5,0)</f>
        <v>163.57380000000001</v>
      </c>
      <c r="CV123" s="14">
        <f t="shared" si="95"/>
        <v>41.647556700534814</v>
      </c>
      <c r="CW123" s="22">
        <f t="shared" si="67"/>
        <v>357.42719625343148</v>
      </c>
      <c r="CX123" s="62">
        <f t="shared" si="68"/>
        <v>650.76052958676473</v>
      </c>
      <c r="CY123" s="62">
        <f ca="1">AVERAGE(OFFSET($CX$3,0,0,'Données projet'!$E$13+1,1))-AVERAGE(OFFSET($H$3,0,0,'Données projet'!$E$13+1,1))</f>
        <v>63.282881814092605</v>
      </c>
      <c r="CZ123" s="62">
        <f t="shared" si="96"/>
        <v>-40.869120230674525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25.741431218572053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25.741431218572053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98.155199999999951</v>
      </c>
      <c r="D124" s="12">
        <f t="shared" si="86"/>
        <v>26.522024238465754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962.42067833201588</v>
      </c>
      <c r="H124" s="70">
        <f t="shared" si="56"/>
        <v>510.4794988819944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-2.8908289095852525E-14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121.64341556501768</v>
      </c>
      <c r="T124" s="62">
        <f t="shared" si="88"/>
        <v>370.21160497429781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12.551168079359243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12.551168079359243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-3.2810021366458389E-14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140.99869591649082</v>
      </c>
      <c r="AO124" s="62">
        <f t="shared" si="90"/>
        <v>425.5885140588652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14.24519076491694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14.24519076491694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-3.2810021366458389E-14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140.99869591649082</v>
      </c>
      <c r="BJ124" s="62">
        <f t="shared" si="92"/>
        <v>425.5885140588652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14.24519076491694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14.24519076491694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5.25</v>
      </c>
      <c r="BY124" s="13">
        <f>IF('Données projet'!$A$114&gt;35,BY123+BX124-CG123,IF(A124&lt;'Données projet'!$A$114,$BV$205^A124,IF(A124='Données projet'!$A$114,'Données projet'!$B$114,BY123+BX124-CG123)))</f>
        <v>161.75</v>
      </c>
      <c r="BZ124" s="14">
        <f>BY124*VLOOKUP('Données projet'!$B$12,Paramètres!$A$1:$I$89,3,0)*VLOOKUP('Données projet'!$B$12,Paramètres!$A$1:$I$89,5,0)</f>
        <v>146.35140000000001</v>
      </c>
      <c r="CA124" s="14">
        <f t="shared" si="93"/>
        <v>37.748243612136747</v>
      </c>
      <c r="CB124" s="22">
        <f t="shared" si="64"/>
        <v>320.64021262447153</v>
      </c>
      <c r="CC124" s="62">
        <f t="shared" si="65"/>
        <v>613.97354595780484</v>
      </c>
      <c r="CD124" s="62">
        <f ca="1">AVERAGE(OFFSET($CC$3,0,0,'Données projet'!$E$12+1,1))-AVERAGE(OFFSET($H$3,0,0,'Données projet'!$E$12+1,1))</f>
        <v>37.174340347509542</v>
      </c>
      <c r="CE124" s="62">
        <f t="shared" si="94"/>
        <v>-42.822755675927624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21.846658690742039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21.846658690742039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5.25</v>
      </c>
      <c r="CT124" s="13">
        <f>IF('Données projet'!$A$140&gt;35,CT123+CS124-DB123,IF(A124&lt;'Données projet'!$A$140,$CQ$205^A124,IF(A124='Données projet'!$A$140,'Données projet'!$B$140,CT123+CS124-DB123)))</f>
        <v>161.75</v>
      </c>
      <c r="CU124" s="18">
        <f>CT124*VLOOKUP('Données projet'!$B$13,Paramètres!$A$1:$I$89,3,0)*VLOOKUP('Données projet'!$B$13,Paramètres!$A$1:$I$89,5,0)</f>
        <v>169.06110000000001</v>
      </c>
      <c r="CV124" s="14">
        <f t="shared" si="95"/>
        <v>42.879673486951027</v>
      </c>
      <c r="CW124" s="22">
        <f t="shared" si="67"/>
        <v>369.13018048977301</v>
      </c>
      <c r="CX124" s="62">
        <f t="shared" si="68"/>
        <v>662.46351382310627</v>
      </c>
      <c r="CY124" s="62">
        <f ca="1">AVERAGE(OFFSET($CX$3,0,0,'Données projet'!$E$13+1,1))-AVERAGE(OFFSET($H$3,0,0,'Données projet'!$E$13+1,1))</f>
        <v>63.282881814092605</v>
      </c>
      <c r="CZ124" s="62">
        <f t="shared" si="96"/>
        <v>-40.869120230674525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25.23665745309858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25.23665745309858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98.96639999999995</v>
      </c>
      <c r="D125" s="12">
        <f t="shared" si="86"/>
        <v>26.715607900934927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970.17690309493594</v>
      </c>
      <c r="H125" s="70">
        <f t="shared" si="56"/>
        <v>512.22949709412819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-2.8908289095852525E-14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121.64341556501768</v>
      </c>
      <c r="T125" s="62">
        <f t="shared" si="88"/>
        <v>370.21160497429781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12.305047328779624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12.305047328779624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-3.2810021366458389E-14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140.99869591649082</v>
      </c>
      <c r="AO125" s="62">
        <f t="shared" si="90"/>
        <v>425.5885140588652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13.965851262725346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13.965851262725346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-3.2810021366458389E-14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140.99869591649082</v>
      </c>
      <c r="BJ125" s="62">
        <f t="shared" si="92"/>
        <v>425.5885140588652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13.965851262725346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13.965851262725346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>
        <f>VLOOKUP(A125,'Données projet'!$A$113:$I$133,2,0)</f>
        <v>167</v>
      </c>
      <c r="BW125" s="13">
        <f>VLOOKUP(A125,'Données projet'!$A$113:$I$133,9,0)</f>
        <v>5.25</v>
      </c>
      <c r="BX125" s="13">
        <f t="array" ref="BX125">INDEX(BW:BW,MIN(IF(ISNUMBER(BW125:BW321),ROW(BW125:BW321),"")))</f>
        <v>5.25</v>
      </c>
      <c r="BY125" s="13">
        <f>IF('Données projet'!$A$114&gt;35,BY124+BX125-CG124,IF(A125&lt;'Données projet'!$A$114,$BV$205^A125,IF(A125='Données projet'!$A$114,'Données projet'!$B$114,BY124+BX125-CG124)))</f>
        <v>167</v>
      </c>
      <c r="BZ125" s="14">
        <f>BY125*VLOOKUP('Données projet'!$B$12,Paramètres!$A$1:$I$89,3,0)*VLOOKUP('Données projet'!$B$12,Paramètres!$A$1:$I$89,5,0)</f>
        <v>151.10159999999999</v>
      </c>
      <c r="CA125" s="14">
        <f t="shared" si="93"/>
        <v>38.82882146347977</v>
      </c>
      <c r="CB125" s="22">
        <f t="shared" si="64"/>
        <v>330.79548404889391</v>
      </c>
      <c r="CC125" s="62">
        <f t="shared" si="65"/>
        <v>624.12881738222723</v>
      </c>
      <c r="CD125" s="62">
        <f ca="1">AVERAGE(OFFSET($CC$3,0,0,'Données projet'!$E$12+1,1))-AVERAGE(OFFSET($H$3,0,0,'Données projet'!$E$12+1,1))</f>
        <v>37.174340347509542</v>
      </c>
      <c r="CE125" s="62">
        <f t="shared" si="94"/>
        <v>-42.822755675927624</v>
      </c>
      <c r="CF125" s="16">
        <f>IF(ISNA(VLOOKUP(A125,'Données projet'!$A$113:$I$133,3,0)),0,VLOOKUP(A125,'Données projet'!$A$113:$I$133,3,0))</f>
        <v>15</v>
      </c>
      <c r="CG125" s="16">
        <f>IF(ISNA(VLOOKUP(A125,'Données projet'!$A$113:$I$133,4,0)),0,VLOOKUP(A125,'Données projet'!$A$113:$I$133,4,0))</f>
        <v>31</v>
      </c>
      <c r="CH125" s="17">
        <f>IF(ISNA(VLOOKUP(A125,'Données projet'!$A$113:$I$133,5,0)),0%,VLOOKUP(A125,'Données projet'!$A$113:$I$133,5,0)*VLOOKUP('Données projet'!$B$12,Paramètres!$A$1:$I$89,7,0))</f>
        <v>0.18489999999999998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27.1514750797716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27.1514750797716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>
        <f>VLOOKUP(A125,'Données projet'!$A$139:$I$159,2,0)</f>
        <v>167</v>
      </c>
      <c r="CR125" s="13">
        <f>VLOOKUP(A125,'Données projet'!$A$139:$I$159,9,0)</f>
        <v>5.25</v>
      </c>
      <c r="CS125" s="13">
        <f t="array" ref="CS125">INDEX(CR:CR,MIN(IF(ISNUMBER(CR125:CR321),ROW(CR125:CR321),"")))</f>
        <v>5.25</v>
      </c>
      <c r="CT125" s="13">
        <f>IF('Données projet'!$A$140&gt;35,CT124+CS125-DB124,IF(A125&lt;'Données projet'!$A$140,$CQ$205^A125,IF(A125='Données projet'!$A$140,'Données projet'!$B$140,CT124+CS125-DB124)))</f>
        <v>167</v>
      </c>
      <c r="CU125" s="18">
        <f>CT125*VLOOKUP('Données projet'!$B$13,Paramètres!$A$1:$I$89,3,0)*VLOOKUP('Données projet'!$B$13,Paramètres!$A$1:$I$89,5,0)</f>
        <v>174.54840000000002</v>
      </c>
      <c r="CV125" s="14">
        <f t="shared" si="95"/>
        <v>44.107143191738089</v>
      </c>
      <c r="CW125" s="22">
        <f t="shared" si="67"/>
        <v>380.82507105894382</v>
      </c>
      <c r="CX125" s="62">
        <f t="shared" si="68"/>
        <v>674.15840439227713</v>
      </c>
      <c r="CY125" s="62">
        <f ca="1">AVERAGE(OFFSET($CX$3,0,0,'Données projet'!$E$13+1,1))-AVERAGE(OFFSET($H$3,0,0,'Données projet'!$E$13+1,1))</f>
        <v>63.282881814092605</v>
      </c>
      <c r="CZ125" s="62">
        <f t="shared" si="96"/>
        <v>-40.869120230674525</v>
      </c>
      <c r="DA125" s="16">
        <f>IF(ISNA(VLOOKUP(A125,'Données projet'!$A$139:$I$159,3,0)),0,VLOOKUP(A125,'Données projet'!$A$139:$I$159,3,0))</f>
        <v>15</v>
      </c>
      <c r="DB125" s="16">
        <f>IF(ISNA(VLOOKUP(A125,'Données projet'!$A$139:$I$159,4,0)),0,VLOOKUP(A125,'Données projet'!$A$139:$I$159,4,0))</f>
        <v>31</v>
      </c>
      <c r="DC125" s="17">
        <f>IF(ISNA(VLOOKUP(A125,'Données projet'!$A$139:$I$159,5,0)),0%,VLOOKUP(A125,'Données projet'!$A$139:$I$159,5,0)*VLOOKUP('Données projet'!$B$13,Paramètres!$A$1:$I$89,7,0))</f>
        <v>0.18489999999999998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31.364635005943075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31.364635005943075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99.77759999999995</v>
      </c>
      <c r="D126" s="12">
        <f t="shared" si="86"/>
        <v>26.909006951444532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977.93170278308014</v>
      </c>
      <c r="H126" s="70">
        <f t="shared" si="56"/>
        <v>513.97917377376575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-2.8908289095852525E-14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121.64341556501768</v>
      </c>
      <c r="T126" s="62">
        <f t="shared" si="88"/>
        <v>370.21160497429781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12.063752856000036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12.063752856000036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-3.2810021366458389E-14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140.99869591649082</v>
      </c>
      <c r="AO126" s="62">
        <f t="shared" si="90"/>
        <v>425.5885140588652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13.691989437791458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13.691989437791458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-3.2810021366458389E-14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140.99869591649082</v>
      </c>
      <c r="BJ126" s="62">
        <f t="shared" si="92"/>
        <v>425.5885140588652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13.691989437791458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13.691989437791458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5.125</v>
      </c>
      <c r="BY126" s="13">
        <f>IF('Données projet'!$A$114&gt;35,BY125+BX126-CG125,IF(A126&lt;'Données projet'!$A$114,$BV$205^A126,IF(A126='Données projet'!$A$114,'Données projet'!$B$114,BY125+BX126-CG125)))</f>
        <v>141.125</v>
      </c>
      <c r="BZ126" s="14">
        <f>BY126*VLOOKUP('Données projet'!$B$12,Paramètres!$A$1:$I$89,3,0)*VLOOKUP('Données projet'!$B$12,Paramètres!$A$1:$I$89,5,0)</f>
        <v>127.68989999999999</v>
      </c>
      <c r="CA126" s="14">
        <f t="shared" si="93"/>
        <v>33.462007303591541</v>
      </c>
      <c r="CB126" s="22">
        <f t="shared" si="64"/>
        <v>280.67290522042191</v>
      </c>
      <c r="CC126" s="62">
        <f t="shared" si="65"/>
        <v>574.00623855375522</v>
      </c>
      <c r="CD126" s="62">
        <f ca="1">AVERAGE(OFFSET($CC$3,0,0,'Données projet'!$E$12+1,1))-AVERAGE(OFFSET($H$3,0,0,'Données projet'!$E$12+1,1))</f>
        <v>37.174340347509542</v>
      </c>
      <c r="CE126" s="62">
        <f t="shared" si="94"/>
        <v>-42.822755675927624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26.619051214221837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26.619051214221837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5.125</v>
      </c>
      <c r="CT126" s="13">
        <f>IF('Données projet'!$A$140&gt;35,CT125+CS126-DB125,IF(A126&lt;'Données projet'!$A$140,$CQ$205^A126,IF(A126='Données projet'!$A$140,'Données projet'!$B$140,CT125+CS126-DB125)))</f>
        <v>141.125</v>
      </c>
      <c r="CU126" s="18">
        <f>CT126*VLOOKUP('Données projet'!$B$13,Paramètres!$A$1:$I$89,3,0)*VLOOKUP('Données projet'!$B$13,Paramètres!$A$1:$I$89,5,0)</f>
        <v>147.50385000000003</v>
      </c>
      <c r="CV126" s="14">
        <f t="shared" si="95"/>
        <v>38.010773749871895</v>
      </c>
      <c r="CW126" s="22">
        <f t="shared" si="67"/>
        <v>323.10463636436026</v>
      </c>
      <c r="CX126" s="62">
        <f t="shared" si="68"/>
        <v>616.43796969769357</v>
      </c>
      <c r="CY126" s="62">
        <f ca="1">AVERAGE(OFFSET($CX$3,0,0,'Données projet'!$E$13+1,1))-AVERAGE(OFFSET($H$3,0,0,'Données projet'!$E$13+1,1))</f>
        <v>63.282881814092605</v>
      </c>
      <c r="CZ126" s="62">
        <f t="shared" si="96"/>
        <v>-40.869120230674525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30.749593644014901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30.749593644014901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100.58879999999995</v>
      </c>
      <c r="D127" s="12">
        <f t="shared" si="86"/>
        <v>27.102223064855114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985.68509032519705</v>
      </c>
      <c r="H127" s="70">
        <f t="shared" si="56"/>
        <v>515.72853183795587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-2.8908289095852525E-14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121.64341556501768</v>
      </c>
      <c r="T127" s="62">
        <f t="shared" si="88"/>
        <v>370.21160497429781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11.827190020656559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11.827190020656559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-3.2810021366458389E-14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140.99869591649082</v>
      </c>
      <c r="AO127" s="62">
        <f t="shared" si="90"/>
        <v>425.5885140588652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13.423497876205303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13.423497876205303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-3.2810021366458389E-14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140.99869591649082</v>
      </c>
      <c r="BJ127" s="62">
        <f t="shared" si="92"/>
        <v>425.5885140588652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13.423497876205303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13.423497876205303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5.125</v>
      </c>
      <c r="BY127" s="13">
        <f>IF('Données projet'!$A$114&gt;35,BY126+BX127-CG126,IF(A127&lt;'Données projet'!$A$114,$BV$205^A127,IF(A127='Données projet'!$A$114,'Données projet'!$B$114,BY126+BX127-CG126)))</f>
        <v>146.25</v>
      </c>
      <c r="BZ127" s="14">
        <f>BY127*VLOOKUP('Données projet'!$B$12,Paramètres!$A$1:$I$89,3,0)*VLOOKUP('Données projet'!$B$12,Paramètres!$A$1:$I$89,5,0)</f>
        <v>132.327</v>
      </c>
      <c r="CA127" s="14">
        <f t="shared" si="93"/>
        <v>34.533504239831103</v>
      </c>
      <c r="CB127" s="22">
        <f t="shared" si="64"/>
        <v>290.61537821770577</v>
      </c>
      <c r="CC127" s="62">
        <f t="shared" si="65"/>
        <v>583.94871155103908</v>
      </c>
      <c r="CD127" s="62">
        <f ca="1">AVERAGE(OFFSET($CC$3,0,0,'Données projet'!$E$12+1,1))-AVERAGE(OFFSET($H$3,0,0,'Données projet'!$E$12+1,1))</f>
        <v>37.174340347509542</v>
      </c>
      <c r="CE127" s="62">
        <f t="shared" si="94"/>
        <v>-42.822755675927624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26.097067855929016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26.097067855929016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5.125</v>
      </c>
      <c r="CT127" s="13">
        <f>IF('Données projet'!$A$140&gt;35,CT126+CS127-DB126,IF(A127&lt;'Données projet'!$A$140,$CQ$205^A127,IF(A127='Données projet'!$A$140,'Données projet'!$B$140,CT126+CS127-DB126)))</f>
        <v>146.25</v>
      </c>
      <c r="CU127" s="18">
        <f>CT127*VLOOKUP('Données projet'!$B$13,Paramètres!$A$1:$I$89,3,0)*VLOOKUP('Données projet'!$B$13,Paramètres!$A$1:$I$89,5,0)</f>
        <v>152.86050000000003</v>
      </c>
      <c r="CV127" s="14">
        <f t="shared" si="95"/>
        <v>39.227928095920689</v>
      </c>
      <c r="CW127" s="22">
        <f t="shared" si="67"/>
        <v>334.55401226706192</v>
      </c>
      <c r="CX127" s="62">
        <f t="shared" si="68"/>
        <v>627.88734560039529</v>
      </c>
      <c r="CY127" s="62">
        <f ca="1">AVERAGE(OFFSET($CX$3,0,0,'Données projet'!$E$13+1,1))-AVERAGE(OFFSET($H$3,0,0,'Données projet'!$E$13+1,1))</f>
        <v>63.282881814092605</v>
      </c>
      <c r="CZ127" s="62">
        <f t="shared" si="96"/>
        <v>-40.869120230674525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30.14661286805595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30.14661286805595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101.39999999999995</v>
      </c>
      <c r="D128" s="12">
        <f t="shared" si="86"/>
        <v>27.295257887453797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993.43707842946753</v>
      </c>
      <c r="H128" s="70">
        <f t="shared" si="56"/>
        <v>517.47757415398189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-2.8908289095852525E-14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121.64341556501768</v>
      </c>
      <c r="T128" s="62">
        <f t="shared" si="88"/>
        <v>370.21160497429781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11.595266038225086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11.595266038225086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-3.2810021366458389E-14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140.99869591649082</v>
      </c>
      <c r="AO128" s="62">
        <f t="shared" si="90"/>
        <v>425.5885140588652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13.160271270378171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13.160271270378171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-3.2810021366458389E-14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140.99869591649082</v>
      </c>
      <c r="BJ128" s="62">
        <f t="shared" si="92"/>
        <v>425.5885140588652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13.160271270378171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13.160271270378171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5.125</v>
      </c>
      <c r="BY128" s="13">
        <f>IF('Données projet'!$A$114&gt;35,BY127+BX128-CG127,IF(A128&lt;'Données projet'!$A$114,$BV$205^A128,IF(A128='Données projet'!$A$114,'Données projet'!$B$114,BY127+BX128-CG127)))</f>
        <v>151.375</v>
      </c>
      <c r="BZ128" s="14">
        <f>BY128*VLOOKUP('Données projet'!$B$12,Paramètres!$A$1:$I$89,3,0)*VLOOKUP('Données projet'!$B$12,Paramètres!$A$1:$I$89,5,0)</f>
        <v>136.9641</v>
      </c>
      <c r="CA128" s="14">
        <f t="shared" si="93"/>
        <v>35.600638526029591</v>
      </c>
      <c r="CB128" s="22">
        <f t="shared" si="64"/>
        <v>300.55025293283484</v>
      </c>
      <c r="CC128" s="62">
        <f t="shared" si="65"/>
        <v>593.88358626616809</v>
      </c>
      <c r="CD128" s="62">
        <f ca="1">AVERAGE(OFFSET($CC$3,0,0,'Données projet'!$E$12+1,1))-AVERAGE(OFFSET($H$3,0,0,'Données projet'!$E$12+1,1))</f>
        <v>37.174340347509542</v>
      </c>
      <c r="CE128" s="62">
        <f t="shared" si="94"/>
        <v>-42.822755675927624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25.585320272913904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25.585320272913904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5.125</v>
      </c>
      <c r="CT128" s="13">
        <f>IF('Données projet'!$A$140&gt;35,CT127+CS128-DB127,IF(A128&lt;'Données projet'!$A$140,$CQ$205^A128,IF(A128='Données projet'!$A$140,'Données projet'!$B$140,CT127+CS128-DB127)))</f>
        <v>151.375</v>
      </c>
      <c r="CU128" s="18">
        <f>CT128*VLOOKUP('Données projet'!$B$13,Paramètres!$A$1:$I$89,3,0)*VLOOKUP('Données projet'!$B$13,Paramètres!$A$1:$I$89,5,0)</f>
        <v>158.21715</v>
      </c>
      <c r="CV128" s="14">
        <f t="shared" si="95"/>
        <v>40.440126740951406</v>
      </c>
      <c r="CW128" s="22">
        <f t="shared" si="67"/>
        <v>345.99475699049032</v>
      </c>
      <c r="CX128" s="62">
        <f t="shared" si="68"/>
        <v>639.32809032382363</v>
      </c>
      <c r="CY128" s="62">
        <f ca="1">AVERAGE(OFFSET($CX$3,0,0,'Données projet'!$E$13+1,1))-AVERAGE(OFFSET($H$3,0,0,'Données projet'!$E$13+1,1))</f>
        <v>63.282881814092605</v>
      </c>
      <c r="CZ128" s="62">
        <f t="shared" si="96"/>
        <v>-40.869120230674525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29.555456177331596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29.555456177331596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9" s="12">
        <f t="shared" si="86"/>
        <v>27.488113037666018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1001.1876795890006</v>
      </c>
      <c r="H129" s="70">
        <f t="shared" si="56"/>
        <v>519.22630354060152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-2.8908289095852525E-14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121.64341556501768</v>
      </c>
      <c r="T129" s="62">
        <f t="shared" si="88"/>
        <v>370.21160497429781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11.367889943629432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11.367889943629432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-3.2810021366458389E-14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140.99869591649082</v>
      </c>
      <c r="AO129" s="62">
        <f t="shared" si="90"/>
        <v>425.5885140588652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12.902206377738933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12.902206377738933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-3.2810021366458389E-14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140.99869591649082</v>
      </c>
      <c r="BJ129" s="62">
        <f t="shared" si="92"/>
        <v>425.5885140588652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12.902206377738933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12.902206377738933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5.125</v>
      </c>
      <c r="BY129" s="13">
        <f>IF('Données projet'!$A$114&gt;35,BY128+BX129-CG128,IF(A129&lt;'Données projet'!$A$114,$BV$205^A129,IF(A129='Données projet'!$A$114,'Données projet'!$B$114,BY128+BX129-CG128)))</f>
        <v>156.5</v>
      </c>
      <c r="BZ129" s="14">
        <f>BY129*VLOOKUP('Données projet'!$B$12,Paramètres!$A$1:$I$89,3,0)*VLOOKUP('Données projet'!$B$12,Paramètres!$A$1:$I$89,5,0)</f>
        <v>141.60120000000001</v>
      </c>
      <c r="CA129" s="14">
        <f t="shared" si="93"/>
        <v>36.66357479752002</v>
      </c>
      <c r="CB129" s="22">
        <f t="shared" si="64"/>
        <v>310.47781610568069</v>
      </c>
      <c r="CC129" s="62">
        <f t="shared" si="65"/>
        <v>603.811149439014</v>
      </c>
      <c r="CD129" s="62">
        <f ca="1">AVERAGE(OFFSET($CC$3,0,0,'Données projet'!$E$12+1,1))-AVERAGE(OFFSET($H$3,0,0,'Données projet'!$E$12+1,1))</f>
        <v>37.174340347509542</v>
      </c>
      <c r="CE129" s="62">
        <f t="shared" si="94"/>
        <v>-42.822755675927624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25.083607747866512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25.083607747866512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5.125</v>
      </c>
      <c r="CT129" s="13">
        <f>IF('Données projet'!$A$140&gt;35,CT128+CS129-DB128,IF(A129&lt;'Données projet'!$A$140,$CQ$205^A129,IF(A129='Données projet'!$A$140,'Données projet'!$B$140,CT128+CS129-DB128)))</f>
        <v>156.5</v>
      </c>
      <c r="CU129" s="18">
        <f>CT129*VLOOKUP('Données projet'!$B$13,Paramètres!$A$1:$I$89,3,0)*VLOOKUP('Données projet'!$B$13,Paramètres!$A$1:$I$89,5,0)</f>
        <v>163.57380000000001</v>
      </c>
      <c r="CV129" s="14">
        <f t="shared" si="95"/>
        <v>41.647556700534814</v>
      </c>
      <c r="CW129" s="22">
        <f t="shared" si="67"/>
        <v>357.42719625343148</v>
      </c>
      <c r="CX129" s="62">
        <f t="shared" si="68"/>
        <v>650.76052958676473</v>
      </c>
      <c r="CY129" s="62">
        <f ca="1">AVERAGE(OFFSET($CX$3,0,0,'Données projet'!$E$13+1,1))-AVERAGE(OFFSET($H$3,0,0,'Données projet'!$E$13+1,1))</f>
        <v>63.282881814092605</v>
      </c>
      <c r="CZ129" s="62">
        <f t="shared" si="96"/>
        <v>-40.869120230674525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28.975891708742367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28.975891708742367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103.02239999999995</v>
      </c>
      <c r="D130" s="12">
        <f t="shared" si="86"/>
        <v>27.680790106744631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1008.9369060871513</v>
      </c>
      <c r="H130" s="70">
        <f t="shared" si="56"/>
        <v>520.9747227692468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-2.8908289095852525E-14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121.64341556501768</v>
      </c>
      <c r="T130" s="62">
        <f t="shared" si="88"/>
        <v>370.21160497429781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11.144972555563076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11.144972555563076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-3.2810021366458389E-14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140.99869591649082</v>
      </c>
      <c r="AO130" s="62">
        <f t="shared" si="90"/>
        <v>425.5885140588652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12.649201980240308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12.649201980240308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-3.2810021366458389E-14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140.99869591649082</v>
      </c>
      <c r="BJ130" s="62">
        <f t="shared" si="92"/>
        <v>425.5885140588652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12.649201980240308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12.649201980240308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5.125</v>
      </c>
      <c r="BY130" s="13">
        <f>IF('Données projet'!$A$114&gt;35,BY129+BX130-CG129,IF(A130&lt;'Données projet'!$A$114,$BV$205^A130,IF(A130='Données projet'!$A$114,'Données projet'!$B$114,BY129+BX130-CG129)))</f>
        <v>161.625</v>
      </c>
      <c r="BZ130" s="14">
        <f>BY130*VLOOKUP('Données projet'!$B$12,Paramètres!$A$1:$I$89,3,0)*VLOOKUP('Données projet'!$B$12,Paramètres!$A$1:$I$89,5,0)</f>
        <v>146.23829999999998</v>
      </c>
      <c r="CA130" s="14">
        <f t="shared" si="93"/>
        <v>37.722466294779956</v>
      </c>
      <c r="CB130" s="22">
        <f t="shared" si="64"/>
        <v>320.39833463007511</v>
      </c>
      <c r="CC130" s="62">
        <f t="shared" si="65"/>
        <v>613.73166796340843</v>
      </c>
      <c r="CD130" s="62">
        <f ca="1">AVERAGE(OFFSET($CC$3,0,0,'Données projet'!$E$12+1,1))-AVERAGE(OFFSET($H$3,0,0,'Données projet'!$E$12+1,1))</f>
        <v>37.174340347509542</v>
      </c>
      <c r="CE130" s="62">
        <f t="shared" si="94"/>
        <v>-42.822755675927624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24.591733499420876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24.591733499420876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5.125</v>
      </c>
      <c r="CT130" s="13">
        <f>IF('Données projet'!$A$140&gt;35,CT129+CS130-DB129,IF(A130&lt;'Données projet'!$A$140,$CQ$205^A130,IF(A130='Données projet'!$A$140,'Données projet'!$B$140,CT129+CS130-DB129)))</f>
        <v>161.625</v>
      </c>
      <c r="CU130" s="18">
        <f>CT130*VLOOKUP('Données projet'!$B$13,Paramètres!$A$1:$I$89,3,0)*VLOOKUP('Données projet'!$B$13,Paramètres!$A$1:$I$89,5,0)</f>
        <v>168.93045000000001</v>
      </c>
      <c r="CV130" s="14">
        <f t="shared" si="95"/>
        <v>42.850392046389587</v>
      </c>
      <c r="CW130" s="22">
        <f t="shared" si="67"/>
        <v>368.85163323079519</v>
      </c>
      <c r="CX130" s="62">
        <f t="shared" si="68"/>
        <v>662.18496656412844</v>
      </c>
      <c r="CY130" s="62">
        <f ca="1">AVERAGE(OFFSET($CX$3,0,0,'Données projet'!$E$13+1,1))-AVERAGE(OFFSET($H$3,0,0,'Données projet'!$E$13+1,1))</f>
        <v>63.282881814092605</v>
      </c>
      <c r="CZ130" s="62">
        <f t="shared" si="96"/>
        <v>-40.869120230674525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28.407692145882752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28.407692145882752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103.83359999999995</v>
      </c>
      <c r="D131" s="12">
        <f t="shared" si="86"/>
        <v>27.873290659436186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1016.684770002665</v>
      </c>
      <c r="H131" s="70">
        <f t="shared" si="56"/>
        <v>522.7228345651846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-2.8908289095852525E-14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121.64341556501768</v>
      </c>
      <c r="T131" s="62">
        <f t="shared" si="88"/>
        <v>370.21160497429781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10.92642644151052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10.92642644151052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-3.2810021366458389E-14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140.99869591649082</v>
      </c>
      <c r="AO131" s="62">
        <f t="shared" si="90"/>
        <v>425.5885140588652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12.401158844659186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12.401158844659186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-3.2810021366458389E-14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140.99869591649082</v>
      </c>
      <c r="BJ131" s="62">
        <f t="shared" si="92"/>
        <v>425.5885140588652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12.401158844659186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12.401158844659186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5.125</v>
      </c>
      <c r="BY131" s="13">
        <f>IF('Données projet'!$A$114&gt;35,BY130+BX131-CG130,IF(A131&lt;'Données projet'!$A$114,$BV$205^A131,IF(A131='Données projet'!$A$114,'Données projet'!$B$114,BY130+BX131-CG130)))</f>
        <v>166.75</v>
      </c>
      <c r="BZ131" s="14">
        <f>BY131*VLOOKUP('Données projet'!$B$12,Paramètres!$A$1:$I$89,3,0)*VLOOKUP('Données projet'!$B$12,Paramètres!$A$1:$I$89,5,0)</f>
        <v>150.87539999999998</v>
      </c>
      <c r="CA131" s="14">
        <f t="shared" si="93"/>
        <v>38.77745598814775</v>
      </c>
      <c r="CB131" s="22">
        <f t="shared" si="64"/>
        <v>330.31205751269061</v>
      </c>
      <c r="CC131" s="62">
        <f t="shared" si="65"/>
        <v>623.64539084602393</v>
      </c>
      <c r="CD131" s="62">
        <f ca="1">AVERAGE(OFFSET($CC$3,0,0,'Données projet'!$E$12+1,1))-AVERAGE(OFFSET($H$3,0,0,'Données projet'!$E$12+1,1))</f>
        <v>37.174340347509542</v>
      </c>
      <c r="CE131" s="62">
        <f t="shared" si="94"/>
        <v>-42.822755675927624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24.109504604973591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24.109504604973591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5.125</v>
      </c>
      <c r="CT131" s="13">
        <f>IF('Données projet'!$A$140&gt;35,CT130+CS131-DB130,IF(A131&lt;'Données projet'!$A$140,$CQ$205^A131,IF(A131='Données projet'!$A$140,'Données projet'!$B$140,CT130+CS131-DB130)))</f>
        <v>166.75</v>
      </c>
      <c r="CU131" s="18">
        <f>CT131*VLOOKUP('Données projet'!$B$13,Paramètres!$A$1:$I$89,3,0)*VLOOKUP('Données projet'!$B$13,Paramètres!$A$1:$I$89,5,0)</f>
        <v>174.28710000000001</v>
      </c>
      <c r="CV131" s="14">
        <f t="shared" si="95"/>
        <v>44.048795183990499</v>
      </c>
      <c r="CW131" s="22">
        <f t="shared" si="67"/>
        <v>380.26835077878349</v>
      </c>
      <c r="CX131" s="62">
        <f t="shared" si="68"/>
        <v>673.6016841121168</v>
      </c>
      <c r="CY131" s="62">
        <f ca="1">AVERAGE(OFFSET($CX$3,0,0,'Données projet'!$E$13+1,1))-AVERAGE(OFFSET($H$3,0,0,'Données projet'!$E$13+1,1))</f>
        <v>63.282881814092605</v>
      </c>
      <c r="CZ131" s="62">
        <f t="shared" si="96"/>
        <v>-40.869120230674525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27.850634629883302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27.850634629883302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104.64479999999995</v>
      </c>
      <c r="D132" s="12">
        <f t="shared" si="86"/>
        <v>28.065616234626216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1024.4312832146582</v>
      </c>
      <c r="H132" s="70">
        <f t="shared" ref="H132:H195" si="110">(B132+E132+F132)*44/12+(C132+D132)*0.475*44/12</f>
        <v>524.47064160864056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-2.8908289095852525E-14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121.64341556501768</v>
      </c>
      <c r="T132" s="62">
        <f t="shared" si="88"/>
        <v>370.21160497429781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10.712165883454567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10.712165883454567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-3.2810021366458389E-14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140.99869591649082</v>
      </c>
      <c r="AO132" s="62">
        <f t="shared" si="90"/>
        <v>425.5885140588652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12.157979683675435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12.157979683675435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-3.2810021366458389E-14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140.99869591649082</v>
      </c>
      <c r="BJ132" s="62">
        <f t="shared" si="92"/>
        <v>425.5885140588652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12.157979683675435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12.157979683675435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5.125</v>
      </c>
      <c r="BY132" s="13">
        <f>IF('Données projet'!$A$114&gt;35,BY131+BX132-CG131,IF(A132&lt;'Données projet'!$A$114,$BV$205^A132,IF(A132='Données projet'!$A$114,'Données projet'!$B$114,BY131+BX132-CG131)))</f>
        <v>171.875</v>
      </c>
      <c r="BZ132" s="14">
        <f>BY132*VLOOKUP('Données projet'!$B$12,Paramètres!$A$1:$I$89,3,0)*VLOOKUP('Données projet'!$B$12,Paramètres!$A$1:$I$89,5,0)</f>
        <v>155.51250000000002</v>
      </c>
      <c r="CA132" s="14">
        <f t="shared" si="93"/>
        <v>39.828677560382957</v>
      </c>
      <c r="CB132" s="22">
        <f t="shared" ref="CB132:CB153" si="118">(BZ132+CA132)*0.475*44/12</f>
        <v>340.21921758433365</v>
      </c>
      <c r="CC132" s="62">
        <f t="shared" ref="CC132:CC195" si="119">CB132+(BT132+BU132)*44/12</f>
        <v>633.55255091766696</v>
      </c>
      <c r="CD132" s="62">
        <f ca="1">AVERAGE(OFFSET($CC$3,0,0,'Données projet'!$E$12+1,1))-AVERAGE(OFFSET($H$3,0,0,'Données projet'!$E$12+1,1))</f>
        <v>37.174340347509542</v>
      </c>
      <c r="CE132" s="62">
        <f t="shared" si="94"/>
        <v>-42.822755675927624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23.636731925015834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23.636731925015834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5.125</v>
      </c>
      <c r="CT132" s="13">
        <f>IF('Données projet'!$A$140&gt;35,CT131+CS132-DB131,IF(A132&lt;'Données projet'!$A$140,$CQ$205^A132,IF(A132='Données projet'!$A$140,'Données projet'!$B$140,CT131+CS132-DB131)))</f>
        <v>171.875</v>
      </c>
      <c r="CU132" s="18">
        <f>CT132*VLOOKUP('Données projet'!$B$13,Paramètres!$A$1:$I$89,3,0)*VLOOKUP('Données projet'!$B$13,Paramètres!$A$1:$I$89,5,0)</f>
        <v>179.64375000000001</v>
      </c>
      <c r="CV132" s="14">
        <f t="shared" si="95"/>
        <v>45.242917968696489</v>
      </c>
      <c r="CW132" s="22">
        <f t="shared" ref="CW132:CW153" si="121">(CU132+CV132)*0.475*44/12</f>
        <v>391.67761337881302</v>
      </c>
      <c r="CX132" s="62">
        <f t="shared" ref="CX132:CX195" si="122">CW132+(CO132+CP132)*44/12</f>
        <v>685.01094671214628</v>
      </c>
      <c r="CY132" s="62">
        <f ca="1">AVERAGE(OFFSET($CX$3,0,0,'Données projet'!$E$13+1,1))-AVERAGE(OFFSET($H$3,0,0,'Données projet'!$E$13+1,1))</f>
        <v>63.282881814092605</v>
      </c>
      <c r="CZ132" s="62">
        <f t="shared" si="96"/>
        <v>-40.869120230674525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27.304500672001069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27.304500672001069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105.45599999999995</v>
      </c>
      <c r="D133" s="12">
        <f t="shared" ref="D133:D196" si="140">IFERROR(EXP(-1.0587+0.8836*LN(C133)+0.284),0)</f>
        <v>28.257768345963548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1032.1764574074375</v>
      </c>
      <c r="H133" s="70">
        <f t="shared" si="110"/>
        <v>526.21814653588638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-2.8908289095852525E-14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121.64341556501768</v>
      </c>
      <c r="T133" s="62">
        <f t="shared" ref="T133:T196" si="142">$T$3</f>
        <v>370.21160497429781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10.502106844256055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10.502106844256055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-3.2810021366458389E-14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140.99869591649082</v>
      </c>
      <c r="AO133" s="62">
        <f t="shared" ref="AO133:AO196" si="144">$AO$3</f>
        <v>425.5885140588652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11.919569117713934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11.919569117713934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-3.2810021366458389E-14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140.99869591649082</v>
      </c>
      <c r="BJ133" s="62">
        <f t="shared" ref="BJ133:BJ196" si="146">$BJ$3</f>
        <v>425.5885140588652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11.919569117713934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11.919569117713934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177</v>
      </c>
      <c r="BW133" s="13">
        <f>VLOOKUP(A133,'Données projet'!$A$113:$I$133,9,0)</f>
        <v>5.125</v>
      </c>
      <c r="BX133" s="13">
        <f t="array" ref="BX133">INDEX(BW:BW,MIN(IF(ISNUMBER(BW133:BW329),ROW(BW133:BW329),"")))</f>
        <v>5.125</v>
      </c>
      <c r="BY133" s="13">
        <f>IF('Données projet'!$A$114&gt;35,BY132+BX133-CG132,IF(A133&lt;'Données projet'!$A$114,$BV$205^A133,IF(A133='Données projet'!$A$114,'Données projet'!$B$114,BY132+BX133-CG132)))</f>
        <v>177</v>
      </c>
      <c r="BZ133" s="14">
        <f>BY133*VLOOKUP('Données projet'!$B$12,Paramètres!$A$1:$I$89,3,0)*VLOOKUP('Données projet'!$B$12,Paramètres!$A$1:$I$89,5,0)</f>
        <v>160.14959999999999</v>
      </c>
      <c r="CA133" s="14">
        <f t="shared" ref="CA133:CA153" si="147">EXP(-1.0587+0.8836*LN(BZ133)+0.284)</f>
        <v>40.876256268741535</v>
      </c>
      <c r="CB133" s="22">
        <f t="shared" si="118"/>
        <v>350.1200330013915</v>
      </c>
      <c r="CC133" s="62">
        <f t="shared" si="119"/>
        <v>643.45336633472482</v>
      </c>
      <c r="CD133" s="62">
        <f ca="1">AVERAGE(OFFSET($CC$3,0,0,'Données projet'!$E$12+1,1))-AVERAGE(OFFSET($H$3,0,0,'Données projet'!$E$12+1,1))</f>
        <v>37.174340347509542</v>
      </c>
      <c r="CE133" s="62">
        <f t="shared" ref="CE133:CE196" si="148">$CE$3</f>
        <v>-42.822755675927624</v>
      </c>
      <c r="CF133" s="16">
        <f>IF(ISNA(VLOOKUP(A133,'Données projet'!$A$113:$I$133,3,0)),0,VLOOKUP(A133,'Données projet'!$A$113:$I$133,3,0))</f>
        <v>16</v>
      </c>
      <c r="CG133" s="16">
        <f>IF(ISNA(VLOOKUP(A133,'Données projet'!$A$113:$I$133,4,0)),0,VLOOKUP(A133,'Données projet'!$A$113:$I$133,4,0))</f>
        <v>30</v>
      </c>
      <c r="CH133" s="17">
        <f>IF(ISNA(VLOOKUP(A133,'Données projet'!$A$113:$I$133,5,0)),0%,VLOOKUP(A133,'Données projet'!$A$113:$I$133,5,0)*VLOOKUP('Données projet'!$B$12,Paramètres!$A$1:$I$89,7,0))</f>
        <v>0.18489999999999998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28.721503616828826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28.721503616828826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177</v>
      </c>
      <c r="CR133" s="13">
        <f>VLOOKUP(A133,'Données projet'!$A$139:$I$159,9,0)</f>
        <v>5.125</v>
      </c>
      <c r="CS133" s="13">
        <f t="array" ref="CS133">INDEX(CR:CR,MIN(IF(ISNUMBER(CR133:CR329),ROW(CR133:CR329),"")))</f>
        <v>5.125</v>
      </c>
      <c r="CT133" s="13">
        <f>IF('Données projet'!$A$140&gt;35,CT132+CS133-DB132,IF(A133&lt;'Données projet'!$A$140,$CQ$205^A133,IF(A133='Données projet'!$A$140,'Données projet'!$B$140,CT132+CS133-DB132)))</f>
        <v>177</v>
      </c>
      <c r="CU133" s="18">
        <f>CT133*VLOOKUP('Données projet'!$B$13,Paramètres!$A$1:$I$89,3,0)*VLOOKUP('Données projet'!$B$13,Paramètres!$A$1:$I$89,5,0)</f>
        <v>185.00040000000001</v>
      </c>
      <c r="CV133" s="14">
        <f t="shared" ref="CV133:CV153" si="149">EXP(-1.0587+0.8836*LN(CU133)+0.284)</f>
        <v>46.43290268501466</v>
      </c>
      <c r="CW133" s="22">
        <f t="shared" si="121"/>
        <v>403.07966884306717</v>
      </c>
      <c r="CX133" s="62">
        <f t="shared" si="122"/>
        <v>696.41300217640048</v>
      </c>
      <c r="CY133" s="62">
        <f ca="1">AVERAGE(OFFSET($CX$3,0,0,'Données projet'!$E$13+1,1))-AVERAGE(OFFSET($H$3,0,0,'Données projet'!$E$13+1,1))</f>
        <v>63.282881814092605</v>
      </c>
      <c r="CZ133" s="62">
        <f t="shared" ref="CZ133:CZ196" si="150">$CZ$3</f>
        <v>-40.869120230674525</v>
      </c>
      <c r="DA133" s="16">
        <f>IF(ISNA(VLOOKUP(A133,'Données projet'!$A$139:$I$159,3,0)),0,VLOOKUP(A133,'Données projet'!$A$139:$I$159,3,0))</f>
        <v>16</v>
      </c>
      <c r="DB133" s="16">
        <f>IF(ISNA(VLOOKUP(A133,'Données projet'!$A$139:$I$159,4,0)),0,VLOOKUP(A133,'Données projet'!$A$139:$I$159,4,0))</f>
        <v>30</v>
      </c>
      <c r="DC133" s="17">
        <f>IF(ISNA(VLOOKUP(A133,'Données projet'!$A$139:$I$159,5,0)),0%,VLOOKUP(A133,'Données projet'!$A$139:$I$159,5,0)*VLOOKUP('Données projet'!$B$13,Paramètres!$A$1:$I$89,7,0))</f>
        <v>0.18489999999999998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33.178288660819526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33.178288660819526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106.26719999999995</v>
      </c>
      <c r="D134" s="12">
        <f t="shared" si="140"/>
        <v>28.449748482465122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1039.9203040751688</v>
      </c>
      <c r="H134" s="70">
        <f t="shared" si="110"/>
        <v>527.9653519402932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-2.8908289095852525E-14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121.64341556501768</v>
      </c>
      <c r="T134" s="62">
        <f t="shared" si="142"/>
        <v>370.21160497429781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10.296166934692863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10.296166934692863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-3.2810021366458389E-14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140.99869591649082</v>
      </c>
      <c r="AO134" s="62">
        <f t="shared" si="144"/>
        <v>425.5885140588652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11.68583363753485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11.68583363753485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-3.2810021366458389E-14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140.99869591649082</v>
      </c>
      <c r="BJ134" s="62">
        <f t="shared" si="146"/>
        <v>425.5885140588652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11.68583363753485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11.68583363753485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4.2</v>
      </c>
      <c r="BY134" s="13">
        <f>IF('Données projet'!$A$114&gt;35,BY133+BX134-CG133,IF(A134&lt;'Données projet'!$A$114,$BV$205^A134,IF(A134='Données projet'!$A$114,'Données projet'!$B$114,BY133+BX134-CG133)))</f>
        <v>151.19999999999999</v>
      </c>
      <c r="BZ134" s="14">
        <f>BY134*VLOOKUP('Données projet'!$B$12,Paramètres!$A$1:$I$89,3,0)*VLOOKUP('Données projet'!$B$12,Paramètres!$A$1:$I$89,5,0)</f>
        <v>136.80575999999999</v>
      </c>
      <c r="CA134" s="14">
        <f t="shared" si="147"/>
        <v>35.564269922997305</v>
      </c>
      <c r="CB134" s="22">
        <f t="shared" si="118"/>
        <v>300.21113544922031</v>
      </c>
      <c r="CC134" s="62">
        <f t="shared" si="119"/>
        <v>593.54446878255362</v>
      </c>
      <c r="CD134" s="62">
        <f ca="1">AVERAGE(OFFSET($CC$3,0,0,'Données projet'!$E$12+1,1))-AVERAGE(OFFSET($H$3,0,0,'Données projet'!$E$12+1,1))</f>
        <v>37.174340347509542</v>
      </c>
      <c r="CE134" s="62">
        <f t="shared" si="148"/>
        <v>-42.822755675927624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28.158292449290222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28.158292449290222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4.2</v>
      </c>
      <c r="CT134" s="13">
        <f>IF('Données projet'!$A$140&gt;35,CT133+CS134-DB133,IF(A134&lt;'Données projet'!$A$140,$CQ$205^A134,IF(A134='Données projet'!$A$140,'Données projet'!$B$140,CT133+CS134-DB133)))</f>
        <v>151.19999999999999</v>
      </c>
      <c r="CU134" s="18">
        <f>CT134*VLOOKUP('Données projet'!$B$13,Paramètres!$A$1:$I$89,3,0)*VLOOKUP('Données projet'!$B$13,Paramètres!$A$1:$I$89,5,0)</f>
        <v>158.03424000000001</v>
      </c>
      <c r="CV134" s="14">
        <f t="shared" si="149"/>
        <v>40.39881425395928</v>
      </c>
      <c r="CW134" s="22">
        <f t="shared" si="121"/>
        <v>345.60423615897906</v>
      </c>
      <c r="CX134" s="62">
        <f t="shared" si="122"/>
        <v>638.93756949231238</v>
      </c>
      <c r="CY134" s="62">
        <f ca="1">AVERAGE(OFFSET($CX$3,0,0,'Données projet'!$E$13+1,1))-AVERAGE(OFFSET($H$3,0,0,'Données projet'!$E$13+1,1))</f>
        <v>63.282881814092605</v>
      </c>
      <c r="CZ134" s="62">
        <f t="shared" si="150"/>
        <v>-40.869120230674525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32.527682656938723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32.527682656938723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107.07839999999995</v>
      </c>
      <c r="D135" s="12">
        <f t="shared" si="140"/>
        <v>28.64155810910178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1047.6628345263991</v>
      </c>
      <c r="H135" s="70">
        <f t="shared" si="110"/>
        <v>529.71226037335214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-2.8908289095852525E-14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121.64341556501768</v>
      </c>
      <c r="T135" s="62">
        <f t="shared" si="142"/>
        <v>370.21160497429781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10.094265381145263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10.094265381145263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-3.2810021366458389E-14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140.99869591649082</v>
      </c>
      <c r="AO135" s="62">
        <f t="shared" si="144"/>
        <v>425.5885140588652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11.456681567557514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11.456681567557514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-3.2810021366458389E-14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140.99869591649082</v>
      </c>
      <c r="BJ135" s="62">
        <f t="shared" si="146"/>
        <v>425.5885140588652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11.456681567557514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11.456681567557514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4.2</v>
      </c>
      <c r="BY135" s="13">
        <f>IF('Données projet'!$A$114&gt;35,BY134+BX135-CG134,IF(A135&lt;'Données projet'!$A$114,$BV$205^A135,IF(A135='Données projet'!$A$114,'Données projet'!$B$114,BY134+BX135-CG134)))</f>
        <v>155.39999999999998</v>
      </c>
      <c r="BZ135" s="14">
        <f>BY135*VLOOKUP('Données projet'!$B$12,Paramètres!$A$1:$I$89,3,0)*VLOOKUP('Données projet'!$B$12,Paramètres!$A$1:$I$89,5,0)</f>
        <v>140.60591999999997</v>
      </c>
      <c r="CA135" s="14">
        <f t="shared" si="147"/>
        <v>36.435778350352258</v>
      </c>
      <c r="CB135" s="22">
        <f t="shared" si="118"/>
        <v>308.34762462686342</v>
      </c>
      <c r="CC135" s="62">
        <f t="shared" si="119"/>
        <v>601.68095796019679</v>
      </c>
      <c r="CD135" s="62">
        <f ca="1">AVERAGE(OFFSET($CC$3,0,0,'Données projet'!$E$12+1,1))-AVERAGE(OFFSET($H$3,0,0,'Données projet'!$E$12+1,1))</f>
        <v>37.174340347509542</v>
      </c>
      <c r="CE135" s="62">
        <f t="shared" si="148"/>
        <v>-42.822755675927624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27.606125509222156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27.606125509222156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4.2</v>
      </c>
      <c r="CT135" s="13">
        <f>IF('Données projet'!$A$140&gt;35,CT134+CS135-DB134,IF(A135&lt;'Données projet'!$A$140,$CQ$205^A135,IF(A135='Données projet'!$A$140,'Données projet'!$B$140,CT134+CS135-DB134)))</f>
        <v>155.39999999999998</v>
      </c>
      <c r="CU135" s="18">
        <f>CT135*VLOOKUP('Données projet'!$B$13,Paramètres!$A$1:$I$89,3,0)*VLOOKUP('Données projet'!$B$13,Paramètres!$A$1:$I$89,5,0)</f>
        <v>162.42408</v>
      </c>
      <c r="CV135" s="14">
        <f t="shared" si="149"/>
        <v>41.388794004807679</v>
      </c>
      <c r="CW135" s="22">
        <f t="shared" si="121"/>
        <v>354.97408889170669</v>
      </c>
      <c r="CX135" s="62">
        <f t="shared" si="122"/>
        <v>648.30742222504</v>
      </c>
      <c r="CY135" s="62">
        <f ca="1">AVERAGE(OFFSET($CX$3,0,0,'Données projet'!$E$13+1,1))-AVERAGE(OFFSET($H$3,0,0,'Données projet'!$E$13+1,1))</f>
        <v>63.282881814092605</v>
      </c>
      <c r="CZ135" s="62">
        <f t="shared" si="150"/>
        <v>-40.869120230674525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31.889834639963546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31.889834639963546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107.88959999999994</v>
      </c>
      <c r="D136" s="12">
        <f t="shared" si="140"/>
        <v>28.833198667365593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1055.4040598884358</v>
      </c>
      <c r="H136" s="70">
        <f t="shared" si="110"/>
        <v>531.45887434566157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-2.8908289095852525E-14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121.64341556501768</v>
      </c>
      <c r="T136" s="62">
        <f t="shared" si="142"/>
        <v>370.21160497429781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9.8963229939149446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9.8963229939149446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-3.2810021366458389E-14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140.99869591649082</v>
      </c>
      <c r="AO136" s="62">
        <f t="shared" si="144"/>
        <v>425.5885140588652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11.23202302990347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11.23202302990347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-3.2810021366458389E-14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140.99869591649082</v>
      </c>
      <c r="BJ136" s="62">
        <f t="shared" si="146"/>
        <v>425.5885140588652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11.23202302990347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11.23202302990347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4.2</v>
      </c>
      <c r="BY136" s="13">
        <f>IF('Données projet'!$A$114&gt;35,BY135+BX136-CG135,IF(A136&lt;'Données projet'!$A$114,$BV$205^A136,IF(A136='Données projet'!$A$114,'Données projet'!$B$114,BY135+BX136-CG135)))</f>
        <v>159.59999999999997</v>
      </c>
      <c r="BZ136" s="14">
        <f>BY136*VLOOKUP('Données projet'!$B$12,Paramètres!$A$1:$I$89,3,0)*VLOOKUP('Données projet'!$B$12,Paramètres!$A$1:$I$89,5,0)</f>
        <v>144.40607999999995</v>
      </c>
      <c r="CA136" s="14">
        <f t="shared" si="147"/>
        <v>37.304549015222776</v>
      </c>
      <c r="CB136" s="22">
        <f t="shared" si="118"/>
        <v>316.47934553484617</v>
      </c>
      <c r="CC136" s="62">
        <f t="shared" si="119"/>
        <v>609.81267886817955</v>
      </c>
      <c r="CD136" s="62">
        <f ca="1">AVERAGE(OFFSET($CC$3,0,0,'Données projet'!$E$12+1,1))-AVERAGE(OFFSET($H$3,0,0,'Données projet'!$E$12+1,1))</f>
        <v>37.174340347509542</v>
      </c>
      <c r="CE136" s="62">
        <f t="shared" si="148"/>
        <v>-42.822755675927624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27.064786226060249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27.064786226060249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4.2</v>
      </c>
      <c r="CT136" s="13">
        <f>IF('Données projet'!$A$140&gt;35,CT135+CS136-DB135,IF(A136&lt;'Données projet'!$A$140,$CQ$205^A136,IF(A136='Données projet'!$A$140,'Données projet'!$B$140,CT135+CS136-DB135)))</f>
        <v>159.59999999999997</v>
      </c>
      <c r="CU136" s="18">
        <f>CT136*VLOOKUP('Données projet'!$B$13,Paramètres!$A$1:$I$89,3,0)*VLOOKUP('Données projet'!$B$13,Paramètres!$A$1:$I$89,5,0)</f>
        <v>166.81392</v>
      </c>
      <c r="CV136" s="14">
        <f t="shared" si="149"/>
        <v>42.375663826552454</v>
      </c>
      <c r="CW136" s="22">
        <f t="shared" si="121"/>
        <v>364.33852516457887</v>
      </c>
      <c r="CX136" s="62">
        <f t="shared" si="122"/>
        <v>657.67185849791213</v>
      </c>
      <c r="CY136" s="62">
        <f ca="1">AVERAGE(OFFSET($CX$3,0,0,'Données projet'!$E$13+1,1))-AVERAGE(OFFSET($H$3,0,0,'Données projet'!$E$13+1,1))</f>
        <v>63.282881814092605</v>
      </c>
      <c r="CZ136" s="62">
        <f t="shared" si="150"/>
        <v>-40.869120230674525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31.264494433552375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31.264494433552375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108.70079999999994</v>
      </c>
      <c r="D137" s="12">
        <f t="shared" si="140"/>
        <v>29.024671575819966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1063.1439911115924</v>
      </c>
      <c r="H137" s="70">
        <f t="shared" si="110"/>
        <v>533.20519632788637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-2.8908289095852525E-14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121.64341556501768</v>
      </c>
      <c r="T137" s="62">
        <f t="shared" si="142"/>
        <v>370.21160497429781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9.7022621361652774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9.7022621361652774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-3.2810021366458389E-14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140.99869591649082</v>
      </c>
      <c r="AO137" s="62">
        <f t="shared" si="144"/>
        <v>425.5885140588652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11.011769909144645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11.011769909144645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-3.2810021366458389E-14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140.99869591649082</v>
      </c>
      <c r="BJ137" s="62">
        <f t="shared" si="146"/>
        <v>425.5885140588652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11.011769909144645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11.011769909144645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4.2</v>
      </c>
      <c r="BY137" s="13">
        <f>IF('Données projet'!$A$114&gt;35,BY136+BX137-CG136,IF(A137&lt;'Données projet'!$A$114,$BV$205^A137,IF(A137='Données projet'!$A$114,'Données projet'!$B$114,BY136+BX137-CG136)))</f>
        <v>163.79999999999995</v>
      </c>
      <c r="BZ137" s="14">
        <f>BY137*VLOOKUP('Données projet'!$B$12,Paramètres!$A$1:$I$89,3,0)*VLOOKUP('Données projet'!$B$12,Paramètres!$A$1:$I$89,5,0)</f>
        <v>148.20623999999995</v>
      </c>
      <c r="CA137" s="14">
        <f t="shared" si="147"/>
        <v>38.170662245893794</v>
      </c>
      <c r="CB137" s="22">
        <f t="shared" si="118"/>
        <v>324.60643807826494</v>
      </c>
      <c r="CC137" s="62">
        <f t="shared" si="119"/>
        <v>617.93977141159826</v>
      </c>
      <c r="CD137" s="62">
        <f ca="1">AVERAGE(OFFSET($CC$3,0,0,'Données projet'!$E$12+1,1))-AVERAGE(OFFSET($H$3,0,0,'Données projet'!$E$12+1,1))</f>
        <v>37.174340347509542</v>
      </c>
      <c r="CE137" s="62">
        <f t="shared" si="148"/>
        <v>-42.822755675927624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26.534062276056787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26.534062276056787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4.2</v>
      </c>
      <c r="CT137" s="13">
        <f>IF('Données projet'!$A$140&gt;35,CT136+CS137-DB136,IF(A137&lt;'Données projet'!$A$140,$CQ$205^A137,IF(A137='Données projet'!$A$140,'Données projet'!$B$140,CT136+CS137-DB136)))</f>
        <v>163.79999999999995</v>
      </c>
      <c r="CU137" s="18">
        <f>CT137*VLOOKUP('Données projet'!$B$13,Paramètres!$A$1:$I$89,3,0)*VLOOKUP('Données projet'!$B$13,Paramètres!$A$1:$I$89,5,0)</f>
        <v>171.20375999999999</v>
      </c>
      <c r="CV137" s="14">
        <f t="shared" si="149"/>
        <v>43.359514967164522</v>
      </c>
      <c r="CW137" s="22">
        <f t="shared" si="121"/>
        <v>373.69770390114485</v>
      </c>
      <c r="CX137" s="62">
        <f t="shared" si="122"/>
        <v>667.03103723447816</v>
      </c>
      <c r="CY137" s="62">
        <f ca="1">AVERAGE(OFFSET($CX$3,0,0,'Données projet'!$E$13+1,1))-AVERAGE(OFFSET($H$3,0,0,'Données projet'!$E$13+1,1))</f>
        <v>63.282881814092605</v>
      </c>
      <c r="CZ137" s="62">
        <f t="shared" si="150"/>
        <v>-40.869120230674525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30.651416767169064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30.651416767169064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109.51199999999994</v>
      </c>
      <c r="D138" s="12">
        <f t="shared" si="140"/>
        <v>29.21597823063253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1070.8826389733031</v>
      </c>
      <c r="H138" s="70">
        <f t="shared" si="110"/>
        <v>534.95122875168477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-2.8908289095852525E-14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121.64341556501768</v>
      </c>
      <c r="T138" s="62">
        <f t="shared" si="142"/>
        <v>370.21160497429781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9.5120066934706458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9.5120066934706458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-3.2810021366458389E-14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140.99869591649082</v>
      </c>
      <c r="AO138" s="62">
        <f t="shared" si="144"/>
        <v>425.5885140588652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10.795835817742763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10.795835817742763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-3.2810021366458389E-14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140.99869591649082</v>
      </c>
      <c r="BJ138" s="62">
        <f t="shared" si="146"/>
        <v>425.5885140588652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10.795835817742763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10.795835817742763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4.2</v>
      </c>
      <c r="BY138" s="13">
        <f>IF('Données projet'!$A$114&gt;35,BY137+BX138-CG137,IF(A138&lt;'Données projet'!$A$114,$BV$205^A138,IF(A138='Données projet'!$A$114,'Données projet'!$B$114,BY137+BX138-CG137)))</f>
        <v>167.99999999999994</v>
      </c>
      <c r="BZ138" s="14">
        <f>BY138*VLOOKUP('Données projet'!$B$12,Paramètres!$A$1:$I$89,3,0)*VLOOKUP('Données projet'!$B$12,Paramètres!$A$1:$I$89,5,0)</f>
        <v>152.00639999999993</v>
      </c>
      <c r="CA138" s="14">
        <f t="shared" si="147"/>
        <v>39.03419401656145</v>
      </c>
      <c r="CB138" s="22">
        <f t="shared" si="118"/>
        <v>332.72903457884439</v>
      </c>
      <c r="CC138" s="62">
        <f t="shared" si="119"/>
        <v>626.06236791217771</v>
      </c>
      <c r="CD138" s="62">
        <f ca="1">AVERAGE(OFFSET($CC$3,0,0,'Données projet'!$E$12+1,1))-AVERAGE(OFFSET($H$3,0,0,'Données projet'!$E$12+1,1))</f>
        <v>37.174340347509542</v>
      </c>
      <c r="CE138" s="62">
        <f t="shared" si="148"/>
        <v>-42.822755675927624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26.013745499003246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26.013745499003246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4.2</v>
      </c>
      <c r="CT138" s="13">
        <f>IF('Données projet'!$A$140&gt;35,CT137+CS138-DB137,IF(A138&lt;'Données projet'!$A$140,$CQ$205^A138,IF(A138='Données projet'!$A$140,'Données projet'!$B$140,CT137+CS138-DB137)))</f>
        <v>167.99999999999994</v>
      </c>
      <c r="CU138" s="18">
        <f>CT138*VLOOKUP('Données projet'!$B$13,Paramètres!$A$1:$I$89,3,0)*VLOOKUP('Données projet'!$B$13,Paramètres!$A$1:$I$89,5,0)</f>
        <v>175.59359999999995</v>
      </c>
      <c r="CV138" s="14">
        <f t="shared" si="149"/>
        <v>44.340433728638573</v>
      </c>
      <c r="CW138" s="22">
        <f t="shared" si="121"/>
        <v>383.05177541071203</v>
      </c>
      <c r="CX138" s="62">
        <f t="shared" si="122"/>
        <v>676.38510874404528</v>
      </c>
      <c r="CY138" s="62">
        <f ca="1">AVERAGE(OFFSET($CX$3,0,0,'Données projet'!$E$13+1,1))-AVERAGE(OFFSET($H$3,0,0,'Données projet'!$E$13+1,1))</f>
        <v>63.282881814092605</v>
      </c>
      <c r="CZ138" s="62">
        <f t="shared" si="150"/>
        <v>-40.869120230674525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30.050361179883076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30.050361179883076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110.32319999999994</v>
      </c>
      <c r="D139" s="12">
        <f t="shared" si="140"/>
        <v>29.407120006092001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1078.6200140821131</v>
      </c>
      <c r="H139" s="70">
        <f t="shared" si="110"/>
        <v>536.69697401061012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-2.8908289095852525E-14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121.64341556501768</v>
      </c>
      <c r="T139" s="62">
        <f t="shared" si="142"/>
        <v>370.21160497429781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9.3254820439628947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9.3254820439628947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-3.2810021366458389E-14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140.99869591649082</v>
      </c>
      <c r="AO139" s="62">
        <f t="shared" si="144"/>
        <v>425.5885140588652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10.584136062166481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10.584136062166481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-3.2810021366458389E-14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140.99869591649082</v>
      </c>
      <c r="BJ139" s="62">
        <f t="shared" si="146"/>
        <v>425.5885140588652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10.584136062166481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10.584136062166481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4.2</v>
      </c>
      <c r="BY139" s="13">
        <f>IF('Données projet'!$A$114&gt;35,BY138+BX139-CG138,IF(A139&lt;'Données projet'!$A$114,$BV$205^A139,IF(A139='Données projet'!$A$114,'Données projet'!$B$114,BY138+BX139-CG138)))</f>
        <v>172.19999999999993</v>
      </c>
      <c r="BZ139" s="14">
        <f>BY139*VLOOKUP('Données projet'!$B$12,Paramètres!$A$1:$I$89,3,0)*VLOOKUP('Données projet'!$B$12,Paramètres!$A$1:$I$89,5,0)</f>
        <v>155.80655999999993</v>
      </c>
      <c r="CA139" s="14">
        <f t="shared" si="147"/>
        <v>39.895216286209426</v>
      </c>
      <c r="CB139" s="22">
        <f t="shared" si="118"/>
        <v>340.84726036514797</v>
      </c>
      <c r="CC139" s="62">
        <f t="shared" si="119"/>
        <v>634.18059369848129</v>
      </c>
      <c r="CD139" s="62">
        <f ca="1">AVERAGE(OFFSET($CC$3,0,0,'Données projet'!$E$12+1,1))-AVERAGE(OFFSET($H$3,0,0,'Données projet'!$E$12+1,1))</f>
        <v>37.174340347509542</v>
      </c>
      <c r="CE139" s="62">
        <f t="shared" si="148"/>
        <v>-42.822755675927624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25.503631816585827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25.503631816585827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4.2</v>
      </c>
      <c r="CT139" s="13">
        <f>IF('Données projet'!$A$140&gt;35,CT138+CS139-DB138,IF(A139&lt;'Données projet'!$A$140,$CQ$205^A139,IF(A139='Données projet'!$A$140,'Données projet'!$B$140,CT138+CS139-DB138)))</f>
        <v>172.19999999999993</v>
      </c>
      <c r="CU139" s="18">
        <f>CT139*VLOOKUP('Données projet'!$B$13,Paramètres!$A$1:$I$89,3,0)*VLOOKUP('Données projet'!$B$13,Paramètres!$A$1:$I$89,5,0)</f>
        <v>179.98343999999994</v>
      </c>
      <c r="CV139" s="14">
        <f t="shared" si="149"/>
        <v>45.318501851936013</v>
      </c>
      <c r="CW139" s="22">
        <f t="shared" si="121"/>
        <v>392.40088205878845</v>
      </c>
      <c r="CX139" s="62">
        <f t="shared" si="122"/>
        <v>685.73421539212177</v>
      </c>
      <c r="CY139" s="62">
        <f ca="1">AVERAGE(OFFSET($CX$3,0,0,'Données projet'!$E$13+1,1))-AVERAGE(OFFSET($H$3,0,0,'Données projet'!$E$13+1,1))</f>
        <v>63.282881814092605</v>
      </c>
      <c r="CZ139" s="62">
        <f t="shared" si="150"/>
        <v>-40.869120230674525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29.46109192605606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29.46109192605606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111.13439999999994</v>
      </c>
      <c r="D140" s="12">
        <f t="shared" si="140"/>
        <v>29.59809825510931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1086.3561268815452</v>
      </c>
      <c r="H140" s="70">
        <f t="shared" si="110"/>
        <v>538.44243446098199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-2.8908289095852525E-14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121.64341556501768</v>
      </c>
      <c r="T140" s="62">
        <f t="shared" si="142"/>
        <v>370.21160497429781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9.1426150290631867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9.1426150290631867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-3.2810021366458389E-14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140.99869591649082</v>
      </c>
      <c r="AO140" s="62">
        <f t="shared" si="144"/>
        <v>425.5885140588652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10.376587609672947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10.376587609672947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-3.2810021366458389E-14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140.99869591649082</v>
      </c>
      <c r="BJ140" s="62">
        <f t="shared" si="146"/>
        <v>425.5885140588652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10.376587609672947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10.376587609672947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4.2</v>
      </c>
      <c r="BY140" s="13">
        <f>IF('Données projet'!$A$114&gt;35,BY139+BX140-CG139,IF(A140&lt;'Données projet'!$A$114,$BV$205^A140,IF(A140='Données projet'!$A$114,'Données projet'!$B$114,BY139+BX140-CG139)))</f>
        <v>176.39999999999992</v>
      </c>
      <c r="BZ140" s="14">
        <f>BY140*VLOOKUP('Données projet'!$B$12,Paramètres!$A$1:$I$89,3,0)*VLOOKUP('Données projet'!$B$12,Paramètres!$A$1:$I$89,5,0)</f>
        <v>159.60671999999991</v>
      </c>
      <c r="CA140" s="14">
        <f t="shared" si="147"/>
        <v>40.753797303493201</v>
      </c>
      <c r="CB140" s="22">
        <f t="shared" si="118"/>
        <v>348.96123430358381</v>
      </c>
      <c r="CC140" s="62">
        <f t="shared" si="119"/>
        <v>642.29456763691712</v>
      </c>
      <c r="CD140" s="62">
        <f ca="1">AVERAGE(OFFSET($CC$3,0,0,'Données projet'!$E$12+1,1))-AVERAGE(OFFSET($H$3,0,0,'Données projet'!$E$12+1,1))</f>
        <v>37.174340347509542</v>
      </c>
      <c r="CE140" s="62">
        <f t="shared" si="148"/>
        <v>-42.822755675927624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25.003521152341992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25.003521152341992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4.2</v>
      </c>
      <c r="CT140" s="13">
        <f>IF('Données projet'!$A$140&gt;35,CT139+CS140-DB139,IF(A140&lt;'Données projet'!$A$140,$CQ$205^A140,IF(A140='Données projet'!$A$140,'Données projet'!$B$140,CT139+CS140-DB139)))</f>
        <v>176.39999999999992</v>
      </c>
      <c r="CU140" s="18">
        <f>CT140*VLOOKUP('Données projet'!$B$13,Paramètres!$A$1:$I$89,3,0)*VLOOKUP('Données projet'!$B$13,Paramètres!$A$1:$I$89,5,0)</f>
        <v>184.37327999999994</v>
      </c>
      <c r="CV140" s="14">
        <f t="shared" si="149"/>
        <v>46.293796863314647</v>
      </c>
      <c r="CW140" s="22">
        <f t="shared" si="121"/>
        <v>401.74515887027286</v>
      </c>
      <c r="CX140" s="62">
        <f t="shared" si="122"/>
        <v>695.07849220360617</v>
      </c>
      <c r="CY140" s="62">
        <f ca="1">AVERAGE(OFFSET($CX$3,0,0,'Données projet'!$E$13+1,1))-AVERAGE(OFFSET($H$3,0,0,'Données projet'!$E$13+1,1))</f>
        <v>63.282881814092605</v>
      </c>
      <c r="CZ140" s="62">
        <f t="shared" si="150"/>
        <v>-40.869120230674525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28.883377882877834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28.883377882877834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111.94559999999994</v>
      </c>
      <c r="D141" s="12">
        <f t="shared" si="140"/>
        <v>29.788914309703735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1094.0909876538531</v>
      </c>
      <c r="H141" s="70">
        <f t="shared" si="110"/>
        <v>540.18761242273388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-2.8908289095852525E-14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121.64341556501768</v>
      </c>
      <c r="T141" s="62">
        <f t="shared" si="142"/>
        <v>370.21160497429781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8.963333924787797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8.963333924787797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-3.2810021366458389E-14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140.99869591649082</v>
      </c>
      <c r="AO141" s="62">
        <f t="shared" si="144"/>
        <v>425.5885140588652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10.173109055740756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10.173109055740756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-3.2810021366458389E-14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140.99869591649082</v>
      </c>
      <c r="BJ141" s="62">
        <f t="shared" si="146"/>
        <v>425.5885140588652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10.173109055740756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10.173109055740756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4.2</v>
      </c>
      <c r="BY141" s="13">
        <f>IF('Données projet'!$A$114&gt;35,BY140+BX141-CG140,IF(A141&lt;'Données projet'!$A$114,$BV$205^A141,IF(A141='Données projet'!$A$114,'Données projet'!$B$114,BY140+BX141-CG140)))</f>
        <v>180.59999999999991</v>
      </c>
      <c r="BZ141" s="14">
        <f>BY141*VLOOKUP('Données projet'!$B$12,Paramètres!$A$1:$I$89,3,0)*VLOOKUP('Données projet'!$B$12,Paramètres!$A$1:$I$89,5,0)</f>
        <v>163.40687999999992</v>
      </c>
      <c r="CA141" s="14">
        <f t="shared" si="147"/>
        <v>41.610001881769797</v>
      </c>
      <c r="CB141" s="22">
        <f t="shared" si="118"/>
        <v>357.07106927741552</v>
      </c>
      <c r="CC141" s="62">
        <f t="shared" si="119"/>
        <v>650.40440261074878</v>
      </c>
      <c r="CD141" s="62">
        <f ca="1">AVERAGE(OFFSET($CC$3,0,0,'Données projet'!$E$12+1,1))-AVERAGE(OFFSET($H$3,0,0,'Données projet'!$E$12+1,1))</f>
        <v>37.174340347509542</v>
      </c>
      <c r="CE141" s="62">
        <f t="shared" si="148"/>
        <v>-42.822755675927624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24.513217353186594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24.513217353186594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4.2</v>
      </c>
      <c r="CT141" s="13">
        <f>IF('Données projet'!$A$140&gt;35,CT140+CS141-DB140,IF(A141&lt;'Données projet'!$A$140,$CQ$205^A141,IF(A141='Données projet'!$A$140,'Données projet'!$B$140,CT140+CS141-DB140)))</f>
        <v>180.59999999999991</v>
      </c>
      <c r="CU141" s="18">
        <f>CT141*VLOOKUP('Données projet'!$B$13,Paramètres!$A$1:$I$89,3,0)*VLOOKUP('Données projet'!$B$13,Paramètres!$A$1:$I$89,5,0)</f>
        <v>188.76311999999993</v>
      </c>
      <c r="CV141" s="14">
        <f t="shared" si="149"/>
        <v>47.266392386745324</v>
      </c>
      <c r="CW141" s="22">
        <f t="shared" si="121"/>
        <v>411.08473407358127</v>
      </c>
      <c r="CX141" s="62">
        <f t="shared" si="122"/>
        <v>704.41806740691459</v>
      </c>
      <c r="CY141" s="62">
        <f ca="1">AVERAGE(OFFSET($CX$3,0,0,'Données projet'!$E$13+1,1))-AVERAGE(OFFSET($H$3,0,0,'Données projet'!$E$13+1,1))</f>
        <v>63.282881814092605</v>
      </c>
      <c r="CZ141" s="62">
        <f t="shared" si="150"/>
        <v>-40.869120230674525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28.316992459715561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28.316992459715561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112.75679999999994</v>
      </c>
      <c r="D142" s="12">
        <f t="shared" si="140"/>
        <v>29.979569481474449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1101.8246065236619</v>
      </c>
      <c r="H142" s="70">
        <f t="shared" si="110"/>
        <v>541.93251018023454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-2.8908289095852525E-14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121.64341556501768</v>
      </c>
      <c r="T142" s="62">
        <f t="shared" si="142"/>
        <v>370.21160497429781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8.7875684136165724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8.7875684136165724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-3.2810021366458389E-14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140.99869591649082</v>
      </c>
      <c r="AO142" s="62">
        <f t="shared" si="144"/>
        <v>425.5885140588652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9.9736205921415131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9.9736205921415131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-3.2810021366458389E-14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140.99869591649082</v>
      </c>
      <c r="BJ142" s="62">
        <f t="shared" si="146"/>
        <v>425.5885140588652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9.9736205921415131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9.9736205921415131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4.2</v>
      </c>
      <c r="BY142" s="13">
        <f>IF('Données projet'!$A$114&gt;35,BY141+BX142-CG141,IF(A142&lt;'Données projet'!$A$114,$BV$205^A142,IF(A142='Données projet'!$A$114,'Données projet'!$B$114,BY141+BX142-CG141)))</f>
        <v>184.7999999999999</v>
      </c>
      <c r="BZ142" s="14">
        <f>BY142*VLOOKUP('Données projet'!$B$12,Paramètres!$A$1:$I$89,3,0)*VLOOKUP('Données projet'!$B$12,Paramètres!$A$1:$I$89,5,0)</f>
        <v>167.20703999999989</v>
      </c>
      <c r="CA142" s="14">
        <f t="shared" si="147"/>
        <v>42.463891647822791</v>
      </c>
      <c r="CB142" s="22">
        <f t="shared" si="118"/>
        <v>365.17687261995781</v>
      </c>
      <c r="CC142" s="62">
        <f t="shared" si="119"/>
        <v>658.51020595329112</v>
      </c>
      <c r="CD142" s="62">
        <f ca="1">AVERAGE(OFFSET($CC$3,0,0,'Données projet'!$E$12+1,1))-AVERAGE(OFFSET($H$3,0,0,'Données projet'!$E$12+1,1))</f>
        <v>37.174340347509542</v>
      </c>
      <c r="CE142" s="62">
        <f t="shared" si="148"/>
        <v>-42.822755675927624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24.032528112476843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24.032528112476843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4.2</v>
      </c>
      <c r="CT142" s="13">
        <f>IF('Données projet'!$A$140&gt;35,CT141+CS142-DB141,IF(A142&lt;'Données projet'!$A$140,$CQ$205^A142,IF(A142='Données projet'!$A$140,'Données projet'!$B$140,CT141+CS142-DB141)))</f>
        <v>184.7999999999999</v>
      </c>
      <c r="CU142" s="18">
        <f>CT142*VLOOKUP('Données projet'!$B$13,Paramètres!$A$1:$I$89,3,0)*VLOOKUP('Données projet'!$B$13,Paramètres!$A$1:$I$89,5,0)</f>
        <v>193.15295999999992</v>
      </c>
      <c r="CV142" s="14">
        <f t="shared" si="149"/>
        <v>48.236358426448142</v>
      </c>
      <c r="CW142" s="22">
        <f t="shared" si="121"/>
        <v>420.41972959273039</v>
      </c>
      <c r="CX142" s="62">
        <f t="shared" si="122"/>
        <v>713.75306292606365</v>
      </c>
      <c r="CY142" s="62">
        <f ca="1">AVERAGE(OFFSET($CX$3,0,0,'Données projet'!$E$13+1,1))-AVERAGE(OFFSET($H$3,0,0,'Données projet'!$E$13+1,1))</f>
        <v>63.282881814092605</v>
      </c>
      <c r="CZ142" s="62">
        <f t="shared" si="150"/>
        <v>-40.869120230674525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27.761713509240504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27.761713509240504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113.56799999999994</v>
      </c>
      <c r="D143" s="12">
        <f t="shared" si="140"/>
        <v>30.170065062058185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1109.5569934615014</v>
      </c>
      <c r="H143" s="70">
        <f t="shared" si="110"/>
        <v>543.67712998308457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-2.8908289095852525E-14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121.64341556501768</v>
      </c>
      <c r="T143" s="62">
        <f t="shared" si="142"/>
        <v>370.21160497429781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8.6152495569130387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8.6152495569130387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-3.2810021366458389E-14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140.99869591649082</v>
      </c>
      <c r="AO143" s="62">
        <f t="shared" si="144"/>
        <v>425.5885140588652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9.7780439756375017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9.7780439756375017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-3.2810021366458389E-14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140.99869591649082</v>
      </c>
      <c r="BJ143" s="62">
        <f t="shared" si="146"/>
        <v>425.5885140588652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9.7780439756375017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9.7780439756375017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189</v>
      </c>
      <c r="BW143" s="13">
        <f>VLOOKUP(A143,'Données projet'!$A$113:$I$133,9,0)</f>
        <v>4.2</v>
      </c>
      <c r="BX143" s="13">
        <f t="array" ref="BX143">INDEX(BW:BW,MIN(IF(ISNUMBER(BW143:BW339),ROW(BW143:BW339),"")))</f>
        <v>4.2</v>
      </c>
      <c r="BY143" s="13">
        <f>IF('Données projet'!$A$114&gt;35,BY142+BX143-CG142,IF(A143&lt;'Données projet'!$A$114,$BV$205^A143,IF(A143='Données projet'!$A$114,'Données projet'!$B$114,BY142+BX143-CG142)))</f>
        <v>188.99999999999989</v>
      </c>
      <c r="BZ143" s="14">
        <f>BY143*VLOOKUP('Données projet'!$B$12,Paramètres!$A$1:$I$89,3,0)*VLOOKUP('Données projet'!$B$12,Paramètres!$A$1:$I$89,5,0)</f>
        <v>171.0071999999999</v>
      </c>
      <c r="CA143" s="14">
        <f t="shared" si="147"/>
        <v>43.315525267338053</v>
      </c>
      <c r="CB143" s="22">
        <f t="shared" si="118"/>
        <v>373.27874650728023</v>
      </c>
      <c r="CC143" s="62">
        <f t="shared" si="119"/>
        <v>666.61207984061355</v>
      </c>
      <c r="CD143" s="62">
        <f ca="1">AVERAGE(OFFSET($CC$3,0,0,'Données projet'!$E$12+1,1))-AVERAGE(OFFSET($H$3,0,0,'Données projet'!$E$12+1,1))</f>
        <v>37.174340347509542</v>
      </c>
      <c r="CE143" s="62">
        <f t="shared" si="148"/>
        <v>-42.822755675927624</v>
      </c>
      <c r="CF143" s="16">
        <f>IF(ISNA(VLOOKUP(A143,'Données projet'!$A$113:$I$133,3,0)),0,VLOOKUP(A143,'Données projet'!$A$113:$I$133,3,0))</f>
        <v>17</v>
      </c>
      <c r="CG143" s="16">
        <f>IF(ISNA(VLOOKUP(A143,'Données projet'!$A$113:$I$133,4,0)),0,VLOOKUP(A143,'Données projet'!$A$113:$I$133,4,0))</f>
        <v>39</v>
      </c>
      <c r="CH143" s="17">
        <f>IF(ISNA(VLOOKUP(A143,'Données projet'!$A$113:$I$133,5,0)),0%,VLOOKUP(A143,'Données projet'!$A$113:$I$133,5,0)*VLOOKUP('Données projet'!$B$12,Paramètres!$A$1:$I$89,7,0))</f>
        <v>0.18489999999999998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30.774020558829456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30.774020558829456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189</v>
      </c>
      <c r="CR143" s="13">
        <f>VLOOKUP(A143,'Données projet'!$A$139:$I$159,9,0)</f>
        <v>4.2</v>
      </c>
      <c r="CS143" s="13">
        <f t="array" ref="CS143">INDEX(CR:CR,MIN(IF(ISNUMBER(CR143:CR339),ROW(CR143:CR339),"")))</f>
        <v>4.2</v>
      </c>
      <c r="CT143" s="13">
        <f>IF('Données projet'!$A$140&gt;35,CT142+CS143-DB142,IF(A143&lt;'Données projet'!$A$140,$CQ$205^A143,IF(A143='Données projet'!$A$140,'Données projet'!$B$140,CT142+CS143-DB142)))</f>
        <v>188.99999999999989</v>
      </c>
      <c r="CU143" s="18">
        <f>CT143*VLOOKUP('Données projet'!$B$13,Paramètres!$A$1:$I$89,3,0)*VLOOKUP('Données projet'!$B$13,Paramètres!$A$1:$I$89,5,0)</f>
        <v>197.54279999999989</v>
      </c>
      <c r="CV143" s="14">
        <f t="shared" si="149"/>
        <v>49.203761623019169</v>
      </c>
      <c r="CW143" s="22">
        <f t="shared" si="121"/>
        <v>429.75026149342489</v>
      </c>
      <c r="CX143" s="62">
        <f t="shared" si="122"/>
        <v>723.08359482675814</v>
      </c>
      <c r="CY143" s="62">
        <f ca="1">AVERAGE(OFFSET($CX$3,0,0,'Données projet'!$E$13+1,1))-AVERAGE(OFFSET($H$3,0,0,'Données projet'!$E$13+1,1))</f>
        <v>63.282881814092605</v>
      </c>
      <c r="CZ143" s="62">
        <f t="shared" si="150"/>
        <v>-40.869120230674525</v>
      </c>
      <c r="DA143" s="16">
        <f>IF(ISNA(VLOOKUP(A143,'Données projet'!$A$139:$I$159,3,0)),0,VLOOKUP(A143,'Données projet'!$A$139:$I$159,3,0))</f>
        <v>17</v>
      </c>
      <c r="DB143" s="16">
        <f>IF(ISNA(VLOOKUP(A143,'Données projet'!$A$139:$I$159,4,0)),0,VLOOKUP(A143,'Données projet'!$A$139:$I$159,4,0))</f>
        <v>39</v>
      </c>
      <c r="DC143" s="17">
        <f>IF(ISNA(VLOOKUP(A143,'Données projet'!$A$139:$I$159,5,0)),0%,VLOOKUP(A143,'Données projet'!$A$139:$I$159,5,0)*VLOOKUP('Données projet'!$B$13,Paramètres!$A$1:$I$89,7,0))</f>
        <v>0.18489999999999998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35.549299611061628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35.549299611061628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114.37919999999994</v>
      </c>
      <c r="D144" s="12">
        <f t="shared" si="140"/>
        <v>30.360402323573524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1117.288158287234</v>
      </c>
      <c r="H144" s="70">
        <f t="shared" si="110"/>
        <v>545.42147404689047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-2.8908289095852525E-14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121.64341556501768</v>
      </c>
      <c r="T144" s="62">
        <f t="shared" si="142"/>
        <v>370.21160497429781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8.4463097678853369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8.4463097678853369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-3.2810021366458389E-14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140.99869591649082</v>
      </c>
      <c r="AO144" s="62">
        <f t="shared" si="144"/>
        <v>425.5885140588652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9.5863024972931772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9.5863024972931772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-3.2810021366458389E-14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140.99869591649082</v>
      </c>
      <c r="BJ144" s="62">
        <f t="shared" si="146"/>
        <v>425.5885140588652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9.5863024972931772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9.5863024972931772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5.0999999999999996</v>
      </c>
      <c r="BY144" s="13">
        <f>IF('Données projet'!$A$114&gt;35,BY143+BX144-CG143,IF(A144&lt;'Données projet'!$A$114,$BV$205^A144,IF(A144='Données projet'!$A$114,'Données projet'!$B$114,BY143+BX144-CG143)))</f>
        <v>155.09999999999988</v>
      </c>
      <c r="BZ144" s="14">
        <f>BY144*VLOOKUP('Données projet'!$B$12,Paramètres!$A$1:$I$89,3,0)*VLOOKUP('Données projet'!$B$12,Paramètres!$A$1:$I$89,5,0)</f>
        <v>140.3344799999999</v>
      </c>
      <c r="CA144" s="14">
        <f t="shared" si="147"/>
        <v>36.373619521030164</v>
      </c>
      <c r="CB144" s="22">
        <f t="shared" si="118"/>
        <v>307.76660666579409</v>
      </c>
      <c r="CC144" s="62">
        <f t="shared" si="119"/>
        <v>601.0999399991274</v>
      </c>
      <c r="CD144" s="62">
        <f ca="1">AVERAGE(OFFSET($CC$3,0,0,'Données projet'!$E$12+1,1))-AVERAGE(OFFSET($H$3,0,0,'Données projet'!$E$12+1,1))</f>
        <v>37.174340347509542</v>
      </c>
      <c r="CE144" s="62">
        <f t="shared" si="148"/>
        <v>-42.822755675927624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30.170560785969936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30.170560785969936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5.0999999999999996</v>
      </c>
      <c r="CT144" s="13">
        <f>IF('Données projet'!$A$140&gt;35,CT143+CS144-DB143,IF(A144&lt;'Données projet'!$A$140,$CQ$205^A144,IF(A144='Données projet'!$A$140,'Données projet'!$B$140,CT143+CS144-DB143)))</f>
        <v>155.09999999999988</v>
      </c>
      <c r="CU144" s="18">
        <f>CT144*VLOOKUP('Données projet'!$B$13,Paramètres!$A$1:$I$89,3,0)*VLOOKUP('Données projet'!$B$13,Paramètres!$A$1:$I$89,5,0)</f>
        <v>162.11051999999989</v>
      </c>
      <c r="CV144" s="14">
        <f t="shared" si="149"/>
        <v>41.318185413503429</v>
      </c>
      <c r="CW144" s="22">
        <f t="shared" si="121"/>
        <v>354.30499526185162</v>
      </c>
      <c r="CX144" s="62">
        <f t="shared" si="122"/>
        <v>647.63832859518493</v>
      </c>
      <c r="CY144" s="62">
        <f ca="1">AVERAGE(OFFSET($CX$3,0,0,'Données projet'!$E$13+1,1))-AVERAGE(OFFSET($H$3,0,0,'Données projet'!$E$13+1,1))</f>
        <v>63.282881814092605</v>
      </c>
      <c r="CZ144" s="62">
        <f t="shared" si="150"/>
        <v>-40.869120230674525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34.85219952862046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34.85219952862046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115.19039999999994</v>
      </c>
      <c r="D145" s="12">
        <f t="shared" si="140"/>
        <v>30.550582519051918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1125.0181106733828</v>
      </c>
      <c r="H145" s="70">
        <f t="shared" si="110"/>
        <v>547.16554455401536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-2.8908289095852525E-14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121.64341556501768</v>
      </c>
      <c r="T145" s="62">
        <f t="shared" si="142"/>
        <v>370.21160497429781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8.2806827850773725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8.2806827850773725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-3.2810021366458389E-14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140.99869591649082</v>
      </c>
      <c r="AO145" s="62">
        <f t="shared" si="144"/>
        <v>425.5885140588652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9.3983209523884312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9.3983209523884312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-3.2810021366458389E-14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140.99869591649082</v>
      </c>
      <c r="BJ145" s="62">
        <f t="shared" si="146"/>
        <v>425.5885140588652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9.3983209523884312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9.3983209523884312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5.0999999999999996</v>
      </c>
      <c r="BY145" s="13">
        <f>IF('Données projet'!$A$114&gt;35,BY144+BX145-CG144,IF(A145&lt;'Données projet'!$A$114,$BV$205^A145,IF(A145='Données projet'!$A$114,'Données projet'!$B$114,BY144+BX145-CG144)))</f>
        <v>160.19999999999987</v>
      </c>
      <c r="BZ145" s="14">
        <f>BY145*VLOOKUP('Données projet'!$B$12,Paramètres!$A$1:$I$89,3,0)*VLOOKUP('Données projet'!$B$12,Paramètres!$A$1:$I$89,5,0)</f>
        <v>144.94895999999989</v>
      </c>
      <c r="CA145" s="14">
        <f t="shared" si="147"/>
        <v>37.428440359311011</v>
      </c>
      <c r="CB145" s="22">
        <f t="shared" si="118"/>
        <v>317.64063895913318</v>
      </c>
      <c r="CC145" s="62">
        <f t="shared" si="119"/>
        <v>610.97397229246644</v>
      </c>
      <c r="CD145" s="62">
        <f ca="1">AVERAGE(OFFSET($CC$3,0,0,'Données projet'!$E$12+1,1))-AVERAGE(OFFSET($H$3,0,0,'Données projet'!$E$12+1,1))</f>
        <v>37.174340347509542</v>
      </c>
      <c r="CE145" s="62">
        <f t="shared" si="148"/>
        <v>-42.822755675927624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29.578934491182075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29.578934491182075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5.0999999999999996</v>
      </c>
      <c r="CT145" s="13">
        <f>IF('Données projet'!$A$140&gt;35,CT144+CS145-DB144,IF(A145&lt;'Données projet'!$A$140,$CQ$205^A145,IF(A145='Données projet'!$A$140,'Données projet'!$B$140,CT144+CS145-DB144)))</f>
        <v>160.19999999999987</v>
      </c>
      <c r="CU145" s="18">
        <f>CT145*VLOOKUP('Données projet'!$B$13,Paramètres!$A$1:$I$89,3,0)*VLOOKUP('Données projet'!$B$13,Paramètres!$A$1:$I$89,5,0)</f>
        <v>167.44103999999987</v>
      </c>
      <c r="CV145" s="14">
        <f t="shared" si="149"/>
        <v>42.516396742153724</v>
      </c>
      <c r="CW145" s="22">
        <f t="shared" si="121"/>
        <v>365.67586899258413</v>
      </c>
      <c r="CX145" s="62">
        <f t="shared" si="122"/>
        <v>659.00920232591739</v>
      </c>
      <c r="CY145" s="62">
        <f ca="1">AVERAGE(OFFSET($CX$3,0,0,'Données projet'!$E$13+1,1))-AVERAGE(OFFSET($H$3,0,0,'Données projet'!$E$13+1,1))</f>
        <v>63.282881814092605</v>
      </c>
      <c r="CZ145" s="62">
        <f t="shared" si="150"/>
        <v>-40.869120230674525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34.168769153606895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34.168769153606895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116.00159999999994</v>
      </c>
      <c r="D146" s="12">
        <f t="shared" si="140"/>
        <v>30.740606882856699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1132.746860148367</v>
      </c>
      <c r="H146" s="70">
        <f t="shared" si="110"/>
        <v>548.9093436543086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-2.8908289095852525E-14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121.64341556501768</v>
      </c>
      <c r="T146" s="62">
        <f t="shared" si="142"/>
        <v>370.21160497429781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8.118303646379788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8.118303646379788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-3.2810021366458389E-14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140.99869591649082</v>
      </c>
      <c r="AO146" s="62">
        <f t="shared" si="144"/>
        <v>425.5885140588652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9.2140256109218459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9.2140256109218459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-3.2810021366458389E-14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140.99869591649082</v>
      </c>
      <c r="BJ146" s="62">
        <f t="shared" si="146"/>
        <v>425.5885140588652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9.2140256109218459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9.2140256109218459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5.0999999999999996</v>
      </c>
      <c r="BY146" s="13">
        <f>IF('Données projet'!$A$114&gt;35,BY145+BX146-CG145,IF(A146&lt;'Données projet'!$A$114,$BV$205^A146,IF(A146='Données projet'!$A$114,'Données projet'!$B$114,BY145+BX146-CG145)))</f>
        <v>165.29999999999987</v>
      </c>
      <c r="BZ146" s="14">
        <f>BY146*VLOOKUP('Données projet'!$B$12,Paramètres!$A$1:$I$89,3,0)*VLOOKUP('Données projet'!$B$12,Paramètres!$A$1:$I$89,5,0)</f>
        <v>149.5634399999999</v>
      </c>
      <c r="CA146" s="14">
        <f t="shared" si="147"/>
        <v>38.47935897140475</v>
      </c>
      <c r="CB146" s="22">
        <f t="shared" si="118"/>
        <v>327.50787487519636</v>
      </c>
      <c r="CC146" s="62">
        <f t="shared" si="119"/>
        <v>620.84120820852968</v>
      </c>
      <c r="CD146" s="62">
        <f ca="1">AVERAGE(OFFSET($CC$3,0,0,'Données projet'!$E$12+1,1))-AVERAGE(OFFSET($H$3,0,0,'Données projet'!$E$12+1,1))</f>
        <v>37.174340347509542</v>
      </c>
      <c r="CE146" s="62">
        <f t="shared" si="148"/>
        <v>-42.822755675927624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28.998909627178598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28.998909627178598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5.0999999999999996</v>
      </c>
      <c r="CT146" s="13">
        <f>IF('Données projet'!$A$140&gt;35,CT145+CS146-DB145,IF(A146&lt;'Données projet'!$A$140,$CQ$205^A146,IF(A146='Données projet'!$A$140,'Données projet'!$B$140,CT145+CS146-DB145)))</f>
        <v>165.29999999999987</v>
      </c>
      <c r="CU146" s="18">
        <f>CT146*VLOOKUP('Données projet'!$B$13,Paramètres!$A$1:$I$89,3,0)*VLOOKUP('Données projet'!$B$13,Paramètres!$A$1:$I$89,5,0)</f>
        <v>172.77155999999988</v>
      </c>
      <c r="CV146" s="14">
        <f t="shared" si="149"/>
        <v>43.710175382849265</v>
      </c>
      <c r="CW146" s="22">
        <f t="shared" si="121"/>
        <v>377.03902245846228</v>
      </c>
      <c r="CX146" s="62">
        <f t="shared" si="122"/>
        <v>670.3723557917956</v>
      </c>
      <c r="CY146" s="62">
        <f ca="1">AVERAGE(OFFSET($CX$3,0,0,'Données projet'!$E$13+1,1))-AVERAGE(OFFSET($H$3,0,0,'Données projet'!$E$13+1,1))</f>
        <v>63.282881814092605</v>
      </c>
      <c r="CZ146" s="62">
        <f t="shared" si="150"/>
        <v>-40.869120230674525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33.49874043139598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33.49874043139598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116.81279999999994</v>
      </c>
      <c r="D147" s="12">
        <f t="shared" si="140"/>
        <v>30.930476631089483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1140.4744160996379</v>
      </c>
      <c r="H147" s="70">
        <f t="shared" si="110"/>
        <v>550.65287346581408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-2.8908289095852525E-14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121.64341556501768</v>
      </c>
      <c r="T147" s="62">
        <f t="shared" si="142"/>
        <v>370.21160497429781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7.959108663550567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7.959108663550567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-3.2810021366458389E-14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140.99869591649082</v>
      </c>
      <c r="AO147" s="62">
        <f t="shared" si="144"/>
        <v>425.5885140588652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9.0333441886923627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9.0333441886923627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-3.2810021366458389E-14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140.99869591649082</v>
      </c>
      <c r="BJ147" s="62">
        <f t="shared" si="146"/>
        <v>425.5885140588652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9.0333441886923627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9.0333441886923627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5.0999999999999996</v>
      </c>
      <c r="BY147" s="13">
        <f>IF('Données projet'!$A$114&gt;35,BY146+BX147-CG146,IF(A147&lt;'Données projet'!$A$114,$BV$205^A147,IF(A147='Données projet'!$A$114,'Données projet'!$B$114,BY146+BX147-CG146)))</f>
        <v>170.39999999999986</v>
      </c>
      <c r="BZ147" s="14">
        <f>BY147*VLOOKUP('Données projet'!$B$12,Paramètres!$A$1:$I$89,3,0)*VLOOKUP('Données projet'!$B$12,Paramètres!$A$1:$I$89,5,0)</f>
        <v>154.17791999999986</v>
      </c>
      <c r="CA147" s="14">
        <f t="shared" si="147"/>
        <v>39.526509568829233</v>
      </c>
      <c r="CB147" s="22">
        <f t="shared" si="118"/>
        <v>337.36854816571065</v>
      </c>
      <c r="CC147" s="62">
        <f t="shared" si="119"/>
        <v>630.70188149904402</v>
      </c>
      <c r="CD147" s="62">
        <f ca="1">AVERAGE(OFFSET($CC$3,0,0,'Données projet'!$E$12+1,1))-AVERAGE(OFFSET($H$3,0,0,'Données projet'!$E$12+1,1))</f>
        <v>37.174340347509542</v>
      </c>
      <c r="CE147" s="62">
        <f t="shared" si="148"/>
        <v>-42.822755675927624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28.430258696977994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28.430258696977994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5.0999999999999996</v>
      </c>
      <c r="CT147" s="13">
        <f>IF('Données projet'!$A$140&gt;35,CT146+CS147-DB146,IF(A147&lt;'Données projet'!$A$140,$CQ$205^A147,IF(A147='Données projet'!$A$140,'Données projet'!$B$140,CT146+CS147-DB146)))</f>
        <v>170.39999999999986</v>
      </c>
      <c r="CU147" s="18">
        <f>CT147*VLOOKUP('Données projet'!$B$13,Paramètres!$A$1:$I$89,3,0)*VLOOKUP('Données projet'!$B$13,Paramètres!$A$1:$I$89,5,0)</f>
        <v>178.10207999999989</v>
      </c>
      <c r="CV147" s="14">
        <f t="shared" si="149"/>
        <v>44.899673791585542</v>
      </c>
      <c r="CW147" s="22">
        <f t="shared" si="121"/>
        <v>388.39472118701127</v>
      </c>
      <c r="CX147" s="62">
        <f t="shared" si="122"/>
        <v>681.72805452034459</v>
      </c>
      <c r="CY147" s="62">
        <f ca="1">AVERAGE(OFFSET($CX$3,0,0,'Données projet'!$E$13+1,1))-AVERAGE(OFFSET($H$3,0,0,'Données projet'!$E$13+1,1))</f>
        <v>63.282881814092605</v>
      </c>
      <c r="CZ147" s="62">
        <f t="shared" si="150"/>
        <v>-40.869120230674525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32.841850563750455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32.841850563750455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117.62399999999994</v>
      </c>
      <c r="D148" s="12">
        <f t="shared" si="140"/>
        <v>31.120192961985413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1148.2007877767292</v>
      </c>
      <c r="H148" s="70">
        <f t="shared" si="110"/>
        <v>552.39613607545789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-2.8908289095852525E-14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121.64341556501768</v>
      </c>
      <c r="T148" s="62">
        <f t="shared" si="142"/>
        <v>370.21160497429781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7.8030353972352753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7.8030353972352753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-3.2810021366458389E-14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140.99869591649082</v>
      </c>
      <c r="AO148" s="62">
        <f t="shared" si="144"/>
        <v>425.5885140588652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8.8562058189480126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8.8562058189480126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-3.2810021366458389E-14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140.99869591649082</v>
      </c>
      <c r="BJ148" s="62">
        <f t="shared" si="146"/>
        <v>425.5885140588652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8.8562058189480126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8.8562058189480126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5.0999999999999996</v>
      </c>
      <c r="BY148" s="13">
        <f>IF('Données projet'!$A$114&gt;35,BY147+BX148-CG147,IF(A148&lt;'Données projet'!$A$114,$BV$205^A148,IF(A148='Données projet'!$A$114,'Données projet'!$B$114,BY147+BX148-CG147)))</f>
        <v>175.49999999999986</v>
      </c>
      <c r="BZ148" s="14">
        <f>BY148*VLOOKUP('Données projet'!$B$12,Paramètres!$A$1:$I$89,3,0)*VLOOKUP('Données projet'!$B$12,Paramètres!$A$1:$I$89,5,0)</f>
        <v>158.79239999999987</v>
      </c>
      <c r="CA148" s="14">
        <f t="shared" si="147"/>
        <v>40.570017872698209</v>
      </c>
      <c r="CB148" s="22">
        <f t="shared" si="118"/>
        <v>347.22287779494917</v>
      </c>
      <c r="CC148" s="62">
        <f t="shared" si="119"/>
        <v>640.55621112828248</v>
      </c>
      <c r="CD148" s="62">
        <f ca="1">AVERAGE(OFFSET($CC$3,0,0,'Données projet'!$E$12+1,1))-AVERAGE(OFFSET($H$3,0,0,'Données projet'!$E$12+1,1))</f>
        <v>37.174340347509542</v>
      </c>
      <c r="CE148" s="62">
        <f t="shared" si="148"/>
        <v>-42.822755675927624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27.872758664675803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27.872758664675803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5.0999999999999996</v>
      </c>
      <c r="CT148" s="13">
        <f>IF('Données projet'!$A$140&gt;35,CT147+CS148-DB147,IF(A148&lt;'Données projet'!$A$140,$CQ$205^A148,IF(A148='Données projet'!$A$140,'Données projet'!$B$140,CT147+CS148-DB147)))</f>
        <v>175.49999999999986</v>
      </c>
      <c r="CU148" s="18">
        <f>CT148*VLOOKUP('Données projet'!$B$13,Paramètres!$A$1:$I$89,3,0)*VLOOKUP('Données projet'!$B$13,Paramètres!$A$1:$I$89,5,0)</f>
        <v>183.43259999999987</v>
      </c>
      <c r="CV148" s="14">
        <f t="shared" si="149"/>
        <v>46.085034779783655</v>
      </c>
      <c r="CW148" s="22">
        <f t="shared" si="121"/>
        <v>399.74321390812293</v>
      </c>
      <c r="CX148" s="62">
        <f t="shared" si="122"/>
        <v>693.07654724145618</v>
      </c>
      <c r="CY148" s="62">
        <f ca="1">AVERAGE(OFFSET($CX$3,0,0,'Données projet'!$E$13+1,1))-AVERAGE(OFFSET($H$3,0,0,'Données projet'!$E$13+1,1))</f>
        <v>63.282881814092605</v>
      </c>
      <c r="CZ148" s="62">
        <f t="shared" si="150"/>
        <v>-40.869120230674525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32.197841905746202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32.197841905746202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118.43519999999994</v>
      </c>
      <c r="D149" s="12">
        <f t="shared" si="140"/>
        <v>31.309757056296963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1155.9259842942217</v>
      </c>
      <c r="H149" s="70">
        <f t="shared" si="110"/>
        <v>554.13913353971702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-2.8908289095852525E-14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121.64341556501768</v>
      </c>
      <c r="T149" s="62">
        <f t="shared" si="142"/>
        <v>370.21160497429781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7.6500226324771337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7.6500226324771337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-3.2810021366458389E-14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140.99869591649082</v>
      </c>
      <c r="AO149" s="62">
        <f t="shared" si="144"/>
        <v>425.5885140588652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8.6825410245906127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8.6825410245906127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-3.2810021366458389E-14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140.99869591649082</v>
      </c>
      <c r="BJ149" s="62">
        <f t="shared" si="146"/>
        <v>425.5885140588652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8.6825410245906127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8.6825410245906127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5.0999999999999996</v>
      </c>
      <c r="BY149" s="13">
        <f>IF('Données projet'!$A$114&gt;35,BY148+BX149-CG148,IF(A149&lt;'Données projet'!$A$114,$BV$205^A149,IF(A149='Données projet'!$A$114,'Données projet'!$B$114,BY148+BX149-CG148)))</f>
        <v>180.59999999999985</v>
      </c>
      <c r="BZ149" s="14">
        <f>BY149*VLOOKUP('Données projet'!$B$12,Paramètres!$A$1:$I$89,3,0)*VLOOKUP('Données projet'!$B$12,Paramètres!$A$1:$I$89,5,0)</f>
        <v>163.40687999999986</v>
      </c>
      <c r="CA149" s="14">
        <f t="shared" si="147"/>
        <v>41.610001881769797</v>
      </c>
      <c r="CB149" s="22">
        <f t="shared" si="118"/>
        <v>357.07106927741552</v>
      </c>
      <c r="CC149" s="62">
        <f t="shared" si="119"/>
        <v>650.40440261074878</v>
      </c>
      <c r="CD149" s="62">
        <f ca="1">AVERAGE(OFFSET($CC$3,0,0,'Données projet'!$E$12+1,1))-AVERAGE(OFFSET($H$3,0,0,'Données projet'!$E$12+1,1))</f>
        <v>37.174340347509542</v>
      </c>
      <c r="CE149" s="62">
        <f t="shared" si="148"/>
        <v>-42.822755675927624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27.326190867965618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27.326190867965618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5.0999999999999996</v>
      </c>
      <c r="CT149" s="13">
        <f>IF('Données projet'!$A$140&gt;35,CT148+CS149-DB148,IF(A149&lt;'Données projet'!$A$140,$CQ$205^A149,IF(A149='Données projet'!$A$140,'Données projet'!$B$140,CT148+CS149-DB148)))</f>
        <v>180.59999999999985</v>
      </c>
      <c r="CU149" s="18">
        <f>CT149*VLOOKUP('Données projet'!$B$13,Paramètres!$A$1:$I$89,3,0)*VLOOKUP('Données projet'!$B$13,Paramètres!$A$1:$I$89,5,0)</f>
        <v>188.76311999999987</v>
      </c>
      <c r="CV149" s="14">
        <f t="shared" si="149"/>
        <v>47.266392386745324</v>
      </c>
      <c r="CW149" s="22">
        <f t="shared" si="121"/>
        <v>411.08473407358116</v>
      </c>
      <c r="CX149" s="62">
        <f t="shared" si="122"/>
        <v>704.41806740691447</v>
      </c>
      <c r="CY149" s="62">
        <f ca="1">AVERAGE(OFFSET($CX$3,0,0,'Données projet'!$E$13+1,1))-AVERAGE(OFFSET($H$3,0,0,'Données projet'!$E$13+1,1))</f>
        <v>63.282881814092605</v>
      </c>
      <c r="CZ149" s="62">
        <f t="shared" si="150"/>
        <v>-40.869120230674525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31.566461864718917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31.566461864718917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119.24639999999994</v>
      </c>
      <c r="D150" s="12">
        <f t="shared" si="140"/>
        <v>31.499170077667014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1163.650014634622</v>
      </c>
      <c r="H150" s="70">
        <f t="shared" si="110"/>
        <v>555.88186788526991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-2.8908289095852525E-14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121.64341556501768</v>
      </c>
      <c r="T150" s="62">
        <f t="shared" si="142"/>
        <v>370.21160497429781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7.500010354707328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7.500010354707328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-3.2810021366458389E-14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140.99869591649082</v>
      </c>
      <c r="AO150" s="62">
        <f t="shared" si="144"/>
        <v>425.5885140588652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8.5122816909254961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8.5122816909254961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-3.2810021366458389E-14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140.99869591649082</v>
      </c>
      <c r="BJ150" s="62">
        <f t="shared" si="146"/>
        <v>425.5885140588652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8.5122816909254961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8.5122816909254961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5.0999999999999996</v>
      </c>
      <c r="BY150" s="13">
        <f>IF('Données projet'!$A$114&gt;35,BY149+BX150-CG149,IF(A150&lt;'Données projet'!$A$114,$BV$205^A150,IF(A150='Données projet'!$A$114,'Données projet'!$B$114,BY149+BX150-CG149)))</f>
        <v>185.69999999999985</v>
      </c>
      <c r="BZ150" s="14">
        <f>BY150*VLOOKUP('Données projet'!$B$12,Paramètres!$A$1:$I$89,3,0)*VLOOKUP('Données projet'!$B$12,Paramètres!$A$1:$I$89,5,0)</f>
        <v>168.02135999999985</v>
      </c>
      <c r="CA150" s="14">
        <f t="shared" si="147"/>
        <v>42.646572551299563</v>
      </c>
      <c r="CB150" s="22">
        <f t="shared" si="118"/>
        <v>366.91331586017981</v>
      </c>
      <c r="CC150" s="62">
        <f t="shared" si="119"/>
        <v>660.24664919351312</v>
      </c>
      <c r="CD150" s="62">
        <f ca="1">AVERAGE(OFFSET($CC$3,0,0,'Données projet'!$E$12+1,1))-AVERAGE(OFFSET($H$3,0,0,'Données projet'!$E$12+1,1))</f>
        <v>37.174340347509542</v>
      </c>
      <c r="CE150" s="62">
        <f t="shared" si="148"/>
        <v>-42.822755675927624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26.790340932375479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26.790340932375479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5.0999999999999996</v>
      </c>
      <c r="CT150" s="13">
        <f>IF('Données projet'!$A$140&gt;35,CT149+CS150-DB149,IF(A150&lt;'Données projet'!$A$140,$CQ$205^A150,IF(A150='Données projet'!$A$140,'Données projet'!$B$140,CT149+CS150-DB149)))</f>
        <v>185.69999999999985</v>
      </c>
      <c r="CU150" s="18">
        <f>CT150*VLOOKUP('Données projet'!$B$13,Paramètres!$A$1:$I$89,3,0)*VLOOKUP('Données projet'!$B$13,Paramètres!$A$1:$I$89,5,0)</f>
        <v>194.09363999999988</v>
      </c>
      <c r="CV150" s="14">
        <f t="shared" si="149"/>
        <v>48.443872650788542</v>
      </c>
      <c r="CW150" s="22">
        <f t="shared" si="121"/>
        <v>422.41950120012319</v>
      </c>
      <c r="CX150" s="62">
        <f t="shared" si="122"/>
        <v>715.75283453345651</v>
      </c>
      <c r="CY150" s="62">
        <f ca="1">AVERAGE(OFFSET($CX$3,0,0,'Données projet'!$E$13+1,1))-AVERAGE(OFFSET($H$3,0,0,'Données projet'!$E$13+1,1))</f>
        <v>63.282881814092605</v>
      </c>
      <c r="CZ150" s="62">
        <f t="shared" si="150"/>
        <v>-40.869120230674525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30.947462801192376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30.947462801192376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120.05759999999994</v>
      </c>
      <c r="D151" s="12">
        <f t="shared" si="140"/>
        <v>31.68843317299136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1171.3728876511611</v>
      </c>
      <c r="H151" s="70">
        <f t="shared" si="110"/>
        <v>557.62434110962647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-2.8908289095852525E-14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121.64341556501768</v>
      </c>
      <c r="T151" s="62">
        <f t="shared" si="142"/>
        <v>370.21160497429781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7.3529397262061336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7.3529397262061336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-3.2810021366458389E-14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140.99869591649082</v>
      </c>
      <c r="AO151" s="62">
        <f t="shared" si="144"/>
        <v>425.5885140588652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8.3453610389456134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8.3453610389456134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-3.2810021366458389E-14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140.99869591649082</v>
      </c>
      <c r="BJ151" s="62">
        <f t="shared" si="146"/>
        <v>425.5885140588652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8.3453610389456134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8.3453610389456134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5.0999999999999996</v>
      </c>
      <c r="BY151" s="13">
        <f>IF('Données projet'!$A$114&gt;35,BY150+BX151-CG150,IF(A151&lt;'Données projet'!$A$114,$BV$205^A151,IF(A151='Données projet'!$A$114,'Données projet'!$B$114,BY150+BX151-CG150)))</f>
        <v>190.79999999999984</v>
      </c>
      <c r="BZ151" s="14">
        <f>BY151*VLOOKUP('Données projet'!$B$12,Paramètres!$A$1:$I$89,3,0)*VLOOKUP('Données projet'!$B$12,Paramètres!$A$1:$I$89,5,0)</f>
        <v>172.63583999999986</v>
      </c>
      <c r="CA151" s="14">
        <f t="shared" si="147"/>
        <v>43.679834395222073</v>
      </c>
      <c r="CB151" s="22">
        <f t="shared" si="118"/>
        <v>376.74979957167824</v>
      </c>
      <c r="CC151" s="62">
        <f t="shared" si="119"/>
        <v>670.08313290501155</v>
      </c>
      <c r="CD151" s="62">
        <f ca="1">AVERAGE(OFFSET($CC$3,0,0,'Données projet'!$E$12+1,1))-AVERAGE(OFFSET($H$3,0,0,'Données projet'!$E$12+1,1))</f>
        <v>37.174340347509542</v>
      </c>
      <c r="CE151" s="62">
        <f t="shared" si="148"/>
        <v>-42.822755675927624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26.264998687186075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26.264998687186075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5.0999999999999996</v>
      </c>
      <c r="CT151" s="13">
        <f>IF('Données projet'!$A$140&gt;35,CT150+CS151-DB150,IF(A151&lt;'Données projet'!$A$140,$CQ$205^A151,IF(A151='Données projet'!$A$140,'Données projet'!$B$140,CT150+CS151-DB150)))</f>
        <v>190.79999999999984</v>
      </c>
      <c r="CU151" s="18">
        <f>CT151*VLOOKUP('Données projet'!$B$13,Paramètres!$A$1:$I$89,3,0)*VLOOKUP('Données projet'!$B$13,Paramètres!$A$1:$I$89,5,0)</f>
        <v>199.42415999999986</v>
      </c>
      <c r="CV151" s="14">
        <f t="shared" si="149"/>
        <v>49.617594293288363</v>
      </c>
      <c r="CW151" s="22">
        <f t="shared" si="121"/>
        <v>433.74772206081025</v>
      </c>
      <c r="CX151" s="62">
        <f t="shared" si="122"/>
        <v>727.0810553941435</v>
      </c>
      <c r="CY151" s="62">
        <f ca="1">AVERAGE(OFFSET($CX$3,0,0,'Données projet'!$E$13+1,1))-AVERAGE(OFFSET($H$3,0,0,'Données projet'!$E$13+1,1))</f>
        <v>63.282881814092605</v>
      </c>
      <c r="CZ151" s="62">
        <f t="shared" si="150"/>
        <v>-40.869120230674525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30.340601931749443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30.340601931749443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120.86879999999994</v>
      </c>
      <c r="D152" s="12">
        <f t="shared" si="140"/>
        <v>31.877547472771269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1179.0946120705146</v>
      </c>
      <c r="H152" s="70">
        <f t="shared" si="110"/>
        <v>559.36655518174314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-2.8908289095852525E-14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121.64341556501768</v>
      </c>
      <c r="T152" s="62">
        <f t="shared" si="142"/>
        <v>370.21160497429781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7.2087530630256218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7.2087530630256218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-3.2810021366458389E-14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140.99869591649082</v>
      </c>
      <c r="AO152" s="62">
        <f t="shared" si="144"/>
        <v>425.5885140588652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8.1817135991395116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8.1817135991395116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-3.2810021366458389E-14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140.99869591649082</v>
      </c>
      <c r="BJ152" s="62">
        <f t="shared" si="146"/>
        <v>425.5885140588652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8.1817135991395116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8.1817135991395116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5.0999999999999996</v>
      </c>
      <c r="BY152" s="13">
        <f>IF('Données projet'!$A$114&gt;35,BY151+BX152-CG151,IF(A152&lt;'Données projet'!$A$114,$BV$205^A152,IF(A152='Données projet'!$A$114,'Données projet'!$B$114,BY151+BX152-CG151)))</f>
        <v>195.89999999999984</v>
      </c>
      <c r="BZ152" s="14">
        <f>BY152*VLOOKUP('Données projet'!$B$12,Paramètres!$A$1:$I$89,3,0)*VLOOKUP('Données projet'!$B$12,Paramètres!$A$1:$I$89,5,0)</f>
        <v>177.25031999999985</v>
      </c>
      <c r="CA152" s="14">
        <f t="shared" si="147"/>
        <v>44.709886022136899</v>
      </c>
      <c r="CB152" s="22">
        <f t="shared" si="118"/>
        <v>386.58069215522141</v>
      </c>
      <c r="CC152" s="62">
        <f t="shared" si="119"/>
        <v>679.91402548855467</v>
      </c>
      <c r="CD152" s="62">
        <f ca="1">AVERAGE(OFFSET($CC$3,0,0,'Données projet'!$E$12+1,1))-AVERAGE(OFFSET($H$3,0,0,'Données projet'!$E$12+1,1))</f>
        <v>37.174340347509542</v>
      </c>
      <c r="CE152" s="62">
        <f t="shared" si="148"/>
        <v>-42.822755675927624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25.749958082997704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25.749958082997704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5.0999999999999996</v>
      </c>
      <c r="CT152" s="13">
        <f>IF('Données projet'!$A$140&gt;35,CT151+CS152-DB151,IF(A152&lt;'Données projet'!$A$140,$CQ$205^A152,IF(A152='Données projet'!$A$140,'Données projet'!$B$140,CT151+CS152-DB151)))</f>
        <v>195.89999999999984</v>
      </c>
      <c r="CU152" s="18">
        <f>CT152*VLOOKUP('Données projet'!$B$13,Paramètres!$A$1:$I$89,3,0)*VLOOKUP('Données projet'!$B$13,Paramètres!$A$1:$I$89,5,0)</f>
        <v>204.75467999999987</v>
      </c>
      <c r="CV152" s="14">
        <f t="shared" si="149"/>
        <v>50.787669327524121</v>
      </c>
      <c r="CW152" s="22">
        <f t="shared" si="121"/>
        <v>445.06959174543755</v>
      </c>
      <c r="CX152" s="62">
        <f t="shared" si="122"/>
        <v>738.40292507877086</v>
      </c>
      <c r="CY152" s="62">
        <f ca="1">AVERAGE(OFFSET($CX$3,0,0,'Données projet'!$E$13+1,1))-AVERAGE(OFFSET($H$3,0,0,'Données projet'!$E$13+1,1))</f>
        <v>63.282881814092605</v>
      </c>
      <c r="CZ152" s="62">
        <f t="shared" si="150"/>
        <v>-40.869120230674525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29.745641233807707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29.745641233807707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121.67999999999994</v>
      </c>
      <c r="D153" s="12">
        <f t="shared" si="140"/>
        <v>32.066514091456256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1186.8151964954513</v>
      </c>
      <c r="H153" s="70">
        <f t="shared" si="110"/>
        <v>561.10851204261951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-2.8908289095852525E-14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121.64341556501768</v>
      </c>
      <c r="T153" s="62">
        <f t="shared" si="142"/>
        <v>370.21160497429781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7.0673938123648998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7.0673938123648998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-3.2810021366458389E-14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140.99869591649082</v>
      </c>
      <c r="AO153" s="62">
        <f t="shared" si="144"/>
        <v>425.5885140588652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8.0212751858129252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8.0212751858129252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-3.2810021366458389E-14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140.99869591649082</v>
      </c>
      <c r="BJ153" s="62">
        <f t="shared" si="146"/>
        <v>425.5885140588652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8.0212751858129252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8.0212751858129252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201</v>
      </c>
      <c r="BW153" s="13">
        <f>VLOOKUP(A153,'Données projet'!$A$113:$I$133,9,0)</f>
        <v>5.0999999999999996</v>
      </c>
      <c r="BX153" s="13">
        <f t="array" ref="BX153">INDEX(BW:BW,MIN(IF(ISNUMBER(BW153:BW349),ROW(BW153:BW349),"")))</f>
        <v>5.0999999999999996</v>
      </c>
      <c r="BY153" s="13">
        <f>IF('Données projet'!$A$114&gt;35,BY152+BX153-CG152,IF(A153&lt;'Données projet'!$A$114,$BV$205^A153,IF(A153='Données projet'!$A$114,'Données projet'!$B$114,BY152+BX153-CG152)))</f>
        <v>200.99999999999983</v>
      </c>
      <c r="BZ153" s="14">
        <f>BY153*VLOOKUP('Données projet'!$B$12,Paramètres!$A$1:$I$89,3,0)*VLOOKUP('Données projet'!$B$12,Paramètres!$A$1:$I$89,5,0)</f>
        <v>181.86479999999986</v>
      </c>
      <c r="CA153" s="14">
        <f t="shared" si="147"/>
        <v>45.736820613910254</v>
      </c>
      <c r="CB153" s="22">
        <f t="shared" si="118"/>
        <v>396.4061559025601</v>
      </c>
      <c r="CC153" s="62">
        <f t="shared" si="119"/>
        <v>689.73948923589342</v>
      </c>
      <c r="CD153" s="62">
        <f ca="1">AVERAGE(OFFSET($CC$3,0,0,'Données projet'!$E$12+1,1))-AVERAGE(OFFSET($H$3,0,0,'Données projet'!$E$12+1,1))</f>
        <v>37.174340347509542</v>
      </c>
      <c r="CE153" s="62">
        <f t="shared" si="148"/>
        <v>-42.822755675927624</v>
      </c>
      <c r="CF153" s="16">
        <f>IF(ISNA(VLOOKUP(A153,'Données projet'!$A$113:$I$133,3,0)),0,VLOOKUP(A153,'Données projet'!$A$113:$I$133,3,0))</f>
        <v>18</v>
      </c>
      <c r="CG153" s="16">
        <f>IF(ISNA(VLOOKUP(A153,'Données projet'!$A$113:$I$133,4,0)),0,VLOOKUP(A153,'Données projet'!$A$113:$I$133,4,0))</f>
        <v>201</v>
      </c>
      <c r="CH153" s="17">
        <f>IF(ISNA(VLOOKUP(A153,'Données projet'!$A$113:$I$133,5,0)),0%,VLOOKUP(A153,'Données projet'!$A$113:$I$133,5,0)*VLOOKUP('Données projet'!$B$12,Paramètres!$A$1:$I$89,7,0))</f>
        <v>0.18489999999999998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62.418450149707297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62.418450149707297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201</v>
      </c>
      <c r="CR153" s="13">
        <f>VLOOKUP(A153,'Données projet'!$A$139:$I$159,9,0)</f>
        <v>5.0999999999999996</v>
      </c>
      <c r="CS153" s="13">
        <f t="array" ref="CS153">INDEX(CR:CR,MIN(IF(ISNUMBER(CR153:CR349),ROW(CR153:CR349),"")))</f>
        <v>5.0999999999999996</v>
      </c>
      <c r="CT153" s="13">
        <f>IF('Données projet'!$A$140&gt;35,CT152+CS153-DB152,IF(A153&lt;'Données projet'!$A$140,$CQ$205^A153,IF(A153='Données projet'!$A$140,'Données projet'!$B$140,CT152+CS153-DB152)))</f>
        <v>200.99999999999983</v>
      </c>
      <c r="CU153" s="18">
        <f>CT153*VLOOKUP('Données projet'!$B$13,Paramètres!$A$1:$I$89,3,0)*VLOOKUP('Données projet'!$B$13,Paramètres!$A$1:$I$89,5,0)</f>
        <v>210.08519999999984</v>
      </c>
      <c r="CV153" s="14">
        <f t="shared" si="149"/>
        <v>51.954203602341046</v>
      </c>
      <c r="CW153" s="22">
        <f t="shared" si="121"/>
        <v>456.38529460741034</v>
      </c>
      <c r="CX153" s="62">
        <f t="shared" si="122"/>
        <v>749.71862794074366</v>
      </c>
      <c r="CY153" s="62">
        <f ca="1">AVERAGE(OFFSET($CX$3,0,0,'Données projet'!$E$13+1,1))-AVERAGE(OFFSET($H$3,0,0,'Données projet'!$E$13+1,1))</f>
        <v>63.282881814092605</v>
      </c>
      <c r="CZ153" s="62">
        <f t="shared" si="150"/>
        <v>-40.869120230674525</v>
      </c>
      <c r="DA153" s="16">
        <f>IF(ISNA(VLOOKUP(A153,'Données projet'!$A$139:$I$159,3,0)),0,VLOOKUP(A153,'Données projet'!$A$139:$I$159,3,0))</f>
        <v>18</v>
      </c>
      <c r="DB153" s="16">
        <f>IF(ISNA(VLOOKUP(A153,'Données projet'!$A$139:$I$159,4,0)),0,VLOOKUP(A153,'Données projet'!$A$139:$I$159,4,0))</f>
        <v>201</v>
      </c>
      <c r="DC153" s="17">
        <f>IF(ISNA(VLOOKUP(A153,'Données projet'!$A$139:$I$159,5,0)),0%,VLOOKUP(A153,'Données projet'!$A$139:$I$159,5,0)*VLOOKUP('Données projet'!$B$13,Paramètres!$A$1:$I$89,7,0))</f>
        <v>0.18489999999999998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72.104071724661893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72.104071724661893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122.49119999999994</v>
      </c>
      <c r="D154" s="12">
        <f t="shared" si="140"/>
        <v>32.255334127777445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1194.5346494074045</v>
      </c>
      <c r="H154" s="70">
        <f t="shared" si="110"/>
        <v>562.85021360587893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-2.8908289095852525E-14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121.64341556501768</v>
      </c>
      <c r="T154" s="62">
        <f t="shared" si="142"/>
        <v>370.21160497429781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6.9288065303890045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6.9288065303890045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-3.2810021366458389E-14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140.99869591649082</v>
      </c>
      <c r="AO154" s="62">
        <f t="shared" si="144"/>
        <v>425.5885140588652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7.8639828719139038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7.8639828719139038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-3.2810021366458389E-14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140.99869591649082</v>
      </c>
      <c r="BJ154" s="62">
        <f t="shared" si="146"/>
        <v>425.5885140588652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7.8639828719139038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7.8639828719139038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-1.7053025658242404E-13</v>
      </c>
      <c r="BZ154" s="14">
        <f>BY154*VLOOKUP('Données projet'!$B$12,Paramètres!$A$1:$I$89,3,0)*VLOOKUP('Données projet'!$B$12,Paramètres!$A$1:$I$89,5,0)</f>
        <v>-1.5429577615577727E-13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37.174340347509542</v>
      </c>
      <c r="CE154" s="62">
        <f t="shared" si="148"/>
        <v>-42.822755675927624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61.194462413766878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61.194462413766878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-1.7053025658242404E-13</v>
      </c>
      <c r="CU154" s="18">
        <f>CT154*VLOOKUP('Données projet'!$B$13,Paramètres!$A$1:$I$89,3,0)*VLOOKUP('Données projet'!$B$13,Paramètres!$A$1:$I$89,5,0)</f>
        <v>-1.7823822417994965E-13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63.282881814092605</v>
      </c>
      <c r="CZ154" s="62">
        <f t="shared" si="150"/>
        <v>-40.869120230674525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70.690154857282451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70.690154857282451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123.30239999999993</v>
      </c>
      <c r="D155" s="12">
        <f t="shared" si="140"/>
        <v>32.444008665071891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1202.2529791689758</v>
      </c>
      <c r="H155" s="70">
        <f t="shared" si="110"/>
        <v>564.59166175833343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-2.8908289095852525E-14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121.64341556501768</v>
      </c>
      <c r="T155" s="62">
        <f t="shared" si="142"/>
        <v>370.21160497429781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6.7929368604827616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6.7929368604827616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-3.2810021366458389E-14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140.99869591649082</v>
      </c>
      <c r="AO155" s="62">
        <f t="shared" si="144"/>
        <v>425.5885140588652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7.7097749643516034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7.7097749643516034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-3.2810021366458389E-14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140.99869591649082</v>
      </c>
      <c r="BJ155" s="62">
        <f t="shared" si="146"/>
        <v>425.5885140588652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7.7097749643516034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7.7097749643516034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-1.7053025658242404E-13</v>
      </c>
      <c r="BZ155" s="14">
        <f>BY155*VLOOKUP('Données projet'!$B$12,Paramètres!$A$1:$I$89,3,0)*VLOOKUP('Données projet'!$B$12,Paramètres!$A$1:$I$89,5,0)</f>
        <v>-1.5429577615577727E-13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37.174340347509542</v>
      </c>
      <c r="CE155" s="62">
        <f t="shared" si="148"/>
        <v>-42.822755675927624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59.994476330769452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59.994476330769452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-1.7053025658242404E-13</v>
      </c>
      <c r="CU155" s="18">
        <f>CT155*VLOOKUP('Données projet'!$B$13,Paramètres!$A$1:$I$89,3,0)*VLOOKUP('Données projet'!$B$13,Paramètres!$A$1:$I$89,5,0)</f>
        <v>-1.7823822417994965E-13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63.282881814092605</v>
      </c>
      <c r="CZ155" s="62">
        <f t="shared" si="150"/>
        <v>-40.869120230674525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69.303964037268187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69.303964037268187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124.11359999999993</v>
      </c>
      <c r="D156" s="12">
        <f t="shared" si="140"/>
        <v>32.632538771598028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1209.9701940263703</v>
      </c>
      <c r="H156" s="70">
        <f t="shared" si="110"/>
        <v>566.33285836053312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-2.8908289095852525E-14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121.64341556501768</v>
      </c>
      <c r="T156" s="62">
        <f t="shared" si="142"/>
        <v>370.21160497429781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6.6597315119310645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6.6597315119310645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-3.2810021366458389E-14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140.99869591649082</v>
      </c>
      <c r="AO156" s="62">
        <f t="shared" si="144"/>
        <v>425.5885140588652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7.5585909797990638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7.5585909797990638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-3.2810021366458389E-14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140.99869591649082</v>
      </c>
      <c r="BJ156" s="62">
        <f t="shared" si="146"/>
        <v>425.5885140588652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7.5585909797990638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7.5585909797990638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-1.7053025658242404E-13</v>
      </c>
      <c r="BZ156" s="14">
        <f>BY156*VLOOKUP('Données projet'!$B$12,Paramètres!$A$1:$I$89,3,0)*VLOOKUP('Données projet'!$B$12,Paramètres!$A$1:$I$89,5,0)</f>
        <v>-1.5429577615577727E-13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37.174340347509542</v>
      </c>
      <c r="CE156" s="62">
        <f t="shared" si="148"/>
        <v>-42.822755675927624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58.818021242940361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58.818021242940361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-1.7053025658242404E-13</v>
      </c>
      <c r="CU156" s="18">
        <f>CT156*VLOOKUP('Données projet'!$B$13,Paramètres!$A$1:$I$89,3,0)*VLOOKUP('Données projet'!$B$13,Paramètres!$A$1:$I$89,5,0)</f>
        <v>-1.7823822417994965E-13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63.282881814092605</v>
      </c>
      <c r="CZ156" s="62">
        <f t="shared" si="150"/>
        <v>-40.869120230674525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67.944955573741481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67.944955573741481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124.92479999999993</v>
      </c>
      <c r="D157" s="12">
        <f t="shared" si="140"/>
        <v>32.820925500842712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1217.6863021117676</v>
      </c>
      <c r="H157" s="70">
        <f t="shared" si="110"/>
        <v>568.07380524730092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-2.8908289095852525E-14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121.64341556501768</v>
      </c>
      <c r="T157" s="62">
        <f t="shared" si="142"/>
        <v>370.21160497429781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6.5291382390172261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6.5291382390172261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-3.2810021366458389E-14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140.99869591649082</v>
      </c>
      <c r="AO157" s="62">
        <f t="shared" si="144"/>
        <v>425.5885140588652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7.4103716209704737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7.4103716209704737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-3.2810021366458389E-14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140.99869591649082</v>
      </c>
      <c r="BJ157" s="62">
        <f t="shared" si="146"/>
        <v>425.5885140588652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7.4103716209704737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7.4103716209704737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-1.7053025658242404E-13</v>
      </c>
      <c r="BZ157" s="14">
        <f>BY157*VLOOKUP('Données projet'!$B$12,Paramètres!$A$1:$I$89,3,0)*VLOOKUP('Données projet'!$B$12,Paramètres!$A$1:$I$89,5,0)</f>
        <v>-1.5429577615577727E-13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37.174340347509542</v>
      </c>
      <c r="CE157" s="62">
        <f t="shared" si="148"/>
        <v>-42.822755675927624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57.66463572181685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57.66463572181685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-1.7053025658242404E-13</v>
      </c>
      <c r="CU157" s="18">
        <f>CT157*VLOOKUP('Données projet'!$B$13,Paramètres!$A$1:$I$89,3,0)*VLOOKUP('Données projet'!$B$13,Paramètres!$A$1:$I$89,5,0)</f>
        <v>-1.7823822417994965E-13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63.282881814092605</v>
      </c>
      <c r="CZ157" s="62">
        <f t="shared" si="150"/>
        <v>-40.869120230674525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66.612596437271222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66.612596437271222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125.73599999999993</v>
      </c>
      <c r="D158" s="12">
        <f t="shared" si="140"/>
        <v>33.009169891820072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1225.4013114456282</v>
      </c>
      <c r="H158" s="70">
        <f t="shared" si="110"/>
        <v>569.8145042282531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-2.8908289095852525E-14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121.64341556501768</v>
      </c>
      <c r="T158" s="62">
        <f t="shared" si="142"/>
        <v>370.21160497429781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6.401105820531197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6.401105820531197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-3.2810021366458389E-14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140.99869591649082</v>
      </c>
      <c r="AO158" s="62">
        <f t="shared" si="144"/>
        <v>425.5885140588652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7.2650587533636308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7.2650587533636308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-3.2810021366458389E-14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140.99869591649082</v>
      </c>
      <c r="BJ158" s="62">
        <f t="shared" si="146"/>
        <v>425.5885140588652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7.2650587533636308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7.2650587533636308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-1.7053025658242404E-13</v>
      </c>
      <c r="BZ158" s="14">
        <f>BY158*VLOOKUP('Données projet'!$B$12,Paramètres!$A$1:$I$89,3,0)*VLOOKUP('Données projet'!$B$12,Paramètres!$A$1:$I$89,5,0)</f>
        <v>-1.5429577615577727E-13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37.174340347509542</v>
      </c>
      <c r="CE158" s="62">
        <f t="shared" si="148"/>
        <v>-42.822755675927624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56.533867387266874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56.533867387266874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-1.7053025658242404E-13</v>
      </c>
      <c r="CU158" s="18">
        <f>CT158*VLOOKUP('Données projet'!$B$13,Paramètres!$A$1:$I$89,3,0)*VLOOKUP('Données projet'!$B$13,Paramètres!$A$1:$I$89,5,0)</f>
        <v>-1.7823822417994965E-13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63.282881814092605</v>
      </c>
      <c r="CZ158" s="62">
        <f t="shared" si="150"/>
        <v>-40.869120230674525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65.306364050808313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65.306364050808313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126.54719999999993</v>
      </c>
      <c r="D159" s="12">
        <f t="shared" si="140"/>
        <v>33.19727296936243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1233.1152299389375</v>
      </c>
      <c r="H159" s="70">
        <f t="shared" si="110"/>
        <v>571.55495708830608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-2.8908289095852525E-14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121.64341556501768</v>
      </c>
      <c r="T159" s="62">
        <f t="shared" si="142"/>
        <v>370.21160497429781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6.2755840396796145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6.2755840396796145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-3.2810021366458389E-14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140.99869591649082</v>
      </c>
      <c r="AO159" s="62">
        <f t="shared" si="144"/>
        <v>425.5885140588652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7.12259538245846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7.12259538245846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-3.2810021366458389E-14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140.99869591649082</v>
      </c>
      <c r="BJ159" s="62">
        <f t="shared" si="146"/>
        <v>425.5885140588652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7.12259538245846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7.12259538245846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-1.7053025658242404E-13</v>
      </c>
      <c r="BZ159" s="14">
        <f>BY159*VLOOKUP('Données projet'!$B$12,Paramètres!$A$1:$I$89,3,0)*VLOOKUP('Données projet'!$B$12,Paramètres!$A$1:$I$89,5,0)</f>
        <v>-1.5429577615577727E-13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37.174340347509542</v>
      </c>
      <c r="CE159" s="62">
        <f t="shared" si="148"/>
        <v>-42.822755675927624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55.42527273005684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55.42527273005684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-1.7053025658242404E-13</v>
      </c>
      <c r="CU159" s="18">
        <f>CT159*VLOOKUP('Données projet'!$B$13,Paramètres!$A$1:$I$89,3,0)*VLOOKUP('Données projet'!$B$13,Paramètres!$A$1:$I$89,5,0)</f>
        <v>-1.7823822417994965E-13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63.282881814092605</v>
      </c>
      <c r="CZ159" s="62">
        <f t="shared" si="150"/>
        <v>-40.869120230674525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64.025746084720851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64.025746084720851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127.35839999999993</v>
      </c>
      <c r="D160" s="12">
        <f t="shared" si="140"/>
        <v>33.385235744403289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1240.8280653953932</v>
      </c>
      <c r="H160" s="70">
        <f t="shared" si="110"/>
        <v>573.29516558816886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-2.8908289095852525E-14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121.64341556501768</v>
      </c>
      <c r="T160" s="62">
        <f t="shared" si="142"/>
        <v>370.21160497429781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6.1525236643898049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6.1525236643898049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-3.2810021366458389E-14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140.99869591649082</v>
      </c>
      <c r="AO160" s="62">
        <f t="shared" si="144"/>
        <v>425.5885140588652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6.9829256313626633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6.9829256313626633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-3.2810021366458389E-14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140.99869591649082</v>
      </c>
      <c r="BJ160" s="62">
        <f t="shared" si="146"/>
        <v>425.5885140588652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6.9829256313626633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6.9829256313626633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-1.7053025658242404E-13</v>
      </c>
      <c r="BZ160" s="14">
        <f>BY160*VLOOKUP('Données projet'!$B$12,Paramètres!$A$1:$I$89,3,0)*VLOOKUP('Données projet'!$B$12,Paramètres!$A$1:$I$89,5,0)</f>
        <v>-1.5429577615577727E-13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37.174340347509542</v>
      </c>
      <c r="CE160" s="62">
        <f t="shared" si="148"/>
        <v>-42.822755675927624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54.338416937898714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54.338416937898714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-1.7053025658242404E-13</v>
      </c>
      <c r="CU160" s="18">
        <f>CT160*VLOOKUP('Données projet'!$B$13,Paramètres!$A$1:$I$89,3,0)*VLOOKUP('Données projet'!$B$13,Paramètres!$A$1:$I$89,5,0)</f>
        <v>-1.7823822417994965E-13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63.282881814092605</v>
      </c>
      <c r="CZ160" s="62">
        <f t="shared" si="150"/>
        <v>-40.869120230674525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62.770240255848535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62.770240255848535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128.16959999999995</v>
      </c>
      <c r="D161" s="12">
        <f t="shared" si="140"/>
        <v>33.573059214253476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1248.5398255135353</v>
      </c>
      <c r="H161" s="70">
        <f t="shared" si="110"/>
        <v>575.03513146482464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-2.8908289095852525E-14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121.64341556501768</v>
      </c>
      <c r="T161" s="62">
        <f t="shared" si="142"/>
        <v>370.21160497429781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6.031876428000011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6.031876428000011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-3.2810021366458389E-14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140.99869591649082</v>
      </c>
      <c r="AO161" s="62">
        <f t="shared" si="144"/>
        <v>425.5885140588652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6.8459947188957191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6.8459947188957191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-3.2810021366458389E-14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140.99869591649082</v>
      </c>
      <c r="BJ161" s="62">
        <f t="shared" si="146"/>
        <v>425.5885140588652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6.8459947188957191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6.8459947188957191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-1.7053025658242404E-13</v>
      </c>
      <c r="BZ161" s="14">
        <f>BY161*VLOOKUP('Données projet'!$B$12,Paramètres!$A$1:$I$89,3,0)*VLOOKUP('Données projet'!$B$12,Paramètres!$A$1:$I$89,5,0)</f>
        <v>-1.5429577615577727E-13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37.174340347509542</v>
      </c>
      <c r="CE161" s="62">
        <f t="shared" si="148"/>
        <v>-42.822755675927624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53.272873724908237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53.272873724908237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-1.7053025658242404E-13</v>
      </c>
      <c r="CU161" s="18">
        <f>CT161*VLOOKUP('Données projet'!$B$13,Paramètres!$A$1:$I$89,3,0)*VLOOKUP('Données projet'!$B$13,Paramètres!$A$1:$I$89,5,0)</f>
        <v>-1.7823822417994965E-13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63.282881814092605</v>
      </c>
      <c r="CZ161" s="62">
        <f t="shared" si="150"/>
        <v>-40.869120230674525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61.539354130497465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61.539354130497465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128.98079999999996</v>
      </c>
      <c r="D162" s="12">
        <f t="shared" si="140"/>
        <v>33.76074436286941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1256.2505178888161</v>
      </c>
      <c r="H162" s="70">
        <f t="shared" si="110"/>
        <v>576.77485643199748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-2.8908289095852525E-14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121.64341556501768</v>
      </c>
      <c r="T162" s="62">
        <f t="shared" si="142"/>
        <v>370.21160497429781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5.9135950103282724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5.9135950103282724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-3.2810021366458389E-14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140.99869591649082</v>
      </c>
      <c r="AO162" s="62">
        <f t="shared" si="144"/>
        <v>425.5885140588652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6.7117489381026418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6.7117489381026418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-3.2810021366458389E-14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140.99869591649082</v>
      </c>
      <c r="BJ162" s="62">
        <f t="shared" si="146"/>
        <v>425.5885140588652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6.7117489381026418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6.7117489381026418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-1.7053025658242404E-13</v>
      </c>
      <c r="BZ162" s="14">
        <f>BY162*VLOOKUP('Données projet'!$B$12,Paramètres!$A$1:$I$89,3,0)*VLOOKUP('Données projet'!$B$12,Paramètres!$A$1:$I$89,5,0)</f>
        <v>-1.5429577615577727E-13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37.174340347509542</v>
      </c>
      <c r="CE162" s="62">
        <f t="shared" si="148"/>
        <v>-42.822755675927624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52.22822516440732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52.22822516440732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-1.7053025658242404E-13</v>
      </c>
      <c r="CU162" s="18">
        <f>CT162*VLOOKUP('Données projet'!$B$13,Paramètres!$A$1:$I$89,3,0)*VLOOKUP('Données projet'!$B$13,Paramètres!$A$1:$I$89,5,0)</f>
        <v>-1.7823822417994965E-13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63.282881814092605</v>
      </c>
      <c r="CZ162" s="62">
        <f t="shared" si="150"/>
        <v>-40.869120230674525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60.332604931298128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60.332604931298128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129.79199999999997</v>
      </c>
      <c r="D163" s="12">
        <f t="shared" si="140"/>
        <v>33.948292161114985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1263.9601500156243</v>
      </c>
      <c r="H163" s="70">
        <f t="shared" si="110"/>
        <v>578.51434218060854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-2.8908289095852525E-14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121.64341556501768</v>
      </c>
      <c r="T163" s="62">
        <f t="shared" si="142"/>
        <v>370.21160497429781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5.7976330191125358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5.7976330191125358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-3.2810021366458389E-14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140.99869591649082</v>
      </c>
      <c r="AO163" s="62">
        <f t="shared" si="144"/>
        <v>425.5885140588652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6.5801356351890758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6.5801356351890758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-3.2810021366458389E-14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140.99869591649082</v>
      </c>
      <c r="BJ163" s="62">
        <f t="shared" si="146"/>
        <v>425.5885140588652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6.5801356351890758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6.5801356351890758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-1.7053025658242404E-13</v>
      </c>
      <c r="BZ163" s="14">
        <f>BY163*VLOOKUP('Données projet'!$B$12,Paramètres!$A$1:$I$89,3,0)*VLOOKUP('Données projet'!$B$12,Paramètres!$A$1:$I$89,5,0)</f>
        <v>-1.5429577615577727E-13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37.174340347509542</v>
      </c>
      <c r="CE163" s="62">
        <f t="shared" si="148"/>
        <v>-42.822755675927624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51.204061525005116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51.204061525005116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-1.7053025658242404E-13</v>
      </c>
      <c r="CU163" s="18">
        <f>CT163*VLOOKUP('Données projet'!$B$13,Paramètres!$A$1:$I$89,3,0)*VLOOKUP('Données projet'!$B$13,Paramètres!$A$1:$I$89,5,0)</f>
        <v>-1.7823822417994965E-13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63.282881814092605</v>
      </c>
      <c r="CZ163" s="62">
        <f t="shared" si="150"/>
        <v>-40.869120230674525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59.149519347850756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59.149519347850756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130.60319999999999</v>
      </c>
      <c r="D164" s="12">
        <f t="shared" si="140"/>
        <v>34.135703567016428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1271.6687292892495</v>
      </c>
      <c r="H164" s="70">
        <f t="shared" si="110"/>
        <v>580.25359037922021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-2.8908289095852525E-14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121.64341556501768</v>
      </c>
      <c r="T164" s="62">
        <f t="shared" si="142"/>
        <v>370.21160497429781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5.683944971814709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5.683944971814709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-3.2810021366458389E-14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140.99869591649082</v>
      </c>
      <c r="AO164" s="62">
        <f t="shared" si="144"/>
        <v>425.5885140588652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6.4511031888694568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6.4511031888694568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-3.2810021366458389E-14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140.99869591649082</v>
      </c>
      <c r="BJ164" s="62">
        <f t="shared" si="146"/>
        <v>425.5885140588652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6.4511031888694568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6.4511031888694568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-1.7053025658242404E-13</v>
      </c>
      <c r="BZ164" s="14">
        <f>BY164*VLOOKUP('Données projet'!$B$12,Paramètres!$A$1:$I$89,3,0)*VLOOKUP('Données projet'!$B$12,Paramètres!$A$1:$I$89,5,0)</f>
        <v>-1.5429577615577727E-13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37.174340347509542</v>
      </c>
      <c r="CE164" s="62">
        <f t="shared" si="148"/>
        <v>-42.822755675927624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50.19998110989345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50.19998110989345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-1.7053025658242404E-13</v>
      </c>
      <c r="CU164" s="18">
        <f>CT164*VLOOKUP('Données projet'!$B$13,Paramètres!$A$1:$I$89,3,0)*VLOOKUP('Données projet'!$B$13,Paramètres!$A$1:$I$89,5,0)</f>
        <v>-1.7823822417994965E-13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63.282881814092605</v>
      </c>
      <c r="CZ164" s="62">
        <f t="shared" si="150"/>
        <v>-40.869120230674525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57.989633351083832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57.989633351083832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131.4144</v>
      </c>
      <c r="D165" s="12">
        <f t="shared" si="140"/>
        <v>34.32297952601067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1279.3762630078018</v>
      </c>
      <c r="H165" s="70">
        <f t="shared" si="110"/>
        <v>581.99260267446857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-2.8908289095852525E-14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121.64341556501768</v>
      </c>
      <c r="T165" s="62">
        <f t="shared" si="142"/>
        <v>370.21160497429781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5.5724862777815307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5.5724862777815307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-3.2810021366458389E-14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140.99869591649082</v>
      </c>
      <c r="AO165" s="62">
        <f t="shared" si="144"/>
        <v>425.5885140588652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6.3246009901201443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6.3246009901201443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-3.2810021366458389E-14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140.99869591649082</v>
      </c>
      <c r="BJ165" s="62">
        <f t="shared" si="146"/>
        <v>425.5885140588652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6.3246009901201443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6.3246009901201443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-1.7053025658242404E-13</v>
      </c>
      <c r="BZ165" s="14">
        <f>BY165*VLOOKUP('Données projet'!$B$12,Paramètres!$A$1:$I$89,3,0)*VLOOKUP('Données projet'!$B$12,Paramètres!$A$1:$I$89,5,0)</f>
        <v>-1.5429577615577727E-13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37.174340347509542</v>
      </c>
      <c r="CE165" s="62">
        <f t="shared" si="148"/>
        <v>-42.822755675927624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49.215590099293543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49.215590099293543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-1.7053025658242404E-13</v>
      </c>
      <c r="CU165" s="18">
        <f>CT165*VLOOKUP('Données projet'!$B$13,Paramètres!$A$1:$I$89,3,0)*VLOOKUP('Données projet'!$B$13,Paramètres!$A$1:$I$89,5,0)</f>
        <v>-1.7823822417994965E-13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63.282881814092605</v>
      </c>
      <c r="CZ165" s="62">
        <f t="shared" si="150"/>
        <v>-40.869120230674525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56.852492011252906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56.852492011252906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132.22560000000001</v>
      </c>
      <c r="D166" s="12">
        <f t="shared" si="140"/>
        <v>34.510120971187391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1287.0827583740781</v>
      </c>
      <c r="H166" s="70">
        <f t="shared" si="110"/>
        <v>583.73138069148467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-2.8908289095852525E-14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121.64341556501768</v>
      </c>
      <c r="T166" s="62">
        <f t="shared" si="142"/>
        <v>370.21160497429781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5.4632132207552528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5.4632132207552528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-3.2810021366458389E-14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140.99869591649082</v>
      </c>
      <c r="AO166" s="62">
        <f t="shared" si="144"/>
        <v>425.5885140588652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6.2005794223295831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6.2005794223295831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-3.2810021366458389E-14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140.99869591649082</v>
      </c>
      <c r="BJ166" s="62">
        <f t="shared" si="146"/>
        <v>425.5885140588652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6.2005794223295831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6.2005794223295831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-1.7053025658242404E-13</v>
      </c>
      <c r="BZ166" s="14">
        <f>BY166*VLOOKUP('Données projet'!$B$12,Paramètres!$A$1:$I$89,3,0)*VLOOKUP('Données projet'!$B$12,Paramètres!$A$1:$I$89,5,0)</f>
        <v>-1.5429577615577727E-13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37.174340347509542</v>
      </c>
      <c r="CE166" s="62">
        <f t="shared" si="148"/>
        <v>-42.822755675927624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48.250502395992271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48.250502395992271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-1.7053025658242404E-13</v>
      </c>
      <c r="CU166" s="18">
        <f>CT166*VLOOKUP('Données projet'!$B$13,Paramètres!$A$1:$I$89,3,0)*VLOOKUP('Données projet'!$B$13,Paramètres!$A$1:$I$89,5,0)</f>
        <v>-1.7823822417994965E-13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63.282881814092605</v>
      </c>
      <c r="CZ166" s="62">
        <f t="shared" si="150"/>
        <v>-40.869120230674525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55.737649319508336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55.737649319508336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133.03680000000003</v>
      </c>
      <c r="D167" s="12">
        <f t="shared" si="140"/>
        <v>34.697128823525262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1294.788222497388</v>
      </c>
      <c r="H167" s="70">
        <f t="shared" si="110"/>
        <v>585.46992603430647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-2.8908289095852525E-14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121.64341556501768</v>
      </c>
      <c r="T167" s="62">
        <f t="shared" si="142"/>
        <v>370.21160497429781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5.3560829417272764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5.3560829417272764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-3.2810021366458389E-14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140.99869591649082</v>
      </c>
      <c r="AO167" s="62">
        <f t="shared" si="144"/>
        <v>425.5885140588652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6.078989841837708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6.078989841837708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-3.2810021366458389E-14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140.99869591649082</v>
      </c>
      <c r="BJ167" s="62">
        <f t="shared" si="146"/>
        <v>425.5885140588652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6.078989841837708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6.078989841837708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-1.7053025658242404E-13</v>
      </c>
      <c r="BZ167" s="14">
        <f>BY167*VLOOKUP('Données projet'!$B$12,Paramètres!$A$1:$I$89,3,0)*VLOOKUP('Données projet'!$B$12,Paramètres!$A$1:$I$89,5,0)</f>
        <v>-1.5429577615577727E-13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37.174340347509542</v>
      </c>
      <c r="CE167" s="62">
        <f t="shared" si="148"/>
        <v>-42.822755675927624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47.304339473907362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47.304339473907362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-1.7053025658242404E-13</v>
      </c>
      <c r="CU167" s="18">
        <f>CT167*VLOOKUP('Données projet'!$B$13,Paramètres!$A$1:$I$89,3,0)*VLOOKUP('Données projet'!$B$13,Paramètres!$A$1:$I$89,5,0)</f>
        <v>-1.7823822417994965E-13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63.282881814092605</v>
      </c>
      <c r="CZ167" s="62">
        <f t="shared" si="150"/>
        <v>-40.869120230674525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54.644668012961972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54.644668012961972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133.84800000000004</v>
      </c>
      <c r="D168" s="12">
        <f t="shared" si="140"/>
        <v>34.884003992121691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1302.4926623953259</v>
      </c>
      <c r="H168" s="70">
        <f t="shared" si="110"/>
        <v>587.20824028627862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-2.8908289095852525E-14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121.64341556501768</v>
      </c>
      <c r="T168" s="62">
        <f t="shared" si="142"/>
        <v>370.21160497429781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5.2510534221280203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5.2510534221280203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-3.2810021366458389E-14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140.99869591649082</v>
      </c>
      <c r="AO168" s="62">
        <f t="shared" si="144"/>
        <v>425.5885140588652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5.9597845588569571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5.9597845588569571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-3.2810021366458389E-14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140.99869591649082</v>
      </c>
      <c r="BJ168" s="62">
        <f t="shared" si="146"/>
        <v>425.5885140588652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5.9597845588569571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5.9597845588569571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-1.7053025658242404E-13</v>
      </c>
      <c r="BZ168" s="14">
        <f>BY168*VLOOKUP('Données projet'!$B$12,Paramètres!$A$1:$I$89,3,0)*VLOOKUP('Données projet'!$B$12,Paramètres!$A$1:$I$89,5,0)</f>
        <v>-1.5429577615577727E-13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37.174340347509542</v>
      </c>
      <c r="CE168" s="62">
        <f t="shared" si="148"/>
        <v>-42.822755675927624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46.37673022962214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46.37673022962214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-1.7053025658242404E-13</v>
      </c>
      <c r="CU168" s="18">
        <f>CT168*VLOOKUP('Données projet'!$B$13,Paramètres!$A$1:$I$89,3,0)*VLOOKUP('Données projet'!$B$13,Paramètres!$A$1:$I$89,5,0)</f>
        <v>-1.7823822417994965E-13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63.282881814092605</v>
      </c>
      <c r="CZ168" s="62">
        <f t="shared" si="150"/>
        <v>-40.869120230674525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53.573119403184215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53.573119403184215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134.65920000000006</v>
      </c>
      <c r="D169" s="12">
        <f t="shared" si="140"/>
        <v>35.07074737441733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1310.1960849955026</v>
      </c>
      <c r="H169" s="70">
        <f t="shared" si="110"/>
        <v>588.94632501044362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-2.8908289095852525E-14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121.64341556501768</v>
      </c>
      <c r="T169" s="62">
        <f t="shared" si="142"/>
        <v>370.21160497429781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5.1480834673464244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5.1480834673464244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-3.2810021366458389E-14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140.99869591649082</v>
      </c>
      <c r="AO169" s="62">
        <f t="shared" si="144"/>
        <v>425.5885140588652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5.8429168187674154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5.8429168187674154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-3.2810021366458389E-14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140.99869591649082</v>
      </c>
      <c r="BJ169" s="62">
        <f t="shared" si="146"/>
        <v>425.5885140588652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5.8429168187674154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5.8429168187674154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-1.7053025658242404E-13</v>
      </c>
      <c r="BZ169" s="14">
        <f>BY169*VLOOKUP('Données projet'!$B$12,Paramètres!$A$1:$I$89,3,0)*VLOOKUP('Données projet'!$B$12,Paramètres!$A$1:$I$89,5,0)</f>
        <v>-1.5429577615577727E-13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37.174340347509542</v>
      </c>
      <c r="CE169" s="62">
        <f t="shared" si="148"/>
        <v>-42.822755675927624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45.467310836831579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45.467310836831579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-1.7053025658242404E-13</v>
      </c>
      <c r="CU169" s="18">
        <f>CT169*VLOOKUP('Données projet'!$B$13,Paramètres!$A$1:$I$89,3,0)*VLOOKUP('Données projet'!$B$13,Paramètres!$A$1:$I$89,5,0)</f>
        <v>-1.7823822417994965E-13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63.282881814092605</v>
      </c>
      <c r="CZ169" s="62">
        <f t="shared" si="150"/>
        <v>-40.869120230674525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52.522583208064084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52.522583208064084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135.47040000000007</v>
      </c>
      <c r="D170" s="12">
        <f t="shared" si="140"/>
        <v>35.257359856414858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1317.8984971372381</v>
      </c>
      <c r="H170" s="70">
        <f t="shared" si="110"/>
        <v>590.68418174992269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-2.8908289095852525E-14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121.64341556501768</v>
      </c>
      <c r="T170" s="62">
        <f t="shared" si="142"/>
        <v>370.21160497429781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5.0471326905726244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5.0471326905726244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-3.2810021366458389E-14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140.99869591649082</v>
      </c>
      <c r="AO170" s="62">
        <f t="shared" si="144"/>
        <v>425.5885140588652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5.728340783778747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5.728340783778747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-3.2810021366458389E-14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140.99869591649082</v>
      </c>
      <c r="BJ170" s="62">
        <f t="shared" si="146"/>
        <v>425.5885140588652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5.728340783778747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5.728340783778747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-1.7053025658242404E-13</v>
      </c>
      <c r="BZ170" s="14">
        <f>BY170*VLOOKUP('Données projet'!$B$12,Paramètres!$A$1:$I$89,3,0)*VLOOKUP('Données projet'!$B$12,Paramètres!$A$1:$I$89,5,0)</f>
        <v>-1.5429577615577727E-13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37.174340347509542</v>
      </c>
      <c r="CE170" s="62">
        <f t="shared" si="148"/>
        <v>-42.822755675927624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44.575724603642584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44.575724603642584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-1.7053025658242404E-13</v>
      </c>
      <c r="CU170" s="18">
        <f>CT170*VLOOKUP('Données projet'!$B$13,Paramètres!$A$1:$I$89,3,0)*VLOOKUP('Données projet'!$B$13,Paramètres!$A$1:$I$89,5,0)</f>
        <v>-1.7823822417994965E-13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63.282881814092605</v>
      </c>
      <c r="CZ170" s="62">
        <f t="shared" si="150"/>
        <v>-40.869120230674525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51.492647386966453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51.492647386966453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136.28160000000008</v>
      </c>
      <c r="D171" s="12">
        <f t="shared" si="140"/>
        <v>35.443842312892279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1325.5999055732043</v>
      </c>
      <c r="H171" s="70">
        <f t="shared" si="110"/>
        <v>592.42181202828749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-2.8908289095852525E-14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121.64341556501768</v>
      </c>
      <c r="T171" s="62">
        <f t="shared" si="142"/>
        <v>370.21160497429781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4.9481614969574652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4.9481614969574652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-3.2810021366458389E-14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140.99869591649082</v>
      </c>
      <c r="AO171" s="62">
        <f t="shared" si="144"/>
        <v>425.5885140588652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5.616011514951726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5.616011514951726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-3.2810021366458389E-14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140.99869591649082</v>
      </c>
      <c r="BJ171" s="62">
        <f t="shared" si="146"/>
        <v>425.5885140588652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5.616011514951726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5.616011514951726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-1.7053025658242404E-13</v>
      </c>
      <c r="BZ171" s="14">
        <f>BY171*VLOOKUP('Données projet'!$B$12,Paramètres!$A$1:$I$89,3,0)*VLOOKUP('Données projet'!$B$12,Paramètres!$A$1:$I$89,5,0)</f>
        <v>-1.5429577615577727E-13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37.174340347509542</v>
      </c>
      <c r="CE171" s="62">
        <f t="shared" si="148"/>
        <v>-42.822755675927624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43.701621832672522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43.701621832672522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-1.7053025658242404E-13</v>
      </c>
      <c r="CU171" s="18">
        <f>CT171*VLOOKUP('Données projet'!$B$13,Paramètres!$A$1:$I$89,3,0)*VLOOKUP('Données projet'!$B$13,Paramètres!$A$1:$I$89,5,0)</f>
        <v>-1.7823822417994965E-13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63.282881814092605</v>
      </c>
      <c r="CZ171" s="62">
        <f t="shared" si="150"/>
        <v>-40.869120230674525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50.48290797912172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50.48290797912172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137.0928000000001</v>
      </c>
      <c r="D172" s="12">
        <f t="shared" si="140"/>
        <v>35.6301956076111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1333.3003169710339</v>
      </c>
      <c r="H172" s="70">
        <f t="shared" si="110"/>
        <v>594.15921734992276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-2.8908289095852525E-14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121.64341556501768</v>
      </c>
      <c r="T172" s="62">
        <f t="shared" si="142"/>
        <v>370.21160497429781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4.8511310680826316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4.8511310680826316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-3.2810021366458389E-14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140.99869591649082</v>
      </c>
      <c r="AO172" s="62">
        <f t="shared" si="144"/>
        <v>425.5885140588652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5.5058849545723136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5.5058849545723136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-3.2810021366458389E-14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140.99869591649082</v>
      </c>
      <c r="BJ172" s="62">
        <f t="shared" si="146"/>
        <v>425.5885140588652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5.5058849545723136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5.5058849545723136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-1.7053025658242404E-13</v>
      </c>
      <c r="BZ172" s="14">
        <f>BY172*VLOOKUP('Données projet'!$B$12,Paramètres!$A$1:$I$89,3,0)*VLOOKUP('Données projet'!$B$12,Paramètres!$A$1:$I$89,5,0)</f>
        <v>-1.5429577615577727E-13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37.174340347509542</v>
      </c>
      <c r="CE172" s="62">
        <f t="shared" si="148"/>
        <v>-42.822755675927624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42.844659683891138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42.844659683891138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-1.7053025658242404E-13</v>
      </c>
      <c r="CU172" s="18">
        <f>CT172*VLOOKUP('Données projet'!$B$13,Paramètres!$A$1:$I$89,3,0)*VLOOKUP('Données projet'!$B$13,Paramètres!$A$1:$I$89,5,0)</f>
        <v>-1.7823822417994965E-13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63.282881814092605</v>
      </c>
      <c r="CZ172" s="62">
        <f t="shared" si="150"/>
        <v>-40.869120230674525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49.4929689451846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49.4929689451846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137.90400000000011</v>
      </c>
      <c r="D173" s="12">
        <f t="shared" si="140"/>
        <v>35.816420593519382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1340.9997379148874</v>
      </c>
      <c r="H173" s="70">
        <f t="shared" si="110"/>
        <v>595.89639920037973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-2.8908289095852525E-14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121.64341556501768</v>
      </c>
      <c r="T173" s="62">
        <f t="shared" si="142"/>
        <v>370.21160497429781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4.7560033467353158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4.7560033467353158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-3.2810021366458389E-14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140.99869591649082</v>
      </c>
      <c r="AO173" s="62">
        <f t="shared" si="144"/>
        <v>425.5885140588652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5.3979179088713725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5.3979179088713725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-3.2810021366458389E-14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140.99869591649082</v>
      </c>
      <c r="BJ173" s="62">
        <f t="shared" si="146"/>
        <v>425.5885140588652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5.3979179088713725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5.3979179088713725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-1.7053025658242404E-13</v>
      </c>
      <c r="BZ173" s="14">
        <f>BY173*VLOOKUP('Données projet'!$B$12,Paramètres!$A$1:$I$89,3,0)*VLOOKUP('Données projet'!$B$12,Paramètres!$A$1:$I$89,5,0)</f>
        <v>-1.5429577615577727E-13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37.174340347509542</v>
      </c>
      <c r="CE173" s="62">
        <f t="shared" si="148"/>
        <v>-42.822755675927624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42.004502040152055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42.004502040152055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-1.7053025658242404E-13</v>
      </c>
      <c r="CU173" s="18">
        <f>CT173*VLOOKUP('Données projet'!$B$13,Paramètres!$A$1:$I$89,3,0)*VLOOKUP('Données projet'!$B$13,Paramètres!$A$1:$I$89,5,0)</f>
        <v>-1.7823822417994965E-13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63.282881814092605</v>
      </c>
      <c r="CZ173" s="62">
        <f t="shared" si="150"/>
        <v>-40.869120230674525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48.522442011899798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48.522442011899798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138.71520000000012</v>
      </c>
      <c r="D174" s="12">
        <f t="shared" si="140"/>
        <v>36.002518112950014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1348.6981749069835</v>
      </c>
      <c r="H174" s="70">
        <f t="shared" si="110"/>
        <v>597.63335904672147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-2.8908289095852525E-14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121.64341556501768</v>
      </c>
      <c r="T174" s="62">
        <f t="shared" si="142"/>
        <v>370.21160497429781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4.6627410219814402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4.6627410219814402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-3.2810021366458389E-14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140.99869591649082</v>
      </c>
      <c r="AO174" s="62">
        <f t="shared" si="144"/>
        <v>425.5885140588652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5.2920680310832315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5.2920680310832315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-3.2810021366458389E-14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140.99869591649082</v>
      </c>
      <c r="BJ174" s="62">
        <f t="shared" si="146"/>
        <v>425.5885140588652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5.2920680310832315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5.2920680310832315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-1.7053025658242404E-13</v>
      </c>
      <c r="BZ174" s="14">
        <f>BY174*VLOOKUP('Données projet'!$B$12,Paramètres!$A$1:$I$89,3,0)*VLOOKUP('Données projet'!$B$12,Paramètres!$A$1:$I$89,5,0)</f>
        <v>-1.5429577615577727E-13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37.174340347509542</v>
      </c>
      <c r="CE174" s="62">
        <f t="shared" si="148"/>
        <v>-42.822755675927624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41.180819375361132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41.180819375361132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-1.7053025658242404E-13</v>
      </c>
      <c r="CU174" s="18">
        <f>CT174*VLOOKUP('Données projet'!$B$13,Paramètres!$A$1:$I$89,3,0)*VLOOKUP('Données projet'!$B$13,Paramètres!$A$1:$I$89,5,0)</f>
        <v>-1.7823822417994965E-13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63.282881814092605</v>
      </c>
      <c r="CZ174" s="62">
        <f t="shared" si="150"/>
        <v>-40.869120230674525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47.570946519813731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47.570946519813731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139.52640000000014</v>
      </c>
      <c r="D175" s="12">
        <f t="shared" si="140"/>
        <v>36.18848899781392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1356.3956343690909</v>
      </c>
      <c r="H175" s="70">
        <f t="shared" si="110"/>
        <v>599.37009833785942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-2.8908289095852525E-14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121.64341556501768</v>
      </c>
      <c r="T175" s="62">
        <f t="shared" si="142"/>
        <v>370.21160497429781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4.5713075145315871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4.5713075145315871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-3.2810021366458389E-14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140.99869591649082</v>
      </c>
      <c r="AO175" s="62">
        <f t="shared" si="144"/>
        <v>425.5885140588652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5.1882938048364657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5.1882938048364657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-3.2810021366458389E-14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140.99869591649082</v>
      </c>
      <c r="BJ175" s="62">
        <f t="shared" si="146"/>
        <v>425.5885140588652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5.1882938048364657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5.1882938048364657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-1.7053025658242404E-13</v>
      </c>
      <c r="BZ175" s="14">
        <f>BY175*VLOOKUP('Données projet'!$B$12,Paramètres!$A$1:$I$89,3,0)*VLOOKUP('Données projet'!$B$12,Paramètres!$A$1:$I$89,5,0)</f>
        <v>-1.5429577615577727E-13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37.174340347509542</v>
      </c>
      <c r="CE175" s="62">
        <f t="shared" si="148"/>
        <v>-42.822755675927624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40.373288625229939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40.373288625229939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-1.7053025658242404E-13</v>
      </c>
      <c r="CU175" s="18">
        <f>CT175*VLOOKUP('Données projet'!$B$13,Paramètres!$A$1:$I$89,3,0)*VLOOKUP('Données projet'!$B$13,Paramètres!$A$1:$I$89,5,0)</f>
        <v>-1.7823822417994965E-13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63.282881814092605</v>
      </c>
      <c r="CZ175" s="62">
        <f t="shared" si="150"/>
        <v>-40.869120230674525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46.638109273972525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46.638109273972525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140.33760000000015</v>
      </c>
      <c r="D176" s="12">
        <f t="shared" si="140"/>
        <v>36.374334069789043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1364.0921226439868</v>
      </c>
      <c r="H176" s="70">
        <f t="shared" si="110"/>
        <v>601.10661850488282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-2.8908289095852525E-14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121.64341556501768</v>
      </c>
      <c r="T176" s="62">
        <f t="shared" si="142"/>
        <v>370.21160497429781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4.4816669623938923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4.4816669623938923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-3.2810021366458389E-14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140.99869591649082</v>
      </c>
      <c r="AO176" s="62">
        <f t="shared" si="144"/>
        <v>425.5885140588652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5.086554527870371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5.086554527870371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-3.2810021366458389E-14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140.99869591649082</v>
      </c>
      <c r="BJ176" s="62">
        <f t="shared" si="146"/>
        <v>425.5885140588652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5.086554527870371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5.086554527870371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-1.7053025658242404E-13</v>
      </c>
      <c r="BZ176" s="14">
        <f>BY176*VLOOKUP('Données projet'!$B$12,Paramètres!$A$1:$I$89,3,0)*VLOOKUP('Données projet'!$B$12,Paramètres!$A$1:$I$89,5,0)</f>
        <v>-1.5429577615577727E-13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37.174340347509542</v>
      </c>
      <c r="CE176" s="62">
        <f t="shared" si="148"/>
        <v>-42.822755675927624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39.581593060563698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39.581593060563698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-1.7053025658242404E-13</v>
      </c>
      <c r="CU176" s="18">
        <f>CT176*VLOOKUP('Données projet'!$B$13,Paramètres!$A$1:$I$89,3,0)*VLOOKUP('Données projet'!$B$13,Paramètres!$A$1:$I$89,5,0)</f>
        <v>-1.7823822417994965E-13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63.282881814092605</v>
      </c>
      <c r="CZ176" s="62">
        <f t="shared" si="150"/>
        <v>-40.869120230674525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45.723564397547726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45.723564397547726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141.14880000000016</v>
      </c>
      <c r="D177" s="12">
        <f t="shared" si="140"/>
        <v>36.560054140504519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1371.7876459968784</v>
      </c>
      <c r="H177" s="70">
        <f t="shared" si="110"/>
        <v>602.84292096137892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-2.8908289095852525E-14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121.64341556501768</v>
      </c>
      <c r="T177" s="62">
        <f t="shared" si="142"/>
        <v>370.21160497429781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4.39378420680828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4.39378420680828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-3.2810021366458389E-14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140.99869591649082</v>
      </c>
      <c r="AO177" s="62">
        <f t="shared" si="144"/>
        <v>425.5885140588652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4.9868102960707494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4.9868102960707494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-3.2810021366458389E-14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140.99869591649082</v>
      </c>
      <c r="BJ177" s="62">
        <f t="shared" si="146"/>
        <v>425.5885140588652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4.9868102960707494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4.9868102960707494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-1.7053025658242404E-13</v>
      </c>
      <c r="BZ177" s="14">
        <f>BY177*VLOOKUP('Données projet'!$B$12,Paramètres!$A$1:$I$89,3,0)*VLOOKUP('Données projet'!$B$12,Paramètres!$A$1:$I$89,5,0)</f>
        <v>-1.5429577615577727E-13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37.174340347509542</v>
      </c>
      <c r="CE177" s="62">
        <f t="shared" si="148"/>
        <v>-42.822755675927624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38.805422163033946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38.805422163033946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-1.7053025658242404E-13</v>
      </c>
      <c r="CU177" s="18">
        <f>CT177*VLOOKUP('Données projet'!$B$13,Paramètres!$A$1:$I$89,3,0)*VLOOKUP('Données projet'!$B$13,Paramètres!$A$1:$I$89,5,0)</f>
        <v>-1.7823822417994965E-13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63.282881814092605</v>
      </c>
      <c r="CZ177" s="62">
        <f t="shared" si="150"/>
        <v>-40.869120230674525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44.826953188332325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44.826953188332325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141.96000000000018</v>
      </c>
      <c r="D178" s="12">
        <f t="shared" si="140"/>
        <v>36.745650011720521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1379.4822106167915</v>
      </c>
      <c r="H178" s="70">
        <f t="shared" si="110"/>
        <v>604.57900710374679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-2.8908289095852525E-14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121.64341556501768</v>
      </c>
      <c r="T178" s="62">
        <f t="shared" si="142"/>
        <v>370.21160497429781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4.3076247784565131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4.3076247784565131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-3.2810021366458389E-14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140.99869591649082</v>
      </c>
      <c r="AO178" s="62">
        <f t="shared" si="144"/>
        <v>425.5885140588652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4.8890219878187446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4.8890219878187446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-3.2810021366458389E-14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140.99869591649082</v>
      </c>
      <c r="BJ178" s="62">
        <f t="shared" si="146"/>
        <v>425.5885140588652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4.8890219878187446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4.8890219878187446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-1.7053025658242404E-13</v>
      </c>
      <c r="BZ178" s="14">
        <f>BY178*VLOOKUP('Données projet'!$B$12,Paramètres!$A$1:$I$89,3,0)*VLOOKUP('Données projet'!$B$12,Paramètres!$A$1:$I$89,5,0)</f>
        <v>-1.5429577615577727E-13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37.174340347509542</v>
      </c>
      <c r="CE178" s="62">
        <f t="shared" si="148"/>
        <v>-42.822755675927624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38.04447150338725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38.04447150338725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-1.7053025658242404E-13</v>
      </c>
      <c r="CU178" s="18">
        <f>CT178*VLOOKUP('Données projet'!$B$13,Paramètres!$A$1:$I$89,3,0)*VLOOKUP('Données projet'!$B$13,Paramètres!$A$1:$I$89,5,0)</f>
        <v>-1.7823822417994965E-13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63.282881814092605</v>
      </c>
      <c r="CZ178" s="62">
        <f t="shared" si="150"/>
        <v>-40.869120230674525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43.947923978050802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43.947923978050802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142.77120000000019</v>
      </c>
      <c r="D179" s="12">
        <f t="shared" si="140"/>
        <v>36.931122475504125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1387.1758226179281</v>
      </c>
      <c r="H179" s="70">
        <f t="shared" si="110"/>
        <v>606.31487831150343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-2.8908289095852525E-14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121.64341556501768</v>
      </c>
      <c r="T179" s="62">
        <f t="shared" si="142"/>
        <v>370.21160497429781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4.2231548839426623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4.2231548839426623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-3.2810021366458389E-14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140.99869591649082</v>
      </c>
      <c r="AO179" s="62">
        <f t="shared" si="144"/>
        <v>425.5885140588652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4.7931512486465824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4.7931512486465824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-3.2810021366458389E-14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140.99869591649082</v>
      </c>
      <c r="BJ179" s="62">
        <f t="shared" si="146"/>
        <v>425.5885140588652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4.7931512486465824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4.7931512486465824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-1.7053025658242404E-13</v>
      </c>
      <c r="BZ179" s="14">
        <f>BY179*VLOOKUP('Données projet'!$B$12,Paramètres!$A$1:$I$89,3,0)*VLOOKUP('Données projet'!$B$12,Paramètres!$A$1:$I$89,5,0)</f>
        <v>-1.5429577615577727E-13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37.174340347509542</v>
      </c>
      <c r="CE179" s="62">
        <f t="shared" si="148"/>
        <v>-42.822755675927624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37.298442622042153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37.298442622042153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-1.7053025658242404E-13</v>
      </c>
      <c r="CU179" s="18">
        <f>CT179*VLOOKUP('Données projet'!$B$13,Paramètres!$A$1:$I$89,3,0)*VLOOKUP('Données projet'!$B$13,Paramètres!$A$1:$I$89,5,0)</f>
        <v>-1.7823822417994965E-13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63.282881814092605</v>
      </c>
      <c r="CZ179" s="62">
        <f t="shared" si="150"/>
        <v>-40.869120230674525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43.086131994428023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43.086131994428023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143.58240000000021</v>
      </c>
      <c r="D180" s="12">
        <f t="shared" si="140"/>
        <v>37.116472314400717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1394.8684880409899</v>
      </c>
      <c r="H180" s="70">
        <f t="shared" si="110"/>
        <v>608.05053594758147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-2.8908289095852525E-14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121.64341556501768</v>
      </c>
      <c r="T180" s="62">
        <f t="shared" si="142"/>
        <v>370.21160497429781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4.1403413925386801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4.1403413925386801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-3.2810021366458389E-14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140.99869591649082</v>
      </c>
      <c r="AO180" s="62">
        <f t="shared" si="144"/>
        <v>425.5885140588652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4.6991604761942094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4.6991604761942094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-3.2810021366458389E-14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140.99869591649082</v>
      </c>
      <c r="BJ180" s="62">
        <f t="shared" si="146"/>
        <v>425.5885140588652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4.6991604761942094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4.6991604761942094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-1.7053025658242404E-13</v>
      </c>
      <c r="BZ180" s="14">
        <f>BY180*VLOOKUP('Données projet'!$B$12,Paramètres!$A$1:$I$89,3,0)*VLOOKUP('Données projet'!$B$12,Paramètres!$A$1:$I$89,5,0)</f>
        <v>-1.5429577615577727E-13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37.174340347509542</v>
      </c>
      <c r="CE180" s="62">
        <f t="shared" si="148"/>
        <v>-42.822755675927624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36.567042912027546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36.567042912027546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-1.7053025658242404E-13</v>
      </c>
      <c r="CU180" s="18">
        <f>CT180*VLOOKUP('Données projet'!$B$13,Paramètres!$A$1:$I$89,3,0)*VLOOKUP('Données projet'!$B$13,Paramètres!$A$1:$I$89,5,0)</f>
        <v>-1.7823822417994965E-13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63.282881814092605</v>
      </c>
      <c r="CZ180" s="62">
        <f t="shared" si="150"/>
        <v>-40.869120230674525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42.241239225962879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42.241239225962879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144.39360000000022</v>
      </c>
      <c r="D181" s="12">
        <f t="shared" si="140"/>
        <v>37.301700301601755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1402.5602128544715</v>
      </c>
      <c r="H181" s="70">
        <f t="shared" si="110"/>
        <v>609.78598135862342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-2.8908289095852525E-14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121.64341556501768</v>
      </c>
      <c r="T181" s="62">
        <f t="shared" si="142"/>
        <v>370.21160497429781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4.0591518231898878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4.0591518231898878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-3.2810021366458389E-14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140.99869591649082</v>
      </c>
      <c r="AO181" s="62">
        <f t="shared" si="144"/>
        <v>425.5885140588652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4.6070128054609176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4.6070128054609176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-3.2810021366458389E-14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140.99869591649082</v>
      </c>
      <c r="BJ181" s="62">
        <f t="shared" si="146"/>
        <v>425.5885140588652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4.6070128054609176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4.6070128054609176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-1.7053025658242404E-13</v>
      </c>
      <c r="BZ181" s="14">
        <f>BY181*VLOOKUP('Données projet'!$B$12,Paramètres!$A$1:$I$89,3,0)*VLOOKUP('Données projet'!$B$12,Paramètres!$A$1:$I$89,5,0)</f>
        <v>-1.5429577615577727E-13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37.174340347509542</v>
      </c>
      <c r="CE181" s="62">
        <f t="shared" si="148"/>
        <v>-42.822755675927624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35.849985504216555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35.849985504216555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-1.7053025658242404E-13</v>
      </c>
      <c r="CU181" s="18">
        <f>CT181*VLOOKUP('Données projet'!$B$13,Paramètres!$A$1:$I$89,3,0)*VLOOKUP('Données projet'!$B$13,Paramètres!$A$1:$I$89,5,0)</f>
        <v>-1.7823822417994965E-13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63.282881814092605</v>
      </c>
      <c r="CZ181" s="62">
        <f t="shared" si="150"/>
        <v>-40.869120230674525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41.41291428935363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41.41291428935363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145.20480000000023</v>
      </c>
      <c r="D182" s="12">
        <f t="shared" si="140"/>
        <v>37.486807201108292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1410.2510029559255</v>
      </c>
      <c r="H182" s="70">
        <f t="shared" si="110"/>
        <v>611.52121587526403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-2.8908289095852525E-14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121.64341556501768</v>
      </c>
      <c r="T182" s="62">
        <f t="shared" si="142"/>
        <v>370.21160497429781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3.9795543317752773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3.9795543317752773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-3.2810021366458389E-14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140.99869591649082</v>
      </c>
      <c r="AO182" s="62">
        <f t="shared" si="144"/>
        <v>425.5885140588652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4.516672094346176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4.516672094346176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-3.2810021366458389E-14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140.99869591649082</v>
      </c>
      <c r="BJ182" s="62">
        <f t="shared" si="146"/>
        <v>425.5885140588652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4.516672094346176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4.516672094346176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-1.7053025658242404E-13</v>
      </c>
      <c r="BZ182" s="14">
        <f>BY182*VLOOKUP('Données projet'!$B$12,Paramètres!$A$1:$I$89,3,0)*VLOOKUP('Données projet'!$B$12,Paramètres!$A$1:$I$89,5,0)</f>
        <v>-1.5429577615577727E-13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37.174340347509542</v>
      </c>
      <c r="CE182" s="62">
        <f t="shared" si="148"/>
        <v>-42.822755675927624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35.146989154810903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35.146989154810903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-1.7053025658242404E-13</v>
      </c>
      <c r="CU182" s="18">
        <f>CT182*VLOOKUP('Données projet'!$B$13,Paramètres!$A$1:$I$89,3,0)*VLOOKUP('Données projet'!$B$13,Paramètres!$A$1:$I$89,5,0)</f>
        <v>-1.7823822417994965E-13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63.282881814092605</v>
      </c>
      <c r="CZ182" s="62">
        <f t="shared" si="150"/>
        <v>-40.869120230674525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40.600832299522963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40.600832299522963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146.01600000000025</v>
      </c>
      <c r="D183" s="12">
        <f t="shared" si="140"/>
        <v>37.671793767891131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1417.9408641731968</v>
      </c>
      <c r="H183" s="70">
        <f t="shared" si="110"/>
        <v>613.25624081241074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-2.8908289095852525E-14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121.64341556501768</v>
      </c>
      <c r="T183" s="62">
        <f t="shared" si="142"/>
        <v>370.21160497429781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3.9015176986176319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3.9015176986176319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-3.2810021366458389E-14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140.99869591649082</v>
      </c>
      <c r="AO183" s="62">
        <f t="shared" si="144"/>
        <v>425.5885140588652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4.4281029094740019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4.4281029094740019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-3.2810021366458389E-14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140.99869591649082</v>
      </c>
      <c r="BJ183" s="62">
        <f t="shared" si="146"/>
        <v>425.5885140588652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4.4281029094740019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4.4281029094740019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-1.7053025658242404E-13</v>
      </c>
      <c r="BZ183" s="14">
        <f>BY183*VLOOKUP('Données projet'!$B$12,Paramètres!$A$1:$I$89,3,0)*VLOOKUP('Données projet'!$B$12,Paramètres!$A$1:$I$89,5,0)</f>
        <v>-1.5429577615577727E-13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37.174340347509542</v>
      </c>
      <c r="CE183" s="62">
        <f t="shared" si="148"/>
        <v>-42.822755675927624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34.457778135031667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34.457778135031667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-1.7053025658242404E-13</v>
      </c>
      <c r="CU183" s="18">
        <f>CT183*VLOOKUP('Données projet'!$B$13,Paramètres!$A$1:$I$89,3,0)*VLOOKUP('Données projet'!$B$13,Paramètres!$A$1:$I$89,5,0)</f>
        <v>-1.7823822417994965E-13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63.282881814092605</v>
      </c>
      <c r="CZ183" s="62">
        <f t="shared" si="150"/>
        <v>-40.869120230674525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39.804674742191771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39.804674742191771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146.82720000000026</v>
      </c>
      <c r="D184" s="12">
        <f t="shared" si="140"/>
        <v>37.856660748047048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1425.6298022656283</v>
      </c>
      <c r="H184" s="70">
        <f t="shared" si="110"/>
        <v>614.99105746951568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-2.8908289095852525E-14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121.64341556501768</v>
      </c>
      <c r="T184" s="62">
        <f t="shared" si="142"/>
        <v>370.21160497429781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3.8250113162385615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3.8250113162385615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-3.2810021366458389E-14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140.99869591649082</v>
      </c>
      <c r="AO184" s="62">
        <f t="shared" si="144"/>
        <v>425.5885140588652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4.3412705122953019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4.3412705122953019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-3.2810021366458389E-14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140.99869591649082</v>
      </c>
      <c r="BJ184" s="62">
        <f t="shared" si="146"/>
        <v>425.5885140588652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4.3412705122953019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4.3412705122953019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-1.7053025658242404E-13</v>
      </c>
      <c r="BZ184" s="14">
        <f>BY184*VLOOKUP('Données projet'!$B$12,Paramètres!$A$1:$I$89,3,0)*VLOOKUP('Données projet'!$B$12,Paramètres!$A$1:$I$89,5,0)</f>
        <v>-1.5429577615577727E-13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37.174340347509542</v>
      </c>
      <c r="CE184" s="62">
        <f t="shared" si="148"/>
        <v>-42.822755675927624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33.782082122973087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33.782082122973087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-1.7053025658242404E-13</v>
      </c>
      <c r="CU184" s="18">
        <f>CT184*VLOOKUP('Données projet'!$B$13,Paramètres!$A$1:$I$89,3,0)*VLOOKUP('Données projet'!$B$13,Paramètres!$A$1:$I$89,5,0)</f>
        <v>-1.7823822417994965E-13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63.282881814092605</v>
      </c>
      <c r="CZ184" s="62">
        <f t="shared" si="150"/>
        <v>-40.869120230674525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39.024129348951682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39.024129348951682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147.63840000000027</v>
      </c>
      <c r="D185" s="12">
        <f t="shared" si="140"/>
        <v>38.041408878951366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1433.3178229252408</v>
      </c>
      <c r="H185" s="70">
        <f t="shared" si="110"/>
        <v>616.72566713084075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-2.8908289095852525E-14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121.64341556501768</v>
      </c>
      <c r="T185" s="62">
        <f t="shared" si="142"/>
        <v>370.21160497429781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3.7500051773536591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3.7500051773536591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-3.2810021366458389E-14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140.99869591649082</v>
      </c>
      <c r="AO185" s="62">
        <f t="shared" si="144"/>
        <v>425.5885140588652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4.2561408454627436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4.2561408454627436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-3.2810021366458389E-14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140.99869591649082</v>
      </c>
      <c r="BJ185" s="62">
        <f t="shared" si="146"/>
        <v>425.5885140588652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4.2561408454627436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4.2561408454627436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-1.7053025658242404E-13</v>
      </c>
      <c r="BZ185" s="14">
        <f>BY185*VLOOKUP('Données projet'!$B$12,Paramètres!$A$1:$I$89,3,0)*VLOOKUP('Données projet'!$B$12,Paramètres!$A$1:$I$89,5,0)</f>
        <v>-1.5429577615577727E-13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37.174340347509542</v>
      </c>
      <c r="CE185" s="62">
        <f t="shared" si="148"/>
        <v>-42.822755675927624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33.1196360975771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33.1196360975771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-1.7053025658242404E-13</v>
      </c>
      <c r="CU185" s="18">
        <f>CT185*VLOOKUP('Données projet'!$B$13,Paramètres!$A$1:$I$89,3,0)*VLOOKUP('Données projet'!$B$13,Paramètres!$A$1:$I$89,5,0)</f>
        <v>-1.7823822417994965E-13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63.282881814092605</v>
      </c>
      <c r="CZ185" s="62">
        <f t="shared" si="150"/>
        <v>-40.869120230674525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38.258889974787351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38.258889974787351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148.44960000000029</v>
      </c>
      <c r="D186" s="12">
        <f t="shared" si="140"/>
        <v>38.226038889407569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1441.0049317778851</v>
      </c>
      <c r="H186" s="70">
        <f t="shared" si="110"/>
        <v>618.46007106571869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-2.8908289095852525E-14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121.64341556501768</v>
      </c>
      <c r="T186" s="62">
        <f t="shared" si="142"/>
        <v>370.21160497429781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3.6764698631030623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3.6764698631030623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-3.2810021366458389E-14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140.99869591649082</v>
      </c>
      <c r="AO186" s="62">
        <f t="shared" si="144"/>
        <v>425.5885140588652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4.1726805194728023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4.1726805194728023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-3.2810021366458389E-14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140.99869591649082</v>
      </c>
      <c r="BJ186" s="62">
        <f t="shared" si="146"/>
        <v>425.5885140588652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4.1726805194728023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4.1726805194728023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-1.7053025658242404E-13</v>
      </c>
      <c r="BZ186" s="14">
        <f>BY186*VLOOKUP('Données projet'!$B$12,Paramètres!$A$1:$I$89,3,0)*VLOOKUP('Données projet'!$B$12,Paramètres!$A$1:$I$89,5,0)</f>
        <v>-1.5429577615577727E-13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37.174340347509542</v>
      </c>
      <c r="CE186" s="62">
        <f t="shared" si="148"/>
        <v>-42.822755675927624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32.47018023468695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32.47018023468695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-1.7053025658242404E-13</v>
      </c>
      <c r="CU186" s="18">
        <f>CT186*VLOOKUP('Données projet'!$B$13,Paramètres!$A$1:$I$89,3,0)*VLOOKUP('Données projet'!$B$13,Paramètres!$A$1:$I$89,5,0)</f>
        <v>-1.7823822417994965E-13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63.282881814092605</v>
      </c>
      <c r="CZ186" s="62">
        <f t="shared" si="150"/>
        <v>-40.869120230674525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37.508656478000454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37.508656478000454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149.2608000000003</v>
      </c>
      <c r="D187" s="12">
        <f t="shared" si="140"/>
        <v>38.410551499792973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1448.6911343843692</v>
      </c>
      <c r="H187" s="70">
        <f t="shared" si="110"/>
        <v>620.19427052880656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-2.8908289095852525E-14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121.64341556501768</v>
      </c>
      <c r="T187" s="62">
        <f t="shared" si="142"/>
        <v>370.21160497429781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3.6043765315128069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3.6043765315128069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-3.2810021366458389E-14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140.99869591649082</v>
      </c>
      <c r="AO187" s="62">
        <f t="shared" si="144"/>
        <v>425.5885140588652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4.0908567995697513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4.0908567995697513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-3.2810021366458389E-14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140.99869591649082</v>
      </c>
      <c r="BJ187" s="62">
        <f t="shared" si="146"/>
        <v>425.5885140588652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4.0908567995697513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4.0908567995697513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-1.7053025658242404E-13</v>
      </c>
      <c r="BZ187" s="14">
        <f>BY187*VLOOKUP('Données projet'!$B$12,Paramètres!$A$1:$I$89,3,0)*VLOOKUP('Données projet'!$B$12,Paramètres!$A$1:$I$89,5,0)</f>
        <v>-1.5429577615577727E-13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37.174340347509542</v>
      </c>
      <c r="CE187" s="62">
        <f t="shared" si="148"/>
        <v>-42.822755675927624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31.833459805139114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31.833459805139114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-1.7053025658242404E-13</v>
      </c>
      <c r="CU187" s="18">
        <f>CT187*VLOOKUP('Données projet'!$B$13,Paramètres!$A$1:$I$89,3,0)*VLOOKUP('Données projet'!$B$13,Paramètres!$A$1:$I$89,5,0)</f>
        <v>-1.7823822417994965E-13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63.282881814092605</v>
      </c>
      <c r="CZ187" s="62">
        <f t="shared" si="150"/>
        <v>-40.869120230674525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36.773134602488298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36.773134602488298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150.07200000000032</v>
      </c>
      <c r="D188" s="12">
        <f t="shared" si="140"/>
        <v>38.594947422201528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1456.3764362415579</v>
      </c>
      <c r="H188" s="70">
        <f t="shared" si="110"/>
        <v>621.92826676033485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-2.8908289095852525E-14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121.64341556501768</v>
      </c>
      <c r="T188" s="62">
        <f t="shared" si="142"/>
        <v>370.21160497429781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3.5336969061824459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3.5336969061824459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-3.2810021366458389E-14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140.99869591649082</v>
      </c>
      <c r="AO188" s="62">
        <f t="shared" si="144"/>
        <v>425.5885140588652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4.0106375929064582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4.0106375929064582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-3.2810021366458389E-14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140.99869591649082</v>
      </c>
      <c r="BJ188" s="62">
        <f t="shared" si="146"/>
        <v>425.5885140588652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4.0106375929064582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4.0106375929064582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-1.7053025658242404E-13</v>
      </c>
      <c r="BZ188" s="14">
        <f>BY188*VLOOKUP('Données projet'!$B$12,Paramètres!$A$1:$I$89,3,0)*VLOOKUP('Données projet'!$B$12,Paramètres!$A$1:$I$89,5,0)</f>
        <v>-1.5429577615577727E-13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37.174340347509542</v>
      </c>
      <c r="CE188" s="62">
        <f t="shared" si="148"/>
        <v>-42.822755675927624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31.209225074853599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31.209225074853599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-1.7053025658242404E-13</v>
      </c>
      <c r="CU188" s="18">
        <f>CT188*VLOOKUP('Données projet'!$B$13,Paramètres!$A$1:$I$89,3,0)*VLOOKUP('Données projet'!$B$13,Paramètres!$A$1:$I$89,5,0)</f>
        <v>-1.7823822417994965E-13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63.282881814092605</v>
      </c>
      <c r="CZ188" s="62">
        <f t="shared" si="150"/>
        <v>-40.869120230674525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36.052035862330889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36.052035862330889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150.88320000000033</v>
      </c>
      <c r="D189" s="12">
        <f t="shared" si="140"/>
        <v>38.77922736058327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1464.0608427834522</v>
      </c>
      <c r="H189" s="70">
        <f t="shared" si="110"/>
        <v>623.66206098634973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-2.8908289095852525E-14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121.64341556501768</v>
      </c>
      <c r="T189" s="62">
        <f t="shared" si="142"/>
        <v>370.21160497429781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3.4644032651944987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3.4644032651944987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-3.2810021366458389E-14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140.99869591649082</v>
      </c>
      <c r="AO189" s="62">
        <f t="shared" si="144"/>
        <v>425.5885140588652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3.9319914359569474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3.9319914359569474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-3.2810021366458389E-14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140.99869591649082</v>
      </c>
      <c r="BJ189" s="62">
        <f t="shared" si="146"/>
        <v>425.5885140588652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3.9319914359569474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3.9319914359569474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-1.7053025658242404E-13</v>
      </c>
      <c r="BZ189" s="14">
        <f>BY189*VLOOKUP('Données projet'!$B$12,Paramètres!$A$1:$I$89,3,0)*VLOOKUP('Données projet'!$B$12,Paramètres!$A$1:$I$89,5,0)</f>
        <v>-1.5429577615577727E-13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37.174340347509542</v>
      </c>
      <c r="CE189" s="62">
        <f t="shared" si="148"/>
        <v>-42.822755675927624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30.597231206883393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30.597231206883393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-1.7053025658242404E-13</v>
      </c>
      <c r="CU189" s="18">
        <f>CT189*VLOOKUP('Données projet'!$B$13,Paramètres!$A$1:$I$89,3,0)*VLOOKUP('Données projet'!$B$13,Paramètres!$A$1:$I$89,5,0)</f>
        <v>-1.7823822417994965E-13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63.282881814092605</v>
      </c>
      <c r="CZ189" s="62">
        <f t="shared" si="150"/>
        <v>-40.869120230674525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35.345077428641169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35.345077428641169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151.69440000000034</v>
      </c>
      <c r="D190" s="12">
        <f t="shared" si="140"/>
        <v>38.963392010880717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1471.7443593822397</v>
      </c>
      <c r="H190" s="70">
        <f t="shared" si="110"/>
        <v>625.39565441895115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-2.8908289095852525E-14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121.64341556501768</v>
      </c>
      <c r="T190" s="62">
        <f t="shared" si="142"/>
        <v>370.21160497429781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3.3964684302413772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3.3964684302413772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-3.2810021366458389E-14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140.99869591649082</v>
      </c>
      <c r="AO190" s="62">
        <f t="shared" si="144"/>
        <v>425.5885140588652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3.8548874821757972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3.8548874821757972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-3.2810021366458389E-14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140.99869591649082</v>
      </c>
      <c r="BJ190" s="62">
        <f t="shared" si="146"/>
        <v>425.5885140588652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3.8548874821757972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3.8548874821757972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-1.7053025658242404E-13</v>
      </c>
      <c r="BZ190" s="14">
        <f>BY190*VLOOKUP('Données projet'!$B$12,Paramètres!$A$1:$I$89,3,0)*VLOOKUP('Données projet'!$B$12,Paramètres!$A$1:$I$89,5,0)</f>
        <v>-1.5429577615577727E-13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37.174340347509542</v>
      </c>
      <c r="CE190" s="62">
        <f t="shared" si="148"/>
        <v>-42.822755675927624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29.99723816538468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29.99723816538468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-1.7053025658242404E-13</v>
      </c>
      <c r="CU190" s="18">
        <f>CT190*VLOOKUP('Données projet'!$B$13,Paramètres!$A$1:$I$89,3,0)*VLOOKUP('Données projet'!$B$13,Paramètres!$A$1:$I$89,5,0)</f>
        <v>-1.7823822417994965E-13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63.282881814092605</v>
      </c>
      <c r="CZ190" s="62">
        <f t="shared" si="150"/>
        <v>-40.869120230674525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34.651982018634037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34.651982018634037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152.50560000000036</v>
      </c>
      <c r="D191" s="12">
        <f t="shared" si="140"/>
        <v>39.147442061162288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1479.4269913493256</v>
      </c>
      <c r="H191" s="70">
        <f t="shared" si="110"/>
        <v>627.12904825652492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-2.8908289095852525E-14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121.64341556501768</v>
      </c>
      <c r="T191" s="62">
        <f t="shared" si="142"/>
        <v>370.21160497429781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3.3298657559655287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3.3298657559655287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-3.2810021366458389E-14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140.99869591649082</v>
      </c>
      <c r="AO191" s="62">
        <f t="shared" si="144"/>
        <v>425.5885140588652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3.7792954898995275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3.7792954898995275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-3.2810021366458389E-14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140.99869591649082</v>
      </c>
      <c r="BJ191" s="62">
        <f t="shared" si="146"/>
        <v>425.5885140588652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3.7792954898995275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3.7792954898995275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-1.7053025658242404E-13</v>
      </c>
      <c r="BZ191" s="14">
        <f>BY191*VLOOKUP('Données projet'!$B$12,Paramètres!$A$1:$I$89,3,0)*VLOOKUP('Données projet'!$B$12,Paramètres!$A$1:$I$89,5,0)</f>
        <v>-1.5429577615577727E-13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37.174340347509542</v>
      </c>
      <c r="CE191" s="62">
        <f t="shared" si="148"/>
        <v>-42.822755675927624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29.409010621470138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29.409010621470138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-1.7053025658242404E-13</v>
      </c>
      <c r="CU191" s="18">
        <f>CT191*VLOOKUP('Données projet'!$B$13,Paramètres!$A$1:$I$89,3,0)*VLOOKUP('Données projet'!$B$13,Paramètres!$A$1:$I$89,5,0)</f>
        <v>-1.7823822417994965E-13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63.282881814092605</v>
      </c>
      <c r="CZ191" s="62">
        <f t="shared" si="150"/>
        <v>-40.869120230674525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33.972477786870684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33.972477786870684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153.31680000000037</v>
      </c>
      <c r="D192" s="12">
        <f t="shared" si="140"/>
        <v>39.331378191752862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1487.1087439363409</v>
      </c>
      <c r="H192" s="70">
        <f t="shared" si="110"/>
        <v>628.86224368397018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-2.8908289095852525E-14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121.64341556501768</v>
      </c>
      <c r="T192" s="62">
        <f t="shared" si="142"/>
        <v>370.21160497429781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3.2645691195086095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3.2645691195086095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-3.2810021366458389E-14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140.99869591649082</v>
      </c>
      <c r="AO192" s="62">
        <f t="shared" si="144"/>
        <v>425.5885140588652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3.7051858104852324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3.7051858104852324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-3.2810021366458389E-14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140.99869591649082</v>
      </c>
      <c r="BJ192" s="62">
        <f t="shared" si="146"/>
        <v>425.5885140588652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3.7051858104852324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3.7051858104852324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-1.7053025658242404E-13</v>
      </c>
      <c r="BZ192" s="14">
        <f>BY192*VLOOKUP('Données projet'!$B$12,Paramètres!$A$1:$I$89,3,0)*VLOOKUP('Données projet'!$B$12,Paramètres!$A$1:$I$89,5,0)</f>
        <v>-1.5429577615577727E-13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37.174340347509542</v>
      </c>
      <c r="CE192" s="62">
        <f t="shared" si="148"/>
        <v>-42.822755675927624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28.832317860908383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28.832317860908383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-1.7053025658242404E-13</v>
      </c>
      <c r="CU192" s="18">
        <f>CT192*VLOOKUP('Données projet'!$B$13,Paramètres!$A$1:$I$89,3,0)*VLOOKUP('Données projet'!$B$13,Paramètres!$A$1:$I$89,5,0)</f>
        <v>-1.7823822417994965E-13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63.282881814092605</v>
      </c>
      <c r="CZ192" s="62">
        <f t="shared" si="150"/>
        <v>-40.869120230674525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33.306298218635554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33.306298218635554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154.12800000000038</v>
      </c>
      <c r="D193" s="12">
        <f t="shared" si="140"/>
        <v>39.515201075361226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1494.7896223361247</v>
      </c>
      <c r="H193" s="70">
        <f t="shared" si="110"/>
        <v>630.59524187292141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-2.8908289095852525E-14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121.64341556501768</v>
      </c>
      <c r="T193" s="62">
        <f t="shared" si="142"/>
        <v>370.21160497429781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3.200552910265595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3.200552910265595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-3.2810021366458389E-14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140.99869591649082</v>
      </c>
      <c r="AO193" s="62">
        <f t="shared" si="144"/>
        <v>425.5885140588652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3.632529376681811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3.632529376681811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-3.2810021366458389E-14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140.99869591649082</v>
      </c>
      <c r="BJ193" s="62">
        <f t="shared" si="146"/>
        <v>425.5885140588652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3.632529376681811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3.632529376681811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-1.7053025658242404E-13</v>
      </c>
      <c r="BZ193" s="14">
        <f>BY193*VLOOKUP('Données projet'!$B$12,Paramètres!$A$1:$I$89,3,0)*VLOOKUP('Données projet'!$B$12,Paramètres!$A$1:$I$89,5,0)</f>
        <v>-1.5429577615577727E-13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37.174340347509542</v>
      </c>
      <c r="CE193" s="62">
        <f t="shared" si="148"/>
        <v>-42.822755675927624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28.266933693633394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28.266933693633394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-1.7053025658242404E-13</v>
      </c>
      <c r="CU193" s="18">
        <f>CT193*VLOOKUP('Données projet'!$B$13,Paramètres!$A$1:$I$89,3,0)*VLOOKUP('Données projet'!$B$13,Paramètres!$A$1:$I$89,5,0)</f>
        <v>-1.7823822417994965E-13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63.282881814092605</v>
      </c>
      <c r="CZ193" s="62">
        <f t="shared" si="150"/>
        <v>-40.869120230674525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32.653182025404099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32.653182025404099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154.9392000000004</v>
      </c>
      <c r="D194" s="12">
        <f t="shared" si="140"/>
        <v>39.698911377205278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1502.4696316836933</v>
      </c>
      <c r="H194" s="70">
        <f t="shared" si="110"/>
        <v>632.32804398196652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-2.8908289095852525E-14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121.64341556501768</v>
      </c>
      <c r="T194" s="62">
        <f t="shared" si="142"/>
        <v>370.21160497429781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3.1377920198398037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3.1377920198398037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-3.2810021366458389E-14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140.99869591649082</v>
      </c>
      <c r="AO194" s="62">
        <f t="shared" si="144"/>
        <v>425.5885140588652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3.5612976912292256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3.5612976912292256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-3.2810021366458389E-14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140.99869591649082</v>
      </c>
      <c r="BJ194" s="62">
        <f t="shared" si="146"/>
        <v>425.5885140588652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3.5612976912292256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3.5612976912292256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-1.7053025658242404E-13</v>
      </c>
      <c r="BZ194" s="14">
        <f>BY194*VLOOKUP('Données projet'!$B$12,Paramètres!$A$1:$I$89,3,0)*VLOOKUP('Données projet'!$B$12,Paramètres!$A$1:$I$89,5,0)</f>
        <v>-1.5429577615577727E-13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37.174340347509542</v>
      </c>
      <c r="CE194" s="62">
        <f t="shared" si="148"/>
        <v>-42.822755675927624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27.712636365028377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27.712636365028377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-1.7053025658242404E-13</v>
      </c>
      <c r="CU194" s="18">
        <f>CT194*VLOOKUP('Données projet'!$B$13,Paramètres!$A$1:$I$89,3,0)*VLOOKUP('Données projet'!$B$13,Paramètres!$A$1:$I$89,5,0)</f>
        <v>-1.7823822417994965E-13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63.282881814092605</v>
      </c>
      <c r="CZ194" s="62">
        <f t="shared" si="150"/>
        <v>-40.869120230674525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32.012873042360376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32.012873042360376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155.75040000000041</v>
      </c>
      <c r="D195" s="12">
        <f t="shared" si="140"/>
        <v>39.88250975513386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1510.1487770571769</v>
      </c>
      <c r="H195" s="70">
        <f t="shared" si="110"/>
        <v>634.06065115685885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-2.8908289095852525E-14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121.64341556501768</v>
      </c>
      <c r="T195" s="62">
        <f t="shared" si="142"/>
        <v>370.21160497429781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3.0762618321948989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3.0762618321948989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-3.2810021366458389E-14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140.99869591649082</v>
      </c>
      <c r="AO195" s="62">
        <f t="shared" si="144"/>
        <v>425.5885140588652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3.4914628156813272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3.4914628156813272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-3.2810021366458389E-14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140.99869591649082</v>
      </c>
      <c r="BJ195" s="62">
        <f t="shared" si="146"/>
        <v>425.5885140588652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3.4914628156813272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3.4914628156813272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-1.7053025658242404E-13</v>
      </c>
      <c r="BZ195" s="14">
        <f>BY195*VLOOKUP('Données projet'!$B$12,Paramètres!$A$1:$I$89,3,0)*VLOOKUP('Données projet'!$B$12,Paramètres!$A$1:$I$89,5,0)</f>
        <v>-1.5429577615577727E-13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37.174340347509542</v>
      </c>
      <c r="CE195" s="62">
        <f t="shared" si="148"/>
        <v>-42.822755675927624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27.169208468949318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27.169208468949318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-1.7053025658242404E-13</v>
      </c>
      <c r="CU195" s="18">
        <f>CT195*VLOOKUP('Données projet'!$B$13,Paramètres!$A$1:$I$89,3,0)*VLOOKUP('Données projet'!$B$13,Paramètres!$A$1:$I$89,5,0)</f>
        <v>-1.7823822417994965E-13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63.282881814092605</v>
      </c>
      <c r="CZ195" s="62">
        <f t="shared" si="150"/>
        <v>-40.869120230674525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31.385120127924221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31.385120127924221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156.56160000000042</v>
      </c>
      <c r="D196" s="12">
        <f t="shared" si="140"/>
        <v>40.065996859746583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1517.8270634787489</v>
      </c>
      <c r="H196" s="70">
        <f t="shared" ref="H196:H203" si="192">(B196+E196+F196)*44/12+(C196+D196)*0.475*44/12</f>
        <v>635.79306453072604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-2.8908289095852525E-14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121.64341556501768</v>
      </c>
      <c r="T196" s="62">
        <f t="shared" si="142"/>
        <v>370.21160497429781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3.0159382140000019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3.0159382140000019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-3.2810021366458389E-14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140.99869591649082</v>
      </c>
      <c r="AO196" s="62">
        <f t="shared" si="144"/>
        <v>425.5885140588652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3.4229973594478551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3.4229973594478551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-3.2810021366458389E-14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140.99869591649082</v>
      </c>
      <c r="BJ196" s="62">
        <f t="shared" si="146"/>
        <v>425.5885140588652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3.4229973594478551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3.4229973594478551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-1.7053025658242404E-13</v>
      </c>
      <c r="BZ196" s="14">
        <f>BY196*VLOOKUP('Données projet'!$B$12,Paramètres!$A$1:$I$89,3,0)*VLOOKUP('Données projet'!$B$12,Paramètres!$A$1:$I$89,5,0)</f>
        <v>-1.5429577615577727E-13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37.174340347509542</v>
      </c>
      <c r="CE196" s="62">
        <f t="shared" si="148"/>
        <v>-42.822755675927624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26.636436862454079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26.636436862454079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-1.7053025658242404E-13</v>
      </c>
      <c r="CU196" s="18">
        <f>CT196*VLOOKUP('Données projet'!$B$13,Paramètres!$A$1:$I$89,3,0)*VLOOKUP('Données projet'!$B$13,Paramètres!$A$1:$I$89,5,0)</f>
        <v>-1.7823822417994965E-13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63.282881814092605</v>
      </c>
      <c r="CZ196" s="62">
        <f t="shared" si="150"/>
        <v>-40.869120230674525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30.769677065248686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30.769677065248686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157.37280000000044</v>
      </c>
      <c r="D197" s="12">
        <f t="shared" ref="D197:D203" si="202">IFERROR(EXP(-1.0587+0.8836*LN(C197)+0.284),0)</f>
        <v>40.249373334510764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1525.5044959155255</v>
      </c>
      <c r="H197" s="70">
        <f t="shared" si="192"/>
        <v>637.5252852242736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-2.8908289095852525E-14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121.64341556501768</v>
      </c>
      <c r="T197" s="62">
        <f t="shared" ref="T197:T203" si="204">$T$3</f>
        <v>370.21160497429781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2.9567975051641331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2.9567975051641331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-3.2810021366458389E-14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140.99869591649082</v>
      </c>
      <c r="AO197" s="62">
        <f t="shared" ref="AO197:AO203" si="205">$AO$3</f>
        <v>425.5885140588652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3.3558744690513165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3.3558744690513165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-3.2810021366458389E-14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140.99869591649082</v>
      </c>
      <c r="BJ197" s="62">
        <f t="shared" ref="BJ197:BJ203" si="206">$BJ$3</f>
        <v>425.5885140588652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3.3558744690513165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3.3558744690513165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-1.7053025658242404E-13</v>
      </c>
      <c r="BZ197" s="14">
        <f>BY197*VLOOKUP('Données projet'!$B$12,Paramètres!$A$1:$I$89,3,0)*VLOOKUP('Données projet'!$B$12,Paramètres!$A$1:$I$89,5,0)</f>
        <v>-1.5429577615577727E-13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37.174340347509542</v>
      </c>
      <c r="CE197" s="62">
        <f t="shared" ref="CE197:CE203" si="207">$CE$3</f>
        <v>-42.822755675927624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26.114112582203621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26.114112582203621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-1.7053025658242404E-13</v>
      </c>
      <c r="CU197" s="18">
        <f>CT197*VLOOKUP('Données projet'!$B$13,Paramètres!$A$1:$I$89,3,0)*VLOOKUP('Données projet'!$B$13,Paramètres!$A$1:$I$89,5,0)</f>
        <v>-1.7823822417994965E-13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63.282881814092605</v>
      </c>
      <c r="CZ197" s="62">
        <f t="shared" ref="CZ197:CZ203" si="208">$CZ$3</f>
        <v>-40.869120230674525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30.166302465649018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30.166302465649018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158.18400000000045</v>
      </c>
      <c r="D198" s="12">
        <f t="shared" si="202"/>
        <v>40.432639815875952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1533.1810792804492</v>
      </c>
      <c r="H198" s="70">
        <f t="shared" si="192"/>
        <v>639.2573143459847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-2.8908289095852525E-14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121.64341556501768</v>
      </c>
      <c r="T198" s="62">
        <f t="shared" si="204"/>
        <v>370.21160497429781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2.8988165095562648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2.8988165095562648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-3.2810021366458389E-14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140.99869591649082</v>
      </c>
      <c r="AO198" s="62">
        <f t="shared" si="205"/>
        <v>425.5885140588652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3.2900678175945335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3.2900678175945335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-3.2810021366458389E-14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140.99869591649082</v>
      </c>
      <c r="BJ198" s="62">
        <f t="shared" si="206"/>
        <v>425.5885140588652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3.2900678175945335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3.2900678175945335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-1.7053025658242404E-13</v>
      </c>
      <c r="BZ198" s="14">
        <f>BY198*VLOOKUP('Données projet'!$B$12,Paramètres!$A$1:$I$89,3,0)*VLOOKUP('Données projet'!$B$12,Paramètres!$A$1:$I$89,5,0)</f>
        <v>-1.5429577615577727E-13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37.174340347509542</v>
      </c>
      <c r="CE198" s="62">
        <f t="shared" si="207"/>
        <v>-42.822755675927624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25.602030762502519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25.602030762502519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-1.7053025658242404E-13</v>
      </c>
      <c r="CU198" s="18">
        <f>CT198*VLOOKUP('Données projet'!$B$13,Paramètres!$A$1:$I$89,3,0)*VLOOKUP('Données projet'!$B$13,Paramètres!$A$1:$I$89,5,0)</f>
        <v>-1.7823822417994965E-13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63.282881814092605</v>
      </c>
      <c r="CZ198" s="62">
        <f t="shared" si="208"/>
        <v>-40.869120230674525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29.574759673925332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29.574759673925332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158.99520000000047</v>
      </c>
      <c r="D199" s="12">
        <f t="shared" si="202"/>
        <v>40.61579693338615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1540.8568184331598</v>
      </c>
      <c r="H199" s="70">
        <f t="shared" si="192"/>
        <v>640.98915299231498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-2.8908289095852525E-14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121.64341556501768</v>
      </c>
      <c r="T199" s="62">
        <f t="shared" si="204"/>
        <v>370.21160497429781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2.8419724859073514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2.8419724859073514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-3.2810021366458389E-14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140.99869591649082</v>
      </c>
      <c r="AO199" s="62">
        <f t="shared" si="205"/>
        <v>425.5885140588652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3.2255515944347239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3.2255515944347239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-3.2810021366458389E-14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140.99869591649082</v>
      </c>
      <c r="BJ199" s="62">
        <f t="shared" si="206"/>
        <v>425.5885140588652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3.2255515944347239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3.2255515944347239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-1.7053025658242404E-13</v>
      </c>
      <c r="BZ199" s="14">
        <f>BY199*VLOOKUP('Données projet'!$B$12,Paramètres!$A$1:$I$89,3,0)*VLOOKUP('Données projet'!$B$12,Paramètres!$A$1:$I$89,5,0)</f>
        <v>-1.5429577615577727E-13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37.174340347509542</v>
      </c>
      <c r="CE199" s="62">
        <f t="shared" si="207"/>
        <v>-42.822755675927624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25.099990554946686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25.099990554946686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-1.7053025658242404E-13</v>
      </c>
      <c r="CU199" s="18">
        <f>CT199*VLOOKUP('Données projet'!$B$13,Paramètres!$A$1:$I$89,3,0)*VLOOKUP('Données projet'!$B$13,Paramètres!$A$1:$I$89,5,0)</f>
        <v>-1.7823822417994965E-13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63.282881814092605</v>
      </c>
      <c r="CZ199" s="62">
        <f t="shared" si="208"/>
        <v>-40.869120230674525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28.99481667554187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28.99481667554187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159.80640000000048</v>
      </c>
      <c r="D200" s="12">
        <f t="shared" si="202"/>
        <v>40.798845309789321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1548.5317181808339</v>
      </c>
      <c r="H200" s="70">
        <f t="shared" si="192"/>
        <v>642.72080224788385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-2.8908289095852525E-14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121.64341556501768</v>
      </c>
      <c r="T200" s="62">
        <f t="shared" si="204"/>
        <v>370.21160497429781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2.7862431388907622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2.7862431388907622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-3.2810021366458389E-14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140.99869591649082</v>
      </c>
      <c r="AO200" s="62">
        <f t="shared" si="205"/>
        <v>425.5885140588652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3.1623004950600677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3.1623004950600677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-3.2810021366458389E-14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140.99869591649082</v>
      </c>
      <c r="BJ200" s="62">
        <f t="shared" si="206"/>
        <v>425.5885140588652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3.1623004950600677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3.1623004950600677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-1.7053025658242404E-13</v>
      </c>
      <c r="BZ200" s="14">
        <f>BY200*VLOOKUP('Données projet'!$B$12,Paramètres!$A$1:$I$89,3,0)*VLOOKUP('Données projet'!$B$12,Paramètres!$A$1:$I$89,5,0)</f>
        <v>-1.5429577615577727E-13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37.174340347509542</v>
      </c>
      <c r="CE200" s="62">
        <f t="shared" si="207"/>
        <v>-42.822755675927624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24.607795049646732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24.607795049646732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-1.7053025658242404E-13</v>
      </c>
      <c r="CU200" s="18">
        <f>CT200*VLOOKUP('Données projet'!$B$13,Paramètres!$A$1:$I$89,3,0)*VLOOKUP('Données projet'!$B$13,Paramètres!$A$1:$I$89,5,0)</f>
        <v>-1.7823822417994965E-13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63.282881814092605</v>
      </c>
      <c r="CZ200" s="62">
        <f t="shared" si="208"/>
        <v>-40.869120230674525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28.426246005626407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28.426246005626407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160.61760000000049</v>
      </c>
      <c r="D201" s="12">
        <f t="shared" si="202"/>
        <v>40.981785561145188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1556.2057832790194</v>
      </c>
      <c r="H201" s="70">
        <f t="shared" si="192"/>
        <v>644.45226318566199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-2.8908289095852525E-14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121.64341556501768</v>
      </c>
      <c r="T201" s="62">
        <f t="shared" si="204"/>
        <v>370.21160497429781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2.7316066103776233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2.7316066103776233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-3.2810021366458389E-14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140.99869591649082</v>
      </c>
      <c r="AO201" s="62">
        <f t="shared" si="205"/>
        <v>425.5885140588652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3.1002897111647871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3.1002897111647871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-3.2810021366458389E-14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140.99869591649082</v>
      </c>
      <c r="BJ201" s="62">
        <f t="shared" si="206"/>
        <v>425.5885140588652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3.1002897111647871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3.1002897111647871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-1.7053025658242404E-13</v>
      </c>
      <c r="BZ201" s="14">
        <f>BY201*VLOOKUP('Données projet'!$B$12,Paramètres!$A$1:$I$89,3,0)*VLOOKUP('Données projet'!$B$12,Paramètres!$A$1:$I$89,5,0)</f>
        <v>-1.5429577615577727E-13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37.174340347509542</v>
      </c>
      <c r="CE201" s="62">
        <f t="shared" si="207"/>
        <v>-42.822755675927624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24.125251197996096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24.125251197996096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-1.7053025658242404E-13</v>
      </c>
      <c r="CU201" s="18">
        <f>CT201*VLOOKUP('Données projet'!$B$13,Paramètres!$A$1:$I$89,3,0)*VLOOKUP('Données projet'!$B$13,Paramètres!$A$1:$I$89,5,0)</f>
        <v>-1.7823822417994965E-13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63.282881814092605</v>
      </c>
      <c r="CZ201" s="62">
        <f t="shared" si="208"/>
        <v>-40.869120230674525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27.868824659754122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27.868824659754122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161.42880000000051</v>
      </c>
      <c r="D202" s="12">
        <f t="shared" si="202"/>
        <v>41.164618296930314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1563.8790184324487</v>
      </c>
      <c r="H202" s="70">
        <f t="shared" si="192"/>
        <v>646.18353686715454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-2.8908289095852525E-14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121.64341556501768</v>
      </c>
      <c r="T202" s="62">
        <f t="shared" si="204"/>
        <v>370.21160497429781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2.6780414708636351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2.6780414708636351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-3.2810021366458389E-14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140.99869591649082</v>
      </c>
      <c r="AO202" s="62">
        <f t="shared" si="205"/>
        <v>425.5885140588652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3.0394949209188495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3.0394949209188495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-3.2810021366458389E-14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140.99869591649082</v>
      </c>
      <c r="BJ202" s="62">
        <f t="shared" si="206"/>
        <v>425.5885140588652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3.0394949209188495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3.0394949209188495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-1.7053025658242404E-13</v>
      </c>
      <c r="BZ202" s="14">
        <f>BY202*VLOOKUP('Données projet'!$B$12,Paramètres!$A$1:$I$89,3,0)*VLOOKUP('Données projet'!$B$12,Paramètres!$A$1:$I$89,5,0)</f>
        <v>-1.5429577615577727E-13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37.174340347509542</v>
      </c>
      <c r="CE202" s="62">
        <f t="shared" si="207"/>
        <v>-42.822755675927624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23.652169736953642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23.652169736953642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-1.7053025658242404E-13</v>
      </c>
      <c r="CU202" s="18">
        <f>CT202*VLOOKUP('Données projet'!$B$13,Paramètres!$A$1:$I$89,3,0)*VLOOKUP('Données projet'!$B$13,Paramètres!$A$1:$I$89,5,0)</f>
        <v>-1.7823822417994965E-13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63.282881814092605</v>
      </c>
      <c r="CZ202" s="62">
        <f t="shared" si="208"/>
        <v>-40.869120230674525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27.322334006480943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27.322334006480943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162.24000000000052</v>
      </c>
      <c r="D203" s="12">
        <f t="shared" si="202"/>
        <v>41.347344120141159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1571.5514282958304</v>
      </c>
      <c r="H203" s="70">
        <f t="shared" si="192"/>
        <v>647.91462434258005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-2.8908289095852525E-14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121.64341556501768</v>
      </c>
      <c r="T203" s="62">
        <f t="shared" si="204"/>
        <v>370.21160497429781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2.625526711064007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2.625526711064007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-3.2810021366458389E-14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140.99869591649082</v>
      </c>
      <c r="AO203" s="62">
        <f t="shared" si="205"/>
        <v>425.5885140588652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2.9798922794284746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2.9798922794284746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-3.2810021366458389E-14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140.99869591649082</v>
      </c>
      <c r="BJ203" s="62">
        <f t="shared" si="206"/>
        <v>425.5885140588652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2.9798922794284746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2.9798922794284746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-1.7053025658242404E-13</v>
      </c>
      <c r="BZ203" s="14">
        <f>BY203*VLOOKUP('Données projet'!$B$12,Paramètres!$A$1:$I$89,3,0)*VLOOKUP('Données projet'!$B$12,Paramètres!$A$1:$I$89,5,0)</f>
        <v>-1.5429577615577727E-13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37.174340347509542</v>
      </c>
      <c r="CE203" s="62">
        <f t="shared" si="207"/>
        <v>-42.822755675927624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23.188365114811031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23.188365114811031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-1.7053025658242404E-13</v>
      </c>
      <c r="CU203" s="18">
        <f>CT203*VLOOKUP('Données projet'!$B$13,Paramètres!$A$1:$I$89,3,0)*VLOOKUP('Données projet'!$B$13,Paramètres!$A$1:$I$89,5,0)</f>
        <v>-1.7823822417994965E-13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63.282881814092605</v>
      </c>
      <c r="CZ203" s="62">
        <f t="shared" si="208"/>
        <v>-40.869120230674525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26.786559701592065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26.786559701592065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1.3076604860118306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1.3076604860118306</v>
      </c>
      <c r="BA205" s="88">
        <f>EXP(LN('Données projet'!B88)/'Données projet'!A88)</f>
        <v>1.3076604860118306</v>
      </c>
      <c r="BV205" s="88">
        <f>EXP(LN('Données projet'!B114)/'Données projet'!A114)</f>
        <v>1.0615449167090512</v>
      </c>
      <c r="CQ205" s="88">
        <f>EXP(LN('Données projet'!B140)/'Données projet'!A140)</f>
        <v>1.0615449167090512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85" zoomScale="90" zoomScaleNormal="90" workbookViewId="0">
      <selection activeCell="P21" sqref="P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Koster</v>
      </c>
      <c r="B6" s="155">
        <f>'Données projet'!D9</f>
        <v>1.6703999999999999</v>
      </c>
      <c r="C6" s="156">
        <f ca="1">IF(OR('Données projet'!B9="",'Données projet'!C9="",'Données projet'!C9=0%),0,Calculateur!S3)</f>
        <v>121.64341556501768</v>
      </c>
      <c r="D6" s="156">
        <f>IF(OR('Données projet'!B9="",'Données projet'!C9="",'Données projet'!C9=0%),0,Calculateur!T3)</f>
        <v>370.21160497429781</v>
      </c>
      <c r="E6" s="156">
        <f ca="1">MIN(C6,D6)</f>
        <v>121.64341556501768</v>
      </c>
      <c r="F6" s="156">
        <f ca="1">E6*B6</f>
        <v>203.19316135980552</v>
      </c>
      <c r="G6" s="156">
        <f ca="1">F6*(100%-'Données projet'!$C$24)*(100%-'Données projet'!$C$25)*(100%-'Données projet'!$C$26)*(100%-'Données projet'!$C$27)</f>
        <v>182.87384522382496</v>
      </c>
      <c r="H6" s="157">
        <f>IF(OR('Données projet'!B9="",'Données projet'!C9="",'Données projet'!C9=0%),0,AVERAGE(Calculateur!$AC$3:$AC$33)*B6)</f>
        <v>16.900075735412816</v>
      </c>
      <c r="I6" s="158">
        <f>H6*(100%-'Données projet'!$C$24)*(100%-'Données projet'!$C$25)*(100%-'Données projet'!$C$26)*(100%-'Données projet'!$C$27)</f>
        <v>15.210068161871535</v>
      </c>
      <c r="J6" s="159">
        <f>IF(OR('Données projet'!B9="",'Données projet'!C9="",'Données projet'!C9=0%),0,SUM(Calculateur!$V$3:$V$33)*VLOOKUP('Données projet'!$B$9,Paramètres!$A$1:$I$89,9,0)*B6)</f>
        <v>653.79456000000005</v>
      </c>
      <c r="K6" s="160">
        <f>J6*(100%-'Données projet'!$C$24)*(100%-'Données projet'!$C$25)*(100%-'Données projet'!$C$26)*(100%-'Données projet'!$C$27)</f>
        <v>588.41510400000004</v>
      </c>
      <c r="L6" s="161">
        <f ca="1">G6+I6+K6</f>
        <v>786.49901738569656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non cultivé</v>
      </c>
      <c r="B7" s="163">
        <f>'Données projet'!D10</f>
        <v>1.6703999999999999</v>
      </c>
      <c r="C7" s="156">
        <f ca="1">IF(OR('Données projet'!B10="",'Données projet'!C10="",'Données projet'!C10=0%),0,Calculateur!AN3)</f>
        <v>140.99869591649082</v>
      </c>
      <c r="D7" s="156">
        <f>IF(OR('Données projet'!B10="",'Données projet'!C10="",'Données projet'!C10=0%),0,Calculateur!AO3)</f>
        <v>425.5885140588652</v>
      </c>
      <c r="E7" s="156">
        <f t="shared" ref="E7:E15" ca="1" si="0">MIN(C7,D7)</f>
        <v>140.99869591649082</v>
      </c>
      <c r="F7" s="156">
        <f t="shared" ref="F7:F15" ca="1" si="1">E7*B7</f>
        <v>235.52422165890624</v>
      </c>
      <c r="G7" s="156">
        <f ca="1">F7*(100%-'Données projet'!$C$24)*(100%-'Données projet'!$C$25)*(100%-'Données projet'!$C$26)*(100%-'Données projet'!$C$27)</f>
        <v>211.97179949301562</v>
      </c>
      <c r="H7" s="164">
        <f>IF(OR('Données projet'!B10="",'Données projet'!C10="",'Données projet'!C10=0%),0,AVERAGE(Calculateur!$AX$3:$AX$33)*B7)</f>
        <v>19.181067552462402</v>
      </c>
      <c r="I7" s="158">
        <f>H7*(100%-'Données projet'!$C$24)*(100%-'Données projet'!$C$25)*(100%-'Données projet'!$C$26)*(100%-'Données projet'!$C$27)</f>
        <v>17.262960797216163</v>
      </c>
      <c r="J7" s="159">
        <f>IF(OR('Données projet'!B10="",'Données projet'!C10="",'Données projet'!C10=0%),0,SUM(Calculateur!$AQ$3:$AQ$33)*VLOOKUP('Données projet'!$B$10,Paramètres!$A$1:$I$89,9,0)*B7)</f>
        <v>653.79456000000005</v>
      </c>
      <c r="K7" s="160">
        <f>J7*(100%-'Données projet'!$C$24)*(100%-'Données projet'!$C$25)*(100%-'Données projet'!$C$26)*(100%-'Données projet'!$C$27)</f>
        <v>588.41510400000004</v>
      </c>
      <c r="L7" s="161">
        <f t="shared" ref="L7:L15" ca="1" si="2">G7+I7+K7</f>
        <v>817.64986429023179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non cultivé</v>
      </c>
      <c r="B8" s="163">
        <f>'Données projet'!D11</f>
        <v>1.6703999999999999</v>
      </c>
      <c r="C8" s="156">
        <f ca="1">IF(OR('Données projet'!B11="",'Données projet'!C11="",'Données projet'!C11=0%),0,Calculateur!BI3)</f>
        <v>140.99869591649082</v>
      </c>
      <c r="D8" s="156">
        <f>IF(OR('Données projet'!B11="",'Données projet'!C11="",'Données projet'!C11=0%),0,Calculateur!BJ3)</f>
        <v>425.5885140588652</v>
      </c>
      <c r="E8" s="156">
        <f t="shared" ca="1" si="0"/>
        <v>140.99869591649082</v>
      </c>
      <c r="F8" s="156">
        <f t="shared" ca="1" si="1"/>
        <v>235.52422165890624</v>
      </c>
      <c r="G8" s="156">
        <f ca="1">F8*(100%-'Données projet'!$C$24)*(100%-'Données projet'!$C$25)*(100%-'Données projet'!$C$26)*(100%-'Données projet'!$C$27)</f>
        <v>211.97179949301562</v>
      </c>
      <c r="H8" s="164">
        <f>IF(OR('Données projet'!B11="",'Données projet'!C11="",'Données projet'!C11=0%),0,AVERAGE(Calculateur!$BS$3:$BS$33)*B8)</f>
        <v>19.181067552462402</v>
      </c>
      <c r="I8" s="158">
        <f>H8*(100%-'Données projet'!$C$24)*(100%-'Données projet'!$C$25)*(100%-'Données projet'!$C$26)*(100%-'Données projet'!$C$27)</f>
        <v>17.262960797216163</v>
      </c>
      <c r="J8" s="159">
        <f>IF(OR('Données projet'!B11="",'Données projet'!C11="",'Données projet'!C11=0%),0,SUM(Calculateur!$BL$3:$BL$33)*VLOOKUP('Données projet'!$B$11,Paramètres!$A$1:$I$89,9,0)*B8)</f>
        <v>653.79456000000005</v>
      </c>
      <c r="K8" s="160">
        <f>J8*(100%-'Données projet'!$C$24)*(100%-'Données projet'!$C$25)*(100%-'Données projet'!$C$26)*(100%-'Données projet'!$C$27)</f>
        <v>588.41510400000004</v>
      </c>
      <c r="L8" s="161">
        <f t="shared" ca="1" si="2"/>
        <v>817.64986429023179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sessile</v>
      </c>
      <c r="B9" s="163">
        <f>'Données projet'!D12</f>
        <v>0.34559999999999996</v>
      </c>
      <c r="C9" s="156">
        <f ca="1">IF(OR('Données projet'!B12="",'Données projet'!C12="",'Données projet'!C12=0%),0,Calculateur!CD3)</f>
        <v>37.174340347509542</v>
      </c>
      <c r="D9" s="156">
        <f>IF(OR('Données projet'!B12="",'Données projet'!C12="",'Données projet'!C12=0%),0,Calculateur!CE3)</f>
        <v>-42.822755675927624</v>
      </c>
      <c r="E9" s="156">
        <f t="shared" ca="1" si="0"/>
        <v>-42.822755675927624</v>
      </c>
      <c r="F9" s="156">
        <f t="shared" ca="1" si="1"/>
        <v>-14.799544361600585</v>
      </c>
      <c r="G9" s="156">
        <f ca="1">F9*(100%-'Données projet'!$C$24)*(100%-'Données projet'!$C$25)*(100%-'Données projet'!$C$26)*(100%-'Données projet'!$C$27)</f>
        <v>-13.319589925440527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8.6399999999999991E-2</v>
      </c>
      <c r="K9" s="160">
        <f>J9*(100%-'Données projet'!$C$24)*(100%-'Données projet'!$C$25)*(100%-'Données projet'!$C$26)*(100%-'Données projet'!$C$27)</f>
        <v>7.7759999999999996E-2</v>
      </c>
      <c r="L9" s="161">
        <f t="shared" ca="1" si="2"/>
        <v>-13.241829925440527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Chêne chevelu</v>
      </c>
      <c r="B10" s="163">
        <f>'Données projet'!D13</f>
        <v>0.4032</v>
      </c>
      <c r="C10" s="156">
        <f ca="1">IF(OR('Données projet'!B13="",'Données projet'!C13="",'Données projet'!C13=0%),0,Calculateur!CY3)</f>
        <v>63.282881814092605</v>
      </c>
      <c r="D10" s="156">
        <f>IF(OR('Données projet'!B13="",'Données projet'!C13="",'Données projet'!C13=0%),0,Calculateur!CZ3)</f>
        <v>-40.869120230674525</v>
      </c>
      <c r="E10" s="156">
        <f t="shared" ca="1" si="0"/>
        <v>-40.869120230674525</v>
      </c>
      <c r="F10" s="156">
        <f t="shared" ca="1" si="1"/>
        <v>-16.478429277007969</v>
      </c>
      <c r="G10" s="156">
        <f ca="1">F10*(100%-'Données projet'!$C$24)*(100%-'Données projet'!$C$25)*(100%-'Données projet'!$C$26)*(100%-'Données projet'!$C$27)</f>
        <v>-14.830586349307172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0.1008</v>
      </c>
      <c r="K10" s="160">
        <f>J10*(100%-'Données projet'!$C$24)*(100%-'Données projet'!$C$25)*(100%-'Données projet'!$C$26)*(100%-'Données projet'!$C$27)</f>
        <v>9.0720000000000009E-2</v>
      </c>
      <c r="L10" s="161">
        <f t="shared" ca="1" si="2"/>
        <v>-14.739866349307173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642.96363103900933</v>
      </c>
      <c r="G16" s="175">
        <f t="shared" ca="1" si="3"/>
        <v>578.6672679351085</v>
      </c>
      <c r="H16" s="176">
        <f t="shared" si="3"/>
        <v>55.262210840337623</v>
      </c>
      <c r="I16" s="176">
        <f t="shared" si="3"/>
        <v>49.735989756303866</v>
      </c>
      <c r="J16" s="177">
        <f t="shared" si="3"/>
        <v>1961.57088</v>
      </c>
      <c r="K16" s="177">
        <f t="shared" si="3"/>
        <v>1765.4137919999998</v>
      </c>
      <c r="L16" s="178">
        <f t="shared" ca="1" si="3"/>
        <v>2393.8170496914122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non cultivé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non cultivé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sessile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Chêne chevelu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95" zoomScale="80" zoomScaleNormal="80" workbookViewId="0">
      <selection activeCell="M160" sqref="M16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1762.9234434979253</v>
      </c>
      <c r="U10" s="190">
        <f>'Données projet'!D9</f>
        <v>1.6703999999999999</v>
      </c>
      <c r="V10" s="189">
        <f>U10*T10</f>
        <v>2944.7873200189342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non cultivé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1762.9234434979253</v>
      </c>
      <c r="U11" s="190">
        <f>'Données projet'!D10</f>
        <v>1.6703999999999999</v>
      </c>
      <c r="V11" s="189">
        <f t="shared" ref="V11" si="0">U11*T11</f>
        <v>2944.7873200189342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non cultivé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1762.9234434979253</v>
      </c>
      <c r="U12" s="190">
        <f>'Données projet'!D11</f>
        <v>1.6703999999999999</v>
      </c>
      <c r="V12" s="189">
        <f t="shared" ref="V12:V19" si="1">U12*T12</f>
        <v>2944.7873200189342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sessile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-1177.1300391365035</v>
      </c>
      <c r="U13" s="190">
        <f>'Données projet'!D12</f>
        <v>0.34559999999999996</v>
      </c>
      <c r="V13" s="189">
        <f t="shared" si="1"/>
        <v>-406.81614152557557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chevelu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-1631.4065801615884</v>
      </c>
      <c r="U14" s="190">
        <f>'Données projet'!D13</f>
        <v>0.4032</v>
      </c>
      <c r="V14" s="189">
        <f t="shared" si="1"/>
        <v>-657.78313312115245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150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1800</v>
      </c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149.99999999999991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>
        <v>200</v>
      </c>
      <c r="F18" s="261"/>
      <c r="G18" s="341"/>
      <c r="J18" s="216"/>
      <c r="K18" s="225"/>
      <c r="L18" s="295" t="s">
        <v>255</v>
      </c>
      <c r="M18" s="297"/>
      <c r="N18" s="205">
        <v>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>
        <v>300</v>
      </c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749.99999999999955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>
        <v>300</v>
      </c>
      <c r="F20" s="261"/>
      <c r="G20" s="341"/>
      <c r="H20" s="203">
        <v>1</v>
      </c>
      <c r="I20" s="204">
        <v>2000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10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10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6</v>
      </c>
      <c r="B23" s="193">
        <f>'Données projet'!D36</f>
        <v>0</v>
      </c>
      <c r="C23" s="206"/>
      <c r="D23" s="194">
        <f>B23*C23</f>
        <v>0</v>
      </c>
      <c r="E23" s="206">
        <v>250</v>
      </c>
      <c r="F23" s="261"/>
      <c r="H23" s="203">
        <v>4</v>
      </c>
      <c r="I23" s="204">
        <v>10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-4354.0197168455652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9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5</v>
      </c>
      <c r="I24" s="204">
        <v>10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5.8619239494454698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12</v>
      </c>
      <c r="B25" s="193">
        <f>'Données projet'!D38</f>
        <v>0</v>
      </c>
      <c r="C25" s="206"/>
      <c r="D25" s="194">
        <f t="shared" si="2"/>
        <v>0</v>
      </c>
      <c r="E25" s="206">
        <v>250</v>
      </c>
      <c r="F25" s="264"/>
      <c r="G25" s="1"/>
      <c r="H25" s="203">
        <v>6</v>
      </c>
      <c r="I25" s="204">
        <v>10</v>
      </c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-4359.8816407950108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15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>
        <v>7</v>
      </c>
      <c r="I26" s="204">
        <v>10</v>
      </c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18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>
        <v>8</v>
      </c>
      <c r="I27" s="204">
        <v>10</v>
      </c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21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>
        <v>9</v>
      </c>
      <c r="I28" s="204">
        <v>10</v>
      </c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24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>
        <v>10</v>
      </c>
      <c r="I29" s="204">
        <v>10</v>
      </c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27</v>
      </c>
      <c r="B30" s="193">
        <f>'Données projet'!D43</f>
        <v>380</v>
      </c>
      <c r="C30" s="206">
        <v>40</v>
      </c>
      <c r="D30" s="194">
        <f t="shared" si="2"/>
        <v>15200</v>
      </c>
      <c r="E30" s="206"/>
      <c r="F30" s="264"/>
      <c r="G30" s="218"/>
      <c r="H30" s="203">
        <v>11</v>
      </c>
      <c r="I30" s="204">
        <v>10</v>
      </c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>
        <v>12</v>
      </c>
      <c r="I31" s="204">
        <v>10</v>
      </c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>
        <v>13</v>
      </c>
      <c r="I32" s="204">
        <v>10</v>
      </c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>
        <v>14</v>
      </c>
      <c r="I33" s="204">
        <v>10</v>
      </c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>
        <v>15</v>
      </c>
      <c r="I34" s="204">
        <v>10</v>
      </c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>
        <v>16</v>
      </c>
      <c r="I35" s="204">
        <v>10</v>
      </c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>
        <v>17</v>
      </c>
      <c r="I36" s="204">
        <v>10</v>
      </c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>
        <v>18</v>
      </c>
      <c r="I37" s="204">
        <v>10</v>
      </c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>
        <v>19</v>
      </c>
      <c r="I38" s="204">
        <v>10</v>
      </c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>
        <v>20</v>
      </c>
      <c r="I39" s="204">
        <v>10</v>
      </c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>
        <v>21</v>
      </c>
      <c r="I40" s="204">
        <v>10</v>
      </c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>
        <v>22</v>
      </c>
      <c r="I41" s="204">
        <v>10</v>
      </c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>
        <v>23</v>
      </c>
      <c r="I42" s="204">
        <v>10</v>
      </c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>
        <v>24</v>
      </c>
      <c r="I43" s="204">
        <v>10</v>
      </c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>
        <v>25</v>
      </c>
      <c r="I44" s="204">
        <v>10</v>
      </c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non cultivé</v>
      </c>
      <c r="C45" s="5"/>
      <c r="D45" s="5"/>
      <c r="E45" s="5"/>
      <c r="F45" s="261"/>
      <c r="G45" s="218"/>
      <c r="H45" s="203">
        <v>26</v>
      </c>
      <c r="I45" s="204">
        <v>10</v>
      </c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>
        <v>27</v>
      </c>
      <c r="I46" s="204">
        <v>10</v>
      </c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>
        <v>28</v>
      </c>
      <c r="I47" s="204">
        <v>10</v>
      </c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1800</v>
      </c>
      <c r="F48" s="262"/>
      <c r="G48" s="218"/>
      <c r="H48" s="203">
        <v>29</v>
      </c>
      <c r="I48" s="204">
        <v>10</v>
      </c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>
        <v>200</v>
      </c>
      <c r="F49" s="262"/>
      <c r="G49" s="219"/>
      <c r="H49" s="203">
        <v>30</v>
      </c>
      <c r="I49" s="204">
        <v>10</v>
      </c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>
        <v>300</v>
      </c>
      <c r="F50" s="262"/>
      <c r="G50" s="221"/>
      <c r="H50" s="203">
        <v>31</v>
      </c>
      <c r="I50" s="204">
        <v>10</v>
      </c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>
        <v>300</v>
      </c>
      <c r="F51" s="262"/>
      <c r="G51" s="221"/>
      <c r="H51" s="203">
        <v>32</v>
      </c>
      <c r="I51" s="204">
        <v>10</v>
      </c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>
        <v>33</v>
      </c>
      <c r="I52" s="204">
        <v>10</v>
      </c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>
        <v>34</v>
      </c>
      <c r="I53" s="204">
        <v>10</v>
      </c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6</v>
      </c>
      <c r="B54" s="193">
        <f>'Données projet'!D62</f>
        <v>0</v>
      </c>
      <c r="C54" s="204"/>
      <c r="D54" s="191">
        <f>B54*C54</f>
        <v>0</v>
      </c>
      <c r="E54" s="206">
        <v>250</v>
      </c>
      <c r="F54" s="263"/>
      <c r="G54" s="222"/>
      <c r="H54" s="203">
        <v>35</v>
      </c>
      <c r="I54" s="204">
        <v>10</v>
      </c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9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>
        <v>36</v>
      </c>
      <c r="I55" s="204">
        <v>10</v>
      </c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12</v>
      </c>
      <c r="B56" s="193">
        <f>'Données projet'!D64</f>
        <v>0</v>
      </c>
      <c r="C56" s="204"/>
      <c r="D56" s="191">
        <f t="shared" si="4"/>
        <v>0</v>
      </c>
      <c r="E56" s="206">
        <v>250</v>
      </c>
      <c r="F56" s="263"/>
      <c r="G56" s="222"/>
      <c r="H56" s="203">
        <v>37</v>
      </c>
      <c r="I56" s="204">
        <v>10</v>
      </c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15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>
        <v>38</v>
      </c>
      <c r="I57" s="204">
        <v>10</v>
      </c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18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>
        <v>39</v>
      </c>
      <c r="I58" s="204">
        <v>10</v>
      </c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21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>
        <v>40</v>
      </c>
      <c r="I59" s="204">
        <v>10</v>
      </c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24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>
        <v>41</v>
      </c>
      <c r="I60" s="204">
        <v>10</v>
      </c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27</v>
      </c>
      <c r="B61" s="193">
        <f>'Données projet'!D69</f>
        <v>380</v>
      </c>
      <c r="C61" s="204">
        <v>40</v>
      </c>
      <c r="D61" s="191">
        <f t="shared" si="4"/>
        <v>15200</v>
      </c>
      <c r="E61" s="206"/>
      <c r="F61" s="263"/>
      <c r="G61" s="223"/>
      <c r="H61" s="203">
        <v>42</v>
      </c>
      <c r="I61" s="204">
        <v>10</v>
      </c>
      <c r="J61" s="25"/>
      <c r="K61" s="183"/>
      <c r="L61" s="5"/>
      <c r="M61" s="5"/>
      <c r="N61" s="5"/>
      <c r="O61" s="207" t="str">
        <f>IF(O60+1&lt;=MIN('Données projet'!$E$9:$E$18),O60+1,"STOP")</f>
        <v>STOP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>
        <v>43</v>
      </c>
      <c r="I62" s="204">
        <v>10</v>
      </c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>
        <v>44</v>
      </c>
      <c r="I63" s="204">
        <v>10</v>
      </c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>
        <v>45</v>
      </c>
      <c r="I64" s="204">
        <v>10</v>
      </c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>
        <v>46</v>
      </c>
      <c r="I65" s="204">
        <v>10</v>
      </c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>
        <v>47</v>
      </c>
      <c r="I66" s="204">
        <v>10</v>
      </c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>
        <v>48</v>
      </c>
      <c r="I67" s="204">
        <v>10</v>
      </c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>
        <v>49</v>
      </c>
      <c r="I68" s="204">
        <v>10</v>
      </c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>
        <v>50</v>
      </c>
      <c r="I69" s="204">
        <v>10</v>
      </c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>
        <v>51</v>
      </c>
      <c r="I70" s="204">
        <v>10</v>
      </c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>
        <v>52</v>
      </c>
      <c r="I71" s="204">
        <v>10</v>
      </c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>
        <v>53</v>
      </c>
      <c r="I72" s="204">
        <v>10</v>
      </c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>
        <v>54</v>
      </c>
      <c r="I73" s="204">
        <v>10</v>
      </c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>
        <v>55</v>
      </c>
      <c r="I74" s="204">
        <v>10</v>
      </c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>
        <v>56</v>
      </c>
      <c r="I75" s="204">
        <v>10</v>
      </c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non cultivé</v>
      </c>
      <c r="C76" s="5"/>
      <c r="D76" s="5"/>
      <c r="E76" s="5"/>
      <c r="F76" s="261"/>
      <c r="G76" s="223"/>
      <c r="H76" s="203">
        <v>57</v>
      </c>
      <c r="I76" s="204">
        <v>10</v>
      </c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>
        <v>58</v>
      </c>
      <c r="I77" s="204">
        <v>10</v>
      </c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30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>
        <v>59</v>
      </c>
      <c r="I78" s="204">
        <v>10</v>
      </c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1800</v>
      </c>
      <c r="F79" s="262"/>
      <c r="G79" s="223"/>
      <c r="H79" s="203">
        <v>60</v>
      </c>
      <c r="I79" s="204">
        <v>10</v>
      </c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>
        <v>200</v>
      </c>
      <c r="F80" s="262"/>
      <c r="G80" s="221"/>
      <c r="H80" s="203">
        <v>61</v>
      </c>
      <c r="I80" s="204">
        <v>10</v>
      </c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>
        <v>300</v>
      </c>
      <c r="F81" s="262"/>
      <c r="G81" s="221"/>
      <c r="H81" s="203">
        <v>62</v>
      </c>
      <c r="I81" s="204">
        <v>10</v>
      </c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>
        <v>300</v>
      </c>
      <c r="F82" s="262"/>
      <c r="G82" s="221"/>
      <c r="H82" s="203">
        <v>63</v>
      </c>
      <c r="I82" s="204">
        <v>10</v>
      </c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>
        <v>64</v>
      </c>
      <c r="I83" s="204">
        <v>10</v>
      </c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>
        <v>65</v>
      </c>
      <c r="I84" s="204">
        <v>10</v>
      </c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6</v>
      </c>
      <c r="B85" s="193">
        <f>'Données projet'!D88</f>
        <v>0</v>
      </c>
      <c r="C85" s="204"/>
      <c r="D85" s="191">
        <f>B85*C85</f>
        <v>0</v>
      </c>
      <c r="E85" s="206">
        <v>250</v>
      </c>
      <c r="F85" s="263"/>
      <c r="G85" s="222"/>
      <c r="H85" s="203">
        <v>66</v>
      </c>
      <c r="I85" s="204">
        <v>10</v>
      </c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9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>
        <v>67</v>
      </c>
      <c r="I86" s="204">
        <v>10</v>
      </c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12</v>
      </c>
      <c r="B87" s="193">
        <f>'Données projet'!D90</f>
        <v>0</v>
      </c>
      <c r="C87" s="204"/>
      <c r="D87" s="191">
        <f t="shared" si="6"/>
        <v>0</v>
      </c>
      <c r="E87" s="206">
        <v>250</v>
      </c>
      <c r="F87" s="263"/>
      <c r="G87" s="222"/>
      <c r="H87" s="203">
        <v>68</v>
      </c>
      <c r="I87" s="204">
        <v>10</v>
      </c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15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>
        <v>69</v>
      </c>
      <c r="I88" s="204">
        <v>10</v>
      </c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18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>
        <v>70</v>
      </c>
      <c r="I89" s="204">
        <v>10</v>
      </c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21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>
        <v>71</v>
      </c>
      <c r="I90" s="204">
        <v>10</v>
      </c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24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>
        <v>72</v>
      </c>
      <c r="I91" s="204">
        <v>10</v>
      </c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27</v>
      </c>
      <c r="B92" s="193">
        <f>'Données projet'!D95</f>
        <v>380</v>
      </c>
      <c r="C92" s="204">
        <v>40</v>
      </c>
      <c r="D92" s="191">
        <f t="shared" si="6"/>
        <v>15200</v>
      </c>
      <c r="E92" s="206"/>
      <c r="F92" s="263"/>
      <c r="G92" s="223"/>
      <c r="H92" s="203">
        <v>73</v>
      </c>
      <c r="I92" s="204">
        <v>10</v>
      </c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>
        <v>74</v>
      </c>
      <c r="I93" s="204">
        <v>10</v>
      </c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>
        <v>75</v>
      </c>
      <c r="I94" s="204">
        <v>10</v>
      </c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>
        <v>76</v>
      </c>
      <c r="I95" s="204">
        <v>10</v>
      </c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>
        <v>77</v>
      </c>
      <c r="I96" s="204">
        <v>10</v>
      </c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>
        <v>78</v>
      </c>
      <c r="I97" s="204">
        <v>10</v>
      </c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>
        <v>79</v>
      </c>
      <c r="I98" s="204">
        <v>10</v>
      </c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>
        <v>80</v>
      </c>
      <c r="I99" s="204">
        <v>10</v>
      </c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>
        <v>81</v>
      </c>
      <c r="I100" s="204">
        <v>10</v>
      </c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>
        <v>82</v>
      </c>
      <c r="I101" s="204">
        <v>10</v>
      </c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>
        <v>83</v>
      </c>
      <c r="I102" s="204">
        <v>10</v>
      </c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>
        <v>84</v>
      </c>
      <c r="I103" s="204">
        <v>10</v>
      </c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>
        <v>85</v>
      </c>
      <c r="I104" s="204">
        <v>10</v>
      </c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>
        <v>86</v>
      </c>
      <c r="I105" s="204">
        <v>10</v>
      </c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>
        <v>87</v>
      </c>
      <c r="I106" s="204">
        <v>10</v>
      </c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sessile</v>
      </c>
      <c r="C107" s="5"/>
      <c r="D107" s="5"/>
      <c r="E107" s="5"/>
      <c r="F107" s="261"/>
      <c r="G107" s="223"/>
      <c r="H107" s="203">
        <v>88</v>
      </c>
      <c r="I107" s="204">
        <v>10</v>
      </c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>
        <v>89</v>
      </c>
      <c r="I108" s="204">
        <v>10</v>
      </c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30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>
        <v>90</v>
      </c>
      <c r="I109" s="204">
        <v>10</v>
      </c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v>1900</v>
      </c>
      <c r="F110" s="262"/>
      <c r="G110" s="223"/>
      <c r="H110" s="203">
        <v>91</v>
      </c>
      <c r="I110" s="204">
        <v>10</v>
      </c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>
        <v>200</v>
      </c>
      <c r="F111" s="262"/>
      <c r="G111" s="221"/>
      <c r="H111" s="203">
        <v>92</v>
      </c>
      <c r="I111" s="204">
        <v>10</v>
      </c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>
        <v>300</v>
      </c>
      <c r="F112" s="262"/>
      <c r="G112" s="221"/>
      <c r="H112" s="203">
        <v>93</v>
      </c>
      <c r="I112" s="204">
        <v>10</v>
      </c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>
        <v>300</v>
      </c>
      <c r="F113" s="262"/>
      <c r="G113" s="221"/>
      <c r="H113" s="203">
        <v>94</v>
      </c>
      <c r="I113" s="204">
        <v>10</v>
      </c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>
        <v>95</v>
      </c>
      <c r="I114" s="204">
        <v>10</v>
      </c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>
        <v>96</v>
      </c>
      <c r="I115" s="204">
        <v>10</v>
      </c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30</v>
      </c>
      <c r="B116" s="193">
        <f>'Données projet'!D114</f>
        <v>1</v>
      </c>
      <c r="C116" s="204">
        <v>5</v>
      </c>
      <c r="D116" s="191">
        <f>B116*C116</f>
        <v>5</v>
      </c>
      <c r="E116" s="206"/>
      <c r="F116" s="263"/>
      <c r="G116" s="222"/>
      <c r="H116" s="203">
        <v>97</v>
      </c>
      <c r="I116" s="204">
        <v>10</v>
      </c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36</v>
      </c>
      <c r="B117" s="193">
        <f>'Données projet'!D115</f>
        <v>4</v>
      </c>
      <c r="C117" s="204">
        <v>5</v>
      </c>
      <c r="D117" s="191">
        <f t="shared" ref="D117:D135" si="8">B117*C117</f>
        <v>20</v>
      </c>
      <c r="E117" s="206"/>
      <c r="F117" s="263"/>
      <c r="G117" s="222"/>
      <c r="H117" s="203">
        <v>98</v>
      </c>
      <c r="I117" s="204">
        <v>10</v>
      </c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42</v>
      </c>
      <c r="B118" s="193">
        <f>'Données projet'!D116</f>
        <v>8</v>
      </c>
      <c r="C118" s="204">
        <v>5</v>
      </c>
      <c r="D118" s="191">
        <f t="shared" si="8"/>
        <v>40</v>
      </c>
      <c r="E118" s="206"/>
      <c r="F118" s="263"/>
      <c r="G118" s="222"/>
      <c r="H118" s="203">
        <v>99</v>
      </c>
      <c r="I118" s="204">
        <v>10</v>
      </c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48</v>
      </c>
      <c r="B119" s="193">
        <f>'Données projet'!D117</f>
        <v>15</v>
      </c>
      <c r="C119" s="204">
        <v>20</v>
      </c>
      <c r="D119" s="191">
        <f t="shared" si="8"/>
        <v>300</v>
      </c>
      <c r="E119" s="206"/>
      <c r="F119" s="263"/>
      <c r="G119" s="222"/>
      <c r="H119" s="203">
        <v>100</v>
      </c>
      <c r="I119" s="204">
        <v>10</v>
      </c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54</v>
      </c>
      <c r="B120" s="193">
        <f>'Données projet'!D118</f>
        <v>23</v>
      </c>
      <c r="C120" s="204">
        <v>40</v>
      </c>
      <c r="D120" s="191">
        <f t="shared" si="8"/>
        <v>920</v>
      </c>
      <c r="E120" s="206"/>
      <c r="F120" s="263"/>
      <c r="G120" s="222"/>
      <c r="H120" s="203">
        <v>101</v>
      </c>
      <c r="I120" s="204">
        <v>10</v>
      </c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60</v>
      </c>
      <c r="B121" s="193">
        <f>'Données projet'!D119</f>
        <v>20</v>
      </c>
      <c r="C121" s="204">
        <v>60</v>
      </c>
      <c r="D121" s="191">
        <f t="shared" si="8"/>
        <v>1200</v>
      </c>
      <c r="E121" s="206"/>
      <c r="F121" s="263"/>
      <c r="G121" s="222"/>
      <c r="H121" s="203">
        <v>102</v>
      </c>
      <c r="I121" s="204">
        <v>10</v>
      </c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66</v>
      </c>
      <c r="B122" s="193">
        <f>'Données projet'!D120</f>
        <v>18</v>
      </c>
      <c r="C122" s="204">
        <v>60</v>
      </c>
      <c r="D122" s="191">
        <f t="shared" si="8"/>
        <v>1080</v>
      </c>
      <c r="E122" s="206"/>
      <c r="F122" s="263"/>
      <c r="G122" s="223"/>
      <c r="H122" s="203">
        <v>103</v>
      </c>
      <c r="I122" s="204">
        <v>10</v>
      </c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72</v>
      </c>
      <c r="B123" s="193">
        <f>'Données projet'!D121</f>
        <v>20</v>
      </c>
      <c r="C123" s="204">
        <v>80</v>
      </c>
      <c r="D123" s="191">
        <f t="shared" si="8"/>
        <v>1600</v>
      </c>
      <c r="E123" s="206"/>
      <c r="F123" s="263"/>
      <c r="G123" s="223"/>
      <c r="H123" s="203">
        <v>104</v>
      </c>
      <c r="I123" s="204">
        <v>10</v>
      </c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78</v>
      </c>
      <c r="B124" s="193">
        <f>'Données projet'!D122</f>
        <v>22</v>
      </c>
      <c r="C124" s="204">
        <v>100</v>
      </c>
      <c r="D124" s="191">
        <f t="shared" si="8"/>
        <v>2200</v>
      </c>
      <c r="E124" s="206"/>
      <c r="F124" s="263"/>
      <c r="G124" s="223"/>
      <c r="H124" s="203">
        <v>105</v>
      </c>
      <c r="I124" s="204">
        <v>10</v>
      </c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84</v>
      </c>
      <c r="B125" s="193">
        <f>'Données projet'!D123</f>
        <v>19</v>
      </c>
      <c r="C125" s="204">
        <v>110</v>
      </c>
      <c r="D125" s="191">
        <f t="shared" si="8"/>
        <v>2090</v>
      </c>
      <c r="E125" s="206"/>
      <c r="F125" s="263"/>
      <c r="G125" s="223"/>
      <c r="H125" s="203">
        <v>106</v>
      </c>
      <c r="I125" s="204">
        <v>10</v>
      </c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90</v>
      </c>
      <c r="B126" s="193">
        <f>'Données projet'!D124</f>
        <v>21</v>
      </c>
      <c r="C126" s="204">
        <v>120</v>
      </c>
      <c r="D126" s="191">
        <f t="shared" si="8"/>
        <v>2520</v>
      </c>
      <c r="E126" s="206"/>
      <c r="F126" s="263"/>
      <c r="G126" s="223"/>
      <c r="H126" s="203">
        <v>107</v>
      </c>
      <c r="I126" s="204">
        <v>10</v>
      </c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98</v>
      </c>
      <c r="B127" s="193">
        <f>'Données projet'!D125</f>
        <v>27</v>
      </c>
      <c r="C127" s="204">
        <v>140</v>
      </c>
      <c r="D127" s="191">
        <f t="shared" si="8"/>
        <v>3780</v>
      </c>
      <c r="E127" s="206"/>
      <c r="F127" s="263"/>
      <c r="G127" s="223"/>
      <c r="H127" s="203">
        <v>108</v>
      </c>
      <c r="I127" s="204">
        <v>10</v>
      </c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106</v>
      </c>
      <c r="B128" s="193">
        <f>'Données projet'!D126</f>
        <v>28</v>
      </c>
      <c r="C128" s="204">
        <v>140</v>
      </c>
      <c r="D128" s="191">
        <f t="shared" si="8"/>
        <v>3920</v>
      </c>
      <c r="E128" s="206"/>
      <c r="F128" s="263"/>
      <c r="G128" s="223"/>
      <c r="H128" s="203">
        <v>109</v>
      </c>
      <c r="I128" s="204">
        <v>10</v>
      </c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114</v>
      </c>
      <c r="B129" s="193">
        <f>'Données projet'!D127</f>
        <v>32</v>
      </c>
      <c r="C129" s="204">
        <v>140</v>
      </c>
      <c r="D129" s="191">
        <f t="shared" si="8"/>
        <v>4480</v>
      </c>
      <c r="E129" s="206"/>
      <c r="F129" s="263"/>
      <c r="G129" s="223"/>
      <c r="H129" s="203">
        <v>110</v>
      </c>
      <c r="I129" s="204">
        <v>10</v>
      </c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122</v>
      </c>
      <c r="B130" s="193">
        <f>'Données projet'!D128</f>
        <v>31</v>
      </c>
      <c r="C130" s="204">
        <v>150</v>
      </c>
      <c r="D130" s="191">
        <f t="shared" si="8"/>
        <v>4650</v>
      </c>
      <c r="E130" s="206"/>
      <c r="F130" s="263"/>
      <c r="G130" s="223"/>
      <c r="H130" s="203">
        <v>111</v>
      </c>
      <c r="I130" s="204">
        <v>10</v>
      </c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130</v>
      </c>
      <c r="B131" s="193">
        <f>'Données projet'!D129</f>
        <v>30</v>
      </c>
      <c r="C131" s="204">
        <v>150</v>
      </c>
      <c r="D131" s="191">
        <f t="shared" si="8"/>
        <v>4500</v>
      </c>
      <c r="E131" s="206"/>
      <c r="F131" s="263"/>
      <c r="G131" s="223"/>
      <c r="H131" s="203">
        <v>112</v>
      </c>
      <c r="I131" s="204">
        <v>10</v>
      </c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140</v>
      </c>
      <c r="B132" s="193">
        <f>'Données projet'!D130</f>
        <v>39</v>
      </c>
      <c r="C132" s="204">
        <v>150</v>
      </c>
      <c r="D132" s="191">
        <f t="shared" si="8"/>
        <v>5850</v>
      </c>
      <c r="E132" s="206"/>
      <c r="F132" s="263"/>
      <c r="G132" s="223"/>
      <c r="H132" s="203">
        <v>113</v>
      </c>
      <c r="I132" s="204">
        <v>10</v>
      </c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150</v>
      </c>
      <c r="B133" s="193">
        <f>'Données projet'!D131</f>
        <v>201</v>
      </c>
      <c r="C133" s="204">
        <v>150</v>
      </c>
      <c r="D133" s="191">
        <f t="shared" si="8"/>
        <v>30150</v>
      </c>
      <c r="E133" s="206"/>
      <c r="F133" s="263"/>
      <c r="G133" s="223"/>
      <c r="H133" s="203">
        <v>114</v>
      </c>
      <c r="I133" s="204">
        <v>10</v>
      </c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>
        <v>115</v>
      </c>
      <c r="I134" s="204">
        <v>10</v>
      </c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>
        <v>116</v>
      </c>
      <c r="I135" s="204">
        <v>10</v>
      </c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>
        <v>117</v>
      </c>
      <c r="I136" s="204">
        <v>10</v>
      </c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>
        <v>118</v>
      </c>
      <c r="I137" s="204">
        <v>10</v>
      </c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Chêne chevelu</v>
      </c>
      <c r="C138" s="5"/>
      <c r="D138" s="5"/>
      <c r="E138" s="5"/>
      <c r="F138" s="261"/>
      <c r="G138" s="223"/>
      <c r="H138" s="203">
        <v>119</v>
      </c>
      <c r="I138" s="204">
        <v>10</v>
      </c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>
        <v>120</v>
      </c>
      <c r="I139" s="204">
        <v>10</v>
      </c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30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>
        <v>121</v>
      </c>
      <c r="I140" s="204">
        <v>10</v>
      </c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v>1900</v>
      </c>
      <c r="F141" s="262"/>
      <c r="G141" s="223"/>
      <c r="H141" s="203">
        <v>122</v>
      </c>
      <c r="I141" s="204">
        <v>10</v>
      </c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>
        <v>200</v>
      </c>
      <c r="F142" s="262"/>
      <c r="G142" s="221"/>
      <c r="H142" s="203">
        <v>123</v>
      </c>
      <c r="I142" s="204">
        <v>10</v>
      </c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>
        <v>300</v>
      </c>
      <c r="F143" s="262"/>
      <c r="G143" s="221"/>
      <c r="H143" s="203">
        <v>124</v>
      </c>
      <c r="I143" s="204">
        <v>10</v>
      </c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>
        <v>300</v>
      </c>
      <c r="F144" s="262"/>
      <c r="G144" s="221"/>
      <c r="H144" s="203">
        <v>125</v>
      </c>
      <c r="I144" s="204">
        <v>10</v>
      </c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>
        <v>126</v>
      </c>
      <c r="I145" s="204">
        <v>10</v>
      </c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>
        <v>127</v>
      </c>
      <c r="I146" s="204">
        <v>10</v>
      </c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30</v>
      </c>
      <c r="B147" s="187">
        <f>'Données projet'!D140</f>
        <v>1</v>
      </c>
      <c r="C147" s="204">
        <v>5</v>
      </c>
      <c r="D147" s="194">
        <f>B147*C147</f>
        <v>5</v>
      </c>
      <c r="E147" s="206"/>
      <c r="F147" s="264"/>
      <c r="G147" s="222"/>
      <c r="H147" s="203">
        <v>128</v>
      </c>
      <c r="I147" s="204">
        <v>10</v>
      </c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36</v>
      </c>
      <c r="B148" s="187">
        <f>'Données projet'!D141</f>
        <v>4</v>
      </c>
      <c r="C148" s="204">
        <v>5</v>
      </c>
      <c r="D148" s="194">
        <f t="shared" ref="D148:D166" si="10">B148*C148</f>
        <v>20</v>
      </c>
      <c r="E148" s="206"/>
      <c r="F148" s="264"/>
      <c r="G148" s="222"/>
      <c r="H148" s="203">
        <v>129</v>
      </c>
      <c r="I148" s="204">
        <v>10</v>
      </c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42</v>
      </c>
      <c r="B149" s="187">
        <f>'Données projet'!D142</f>
        <v>8</v>
      </c>
      <c r="C149" s="204">
        <v>5</v>
      </c>
      <c r="D149" s="194">
        <f t="shared" si="10"/>
        <v>40</v>
      </c>
      <c r="E149" s="206"/>
      <c r="F149" s="264"/>
      <c r="G149" s="222"/>
      <c r="H149" s="203">
        <v>130</v>
      </c>
      <c r="I149" s="204">
        <v>10</v>
      </c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48</v>
      </c>
      <c r="B150" s="187">
        <f>'Données projet'!D143</f>
        <v>15</v>
      </c>
      <c r="C150" s="204">
        <v>20</v>
      </c>
      <c r="D150" s="194">
        <f t="shared" si="10"/>
        <v>300</v>
      </c>
      <c r="E150" s="206"/>
      <c r="F150" s="264"/>
      <c r="G150" s="222"/>
      <c r="H150" s="203">
        <v>131</v>
      </c>
      <c r="I150" s="204">
        <v>10</v>
      </c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54</v>
      </c>
      <c r="B151" s="187">
        <f>'Données projet'!D144</f>
        <v>23</v>
      </c>
      <c r="C151" s="204">
        <v>40</v>
      </c>
      <c r="D151" s="194">
        <f t="shared" si="10"/>
        <v>920</v>
      </c>
      <c r="E151" s="206"/>
      <c r="F151" s="264"/>
      <c r="G151" s="222"/>
      <c r="H151" s="203">
        <v>132</v>
      </c>
      <c r="I151" s="204">
        <v>10</v>
      </c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60</v>
      </c>
      <c r="B152" s="187">
        <f>'Données projet'!D145</f>
        <v>20</v>
      </c>
      <c r="C152" s="204">
        <v>60</v>
      </c>
      <c r="D152" s="194">
        <f t="shared" si="10"/>
        <v>1200</v>
      </c>
      <c r="E152" s="206"/>
      <c r="F152" s="264"/>
      <c r="G152" s="222"/>
      <c r="H152" s="203">
        <v>133</v>
      </c>
      <c r="I152" s="204">
        <v>10</v>
      </c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66</v>
      </c>
      <c r="B153" s="187">
        <f>'Données projet'!D146</f>
        <v>18</v>
      </c>
      <c r="C153" s="204">
        <v>60</v>
      </c>
      <c r="D153" s="194">
        <f t="shared" si="10"/>
        <v>1080</v>
      </c>
      <c r="E153" s="206"/>
      <c r="F153" s="264"/>
      <c r="G153" s="218"/>
      <c r="H153" s="203">
        <v>134</v>
      </c>
      <c r="I153" s="204">
        <v>10</v>
      </c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72</v>
      </c>
      <c r="B154" s="187">
        <f>'Données projet'!D147</f>
        <v>20</v>
      </c>
      <c r="C154" s="204">
        <v>80</v>
      </c>
      <c r="D154" s="194">
        <f t="shared" si="10"/>
        <v>1600</v>
      </c>
      <c r="E154" s="206"/>
      <c r="F154" s="264"/>
      <c r="G154" s="218"/>
      <c r="H154" s="203">
        <v>135</v>
      </c>
      <c r="I154" s="204">
        <v>10</v>
      </c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78</v>
      </c>
      <c r="B155" s="187">
        <f>'Données projet'!D148</f>
        <v>22</v>
      </c>
      <c r="C155" s="204">
        <v>100</v>
      </c>
      <c r="D155" s="194">
        <f t="shared" si="10"/>
        <v>2200</v>
      </c>
      <c r="E155" s="206"/>
      <c r="F155" s="264"/>
      <c r="G155" s="218"/>
      <c r="H155" s="203">
        <v>136</v>
      </c>
      <c r="I155" s="204">
        <v>10</v>
      </c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84</v>
      </c>
      <c r="B156" s="187">
        <f>'Données projet'!D149</f>
        <v>19</v>
      </c>
      <c r="C156" s="204">
        <v>110</v>
      </c>
      <c r="D156" s="194">
        <f t="shared" si="10"/>
        <v>2090</v>
      </c>
      <c r="E156" s="206"/>
      <c r="F156" s="264"/>
      <c r="G156" s="218"/>
      <c r="H156" s="203">
        <v>137</v>
      </c>
      <c r="I156" s="204">
        <v>10</v>
      </c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90</v>
      </c>
      <c r="B157" s="187">
        <f>'Données projet'!D150</f>
        <v>21</v>
      </c>
      <c r="C157" s="204">
        <v>120</v>
      </c>
      <c r="D157" s="194">
        <f t="shared" si="10"/>
        <v>2520</v>
      </c>
      <c r="E157" s="206"/>
      <c r="F157" s="264"/>
      <c r="G157" s="218"/>
      <c r="H157" s="203">
        <v>138</v>
      </c>
      <c r="I157" s="204">
        <v>10</v>
      </c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98</v>
      </c>
      <c r="B158" s="187">
        <f>'Données projet'!D151</f>
        <v>27</v>
      </c>
      <c r="C158" s="204">
        <v>140</v>
      </c>
      <c r="D158" s="194">
        <f t="shared" si="10"/>
        <v>3780</v>
      </c>
      <c r="E158" s="206"/>
      <c r="F158" s="264"/>
      <c r="G158" s="218"/>
      <c r="H158" s="203">
        <v>139</v>
      </c>
      <c r="I158" s="204">
        <v>10</v>
      </c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106</v>
      </c>
      <c r="B159" s="187">
        <f>'Données projet'!D152</f>
        <v>28</v>
      </c>
      <c r="C159" s="204">
        <v>140</v>
      </c>
      <c r="D159" s="194">
        <f t="shared" si="10"/>
        <v>3920</v>
      </c>
      <c r="E159" s="206"/>
      <c r="F159" s="264"/>
      <c r="G159" s="218"/>
      <c r="H159" s="203">
        <v>140</v>
      </c>
      <c r="I159" s="204">
        <v>10</v>
      </c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114</v>
      </c>
      <c r="B160" s="187">
        <f>'Données projet'!D153</f>
        <v>32</v>
      </c>
      <c r="C160" s="204">
        <v>140</v>
      </c>
      <c r="D160" s="194">
        <f t="shared" si="10"/>
        <v>4480</v>
      </c>
      <c r="E160" s="206"/>
      <c r="F160" s="264"/>
      <c r="G160" s="218"/>
      <c r="H160" s="203">
        <v>141</v>
      </c>
      <c r="I160" s="204">
        <v>10</v>
      </c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122</v>
      </c>
      <c r="B161" s="187">
        <f>'Données projet'!D154</f>
        <v>31</v>
      </c>
      <c r="C161" s="204">
        <v>150</v>
      </c>
      <c r="D161" s="194">
        <f t="shared" si="10"/>
        <v>4650</v>
      </c>
      <c r="E161" s="206"/>
      <c r="F161" s="264"/>
      <c r="G161" s="218"/>
      <c r="H161" s="203">
        <v>142</v>
      </c>
      <c r="I161" s="204">
        <v>10</v>
      </c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130</v>
      </c>
      <c r="B162" s="187">
        <f>'Données projet'!D155</f>
        <v>30</v>
      </c>
      <c r="C162" s="204">
        <v>150</v>
      </c>
      <c r="D162" s="194">
        <f t="shared" si="10"/>
        <v>4500</v>
      </c>
      <c r="E162" s="206"/>
      <c r="F162" s="264"/>
      <c r="G162" s="218"/>
      <c r="H162" s="203">
        <v>143</v>
      </c>
      <c r="I162" s="204">
        <v>10</v>
      </c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140</v>
      </c>
      <c r="B163" s="187">
        <f>'Données projet'!D156</f>
        <v>39</v>
      </c>
      <c r="C163" s="204">
        <v>150</v>
      </c>
      <c r="D163" s="194">
        <f t="shared" si="10"/>
        <v>5850</v>
      </c>
      <c r="E163" s="206"/>
      <c r="F163" s="264"/>
      <c r="G163" s="218"/>
      <c r="H163" s="203">
        <v>144</v>
      </c>
      <c r="I163" s="204">
        <v>10</v>
      </c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150</v>
      </c>
      <c r="B164" s="187">
        <f>'Données projet'!D157</f>
        <v>201</v>
      </c>
      <c r="C164" s="204">
        <v>150</v>
      </c>
      <c r="D164" s="194">
        <f t="shared" si="10"/>
        <v>30150</v>
      </c>
      <c r="E164" s="206"/>
      <c r="F164" s="264"/>
      <c r="G164" s="218"/>
      <c r="H164" s="203">
        <v>145</v>
      </c>
      <c r="I164" s="204">
        <v>10</v>
      </c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>
        <v>146</v>
      </c>
      <c r="I165" s="204">
        <v>10</v>
      </c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>
        <v>147</v>
      </c>
      <c r="I166" s="204">
        <v>10</v>
      </c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>
        <v>148</v>
      </c>
      <c r="I167" s="204">
        <v>10</v>
      </c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>
        <v>149</v>
      </c>
      <c r="I168" s="204">
        <v>10</v>
      </c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>
        <v>150</v>
      </c>
      <c r="I169" s="204">
        <v>10</v>
      </c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30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30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30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Valery Bemelmans</cp:lastModifiedBy>
  <dcterms:created xsi:type="dcterms:W3CDTF">2021-02-01T08:22:39Z</dcterms:created>
  <dcterms:modified xsi:type="dcterms:W3CDTF">2024-03-25T15:44:48Z</dcterms:modified>
</cp:coreProperties>
</file>