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4_Auxerre\2024\BONJOUR\"/>
    </mc:Choice>
  </mc:AlternateContent>
  <xr:revisionPtr revIDLastSave="0" documentId="13_ncr:1_{0EABBB10-5FD2-4DC7-A153-B8F0CE339ED9}" xr6:coauthVersionLast="47" xr6:coauthVersionMax="47" xr10:uidLastSave="{00000000-0000-0000-0000-000000000000}"/>
  <bookViews>
    <workbookView xWindow="-12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6" l="1"/>
  <c r="I22" i="6"/>
  <c r="I21" i="6"/>
  <c r="I20" i="6"/>
  <c r="B147" i="1" l="1"/>
  <c r="D147" i="1" s="1"/>
  <c r="D146" i="1"/>
  <c r="D145" i="1"/>
  <c r="D144" i="1"/>
  <c r="D143" i="1"/>
  <c r="D142" i="1"/>
  <c r="D141" i="1"/>
  <c r="B121" i="1"/>
  <c r="D121" i="1" s="1"/>
  <c r="D120" i="1"/>
  <c r="D119" i="1"/>
  <c r="D118" i="1"/>
  <c r="D117" i="1"/>
  <c r="D116" i="1"/>
  <c r="D115" i="1"/>
  <c r="D114" i="1"/>
  <c r="D94" i="1"/>
  <c r="B68" i="1"/>
  <c r="D68" i="1" s="1"/>
  <c r="B43" i="1"/>
  <c r="D43" i="1" s="1"/>
  <c r="D42" i="1"/>
  <c r="D41" i="1"/>
  <c r="D40" i="1"/>
  <c r="D39" i="1"/>
  <c r="D38" i="1"/>
  <c r="D37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<sst xmlns="http://schemas.openxmlformats.org/spreadsheetml/2006/main" count="1174" uniqueCount="324">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</sst>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1.9960712331870976</c:v>
                </c:pt>
                <c:pt idx="2">
                  <c:v>2.7416990049638525</c:v>
                </c:pt>
                <c:pt idx="3">
                  <c:v>3.7670473110861704</c:v>
                </c:pt>
                <c:pt idx="4">
                  <c:v>5.1774741551981576</c:v>
                </c:pt>
                <c:pt idx="5">
                  <c:v>7.1181693875211574</c:v>
                </c:pt>
                <c:pt idx="6">
                  <c:v>9.7892655629651237</c:v>
                </c:pt>
                <c:pt idx="7">
                  <c:v>13.466699485205766</c:v>
                </c:pt>
                <c:pt idx="8">
                  <c:v>18.531019264339804</c:v>
                </c:pt>
                <c:pt idx="9">
                  <c:v>25.507171589561072</c:v>
                </c:pt>
                <c:pt idx="10">
                  <c:v>35.11946593524749</c:v>
                </c:pt>
                <c:pt idx="11">
                  <c:v>60.297639146616369</c:v>
                </c:pt>
                <c:pt idx="12">
                  <c:v>85.194768164020218</c:v>
                </c:pt>
                <c:pt idx="13">
                  <c:v>109.90665396759691</c:v>
                </c:pt>
                <c:pt idx="14">
                  <c:v>134.48126302738513</c:v>
                </c:pt>
                <c:pt idx="15">
                  <c:v>158.94734253479243</c:v>
                </c:pt>
                <c:pt idx="16">
                  <c:v>183.32399225800421</c:v>
                </c:pt>
                <c:pt idx="17">
                  <c:v>207.62479146984003</c:v>
                </c:pt>
                <c:pt idx="18">
                  <c:v>231.85987083514178</c:v>
                </c:pt>
                <c:pt idx="19">
                  <c:v>256.03706594115926</c:v>
                </c:pt>
                <c:pt idx="20">
                  <c:v>280.16260989796973</c:v>
                </c:pt>
                <c:pt idx="21">
                  <c:v>188.04464873361908</c:v>
                </c:pt>
                <c:pt idx="22">
                  <c:v>221.25703044371778</c:v>
                </c:pt>
                <c:pt idx="23">
                  <c:v>254.35482042421077</c:v>
                </c:pt>
                <c:pt idx="24">
                  <c:v>287.35503217179325</c:v>
                </c:pt>
                <c:pt idx="25">
                  <c:v>320.27044348252321</c:v>
                </c:pt>
                <c:pt idx="26">
                  <c:v>353.11098821334605</c:v>
                </c:pt>
                <c:pt idx="27">
                  <c:v>385.88460083872718</c:v>
                </c:pt>
                <c:pt idx="28">
                  <c:v>418.59775818754741</c:v>
                </c:pt>
                <c:pt idx="29">
                  <c:v>451.25584262505646</c:v>
                </c:pt>
                <c:pt idx="30">
                  <c:v>483.86339446304572</c:v>
                </c:pt>
                <c:pt idx="31">
                  <c:v>349.29312109132542</c:v>
                </c:pt>
                <c:pt idx="32">
                  <c:v>381.24052241560281</c:v>
                </c:pt>
                <c:pt idx="33">
                  <c:v>413.12970902158912</c:v>
                </c:pt>
                <c:pt idx="34">
                  <c:v>444.96580033395298</c:v>
                </c:pt>
                <c:pt idx="35">
                  <c:v>476.75312396624321</c:v>
                </c:pt>
                <c:pt idx="36">
                  <c:v>508.4953838956676</c:v>
                </c:pt>
                <c:pt idx="37">
                  <c:v>540.19578443936393</c:v>
                </c:pt>
                <c:pt idx="38">
                  <c:v>571.8571236111394</c:v>
                </c:pt>
                <c:pt idx="39">
                  <c:v>603.48186473059241</c:v>
                </c:pt>
                <c:pt idx="40">
                  <c:v>635.07219224690084</c:v>
                </c:pt>
                <c:pt idx="41">
                  <c:v>496.65631445060126</c:v>
                </c:pt>
                <c:pt idx="42">
                  <c:v>523.64091513728647</c:v>
                </c:pt>
                <c:pt idx="43">
                  <c:v>550.59622582737018</c:v>
                </c:pt>
                <c:pt idx="44">
                  <c:v>577.52388027951656</c:v>
                </c:pt>
                <c:pt idx="45">
                  <c:v>604.42534765809012</c:v>
                </c:pt>
                <c:pt idx="46">
                  <c:v>631.30195584847183</c:v>
                </c:pt>
                <c:pt idx="47">
                  <c:v>658.15491059834255</c:v>
                </c:pt>
                <c:pt idx="48">
                  <c:v>684.98531137525208</c:v>
                </c:pt>
                <c:pt idx="49">
                  <c:v>711.79416461281119</c:v>
                </c:pt>
                <c:pt idx="50">
                  <c:v>738.58239485956028</c:v>
                </c:pt>
                <c:pt idx="51">
                  <c:v>609.49604560795967</c:v>
                </c:pt>
                <c:pt idx="52">
                  <c:v>632.2445584894391</c:v>
                </c:pt>
                <c:pt idx="53">
                  <c:v>654.97615321685669</c:v>
                </c:pt>
                <c:pt idx="54">
                  <c:v>677.69149890374536</c:v>
                </c:pt>
                <c:pt idx="55">
                  <c:v>700.39121620344451</c:v>
                </c:pt>
                <c:pt idx="56">
                  <c:v>723.07588230699582</c:v>
                </c:pt>
                <c:pt idx="57">
                  <c:v>745.74603528189357</c:v>
                </c:pt>
                <c:pt idx="58">
                  <c:v>768.40217785639322</c:v>
                </c:pt>
                <c:pt idx="59">
                  <c:v>791.04478073480857</c:v>
                </c:pt>
                <c:pt idx="60">
                  <c:v>813.67428551393857</c:v>
                </c:pt>
                <c:pt idx="61">
                  <c:v>719.55073421012912</c:v>
                </c:pt>
                <c:pt idx="62">
                  <c:v>738.11259868718491</c:v>
                </c:pt>
                <c:pt idx="63">
                  <c:v>756.66496313732296</c:v>
                </c:pt>
                <c:pt idx="64">
                  <c:v>775.20809304811462</c:v>
                </c:pt>
                <c:pt idx="65">
                  <c:v>793.74224018427151</c:v>
                </c:pt>
                <c:pt idx="66">
                  <c:v>812.26764360731715</c:v>
                </c:pt>
                <c:pt idx="67">
                  <c:v>830.78453059749984</c:v>
                </c:pt>
                <c:pt idx="68">
                  <c:v>849.29311748933662</c:v>
                </c:pt>
                <c:pt idx="69">
                  <c:v>867.79361043061851</c:v>
                </c:pt>
                <c:pt idx="70">
                  <c:v>886.28620607340656</c:v>
                </c:pt>
                <c:pt idx="71">
                  <c:v>807.69571767022671</c:v>
                </c:pt>
                <c:pt idx="72">
                  <c:v>822.81626726121738</c:v>
                </c:pt>
                <c:pt idx="73">
                  <c:v>837.93122299822573</c:v>
                </c:pt>
                <c:pt idx="74">
                  <c:v>853.04069990631922</c:v>
                </c:pt>
                <c:pt idx="75">
                  <c:v>868.14480860757533</c:v>
                </c:pt>
                <c:pt idx="76">
                  <c:v>883.24365556486009</c:v>
                </c:pt>
                <c:pt idx="77">
                  <c:v>898.33734330808841</c:v>
                </c:pt>
                <c:pt idx="78">
                  <c:v>913.42597064450467</c:v>
                </c:pt>
                <c:pt idx="79">
                  <c:v>928.50963285436319</c:v>
                </c:pt>
                <c:pt idx="80">
                  <c:v>943.58842187324615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1.9751469543703284</c:v>
                </c:pt>
                <c:pt idx="2">
                  <c:v>2.5156007982095305</c:v>
                </c:pt>
                <c:pt idx="3">
                  <c:v>3.2045293307604297</c:v>
                </c:pt>
                <c:pt idx="4">
                  <c:v>4.082875345875836</c:v>
                </c:pt>
                <c:pt idx="5">
                  <c:v>5.2029115112692326</c:v>
                </c:pt>
                <c:pt idx="6">
                  <c:v>6.6313858262305061</c:v>
                </c:pt>
                <c:pt idx="7">
                  <c:v>8.4535429542945408</c:v>
                </c:pt>
                <c:pt idx="8">
                  <c:v>10.77826599335063</c:v>
                </c:pt>
                <c:pt idx="9">
                  <c:v>13.744651703083976</c:v>
                </c:pt>
                <c:pt idx="10">
                  <c:v>17.530419872819859</c:v>
                </c:pt>
                <c:pt idx="11">
                  <c:v>22.362669780975192</c:v>
                </c:pt>
                <c:pt idx="12">
                  <c:v>28.531640490201386</c:v>
                </c:pt>
                <c:pt idx="13">
                  <c:v>36.408315909288063</c:v>
                </c:pt>
                <c:pt idx="14">
                  <c:v>46.466951503072629</c:v>
                </c:pt>
                <c:pt idx="15">
                  <c:v>59.313901819384263</c:v>
                </c:pt>
                <c:pt idx="16">
                  <c:v>75.724515312270583</c:v>
                </c:pt>
                <c:pt idx="17">
                  <c:v>96.690359229624207</c:v>
                </c:pt>
                <c:pt idx="18">
                  <c:v>123.4796733177774</c:v>
                </c:pt>
                <c:pt idx="19">
                  <c:v>157.71476616396276</c:v>
                </c:pt>
                <c:pt idx="20">
                  <c:v>201.47111266072736</c:v>
                </c:pt>
                <c:pt idx="21">
                  <c:v>170.78347729920503</c:v>
                </c:pt>
                <c:pt idx="22">
                  <c:v>194.48922755318475</c:v>
                </c:pt>
                <c:pt idx="23">
                  <c:v>218.12777482817634</c:v>
                </c:pt>
                <c:pt idx="24">
                  <c:v>241.70742778160744</c:v>
                </c:pt>
                <c:pt idx="25">
                  <c:v>265.23473910996836</c:v>
                </c:pt>
                <c:pt idx="26">
                  <c:v>288.71500303129216</c:v>
                </c:pt>
                <c:pt idx="27">
                  <c:v>312.15258192873364</c:v>
                </c:pt>
                <c:pt idx="28">
                  <c:v>335.55112952178632</c:v>
                </c:pt>
                <c:pt idx="29">
                  <c:v>358.91374842416138</c:v>
                </c:pt>
                <c:pt idx="30">
                  <c:v>382.24310448239476</c:v>
                </c:pt>
                <c:pt idx="31">
                  <c:v>281.0214556365425</c:v>
                </c:pt>
                <c:pt idx="32">
                  <c:v>305.11275800661684</c:v>
                </c:pt>
                <c:pt idx="33">
                  <c:v>329.1617729359433</c:v>
                </c:pt>
                <c:pt idx="34">
                  <c:v>353.17202231575834</c:v>
                </c:pt>
                <c:pt idx="35">
                  <c:v>377.14651019229785</c:v>
                </c:pt>
                <c:pt idx="36">
                  <c:v>401.08782767173875</c:v>
                </c:pt>
                <c:pt idx="37">
                  <c:v>424.99823145221518</c:v>
                </c:pt>
                <c:pt idx="38">
                  <c:v>448.87970375338136</c:v>
                </c:pt>
                <c:pt idx="39">
                  <c:v>472.73399882486802</c:v>
                </c:pt>
                <c:pt idx="40">
                  <c:v>496.56267957814447</c:v>
                </c:pt>
                <c:pt idx="41">
                  <c:v>393.83238721559246</c:v>
                </c:pt>
                <c:pt idx="42">
                  <c:v>415.59024663273141</c:v>
                </c:pt>
                <c:pt idx="43">
                  <c:v>437.32355211969843</c:v>
                </c:pt>
                <c:pt idx="44">
                  <c:v>459.03369461888519</c:v>
                </c:pt>
                <c:pt idx="45">
                  <c:v>480.72192286008544</c:v>
                </c:pt>
                <c:pt idx="46">
                  <c:v>502.3893637909328</c:v>
                </c:pt>
                <c:pt idx="47">
                  <c:v>524.03703930017934</c:v>
                </c:pt>
                <c:pt idx="48">
                  <c:v>545.66588003482593</c:v>
                </c:pt>
                <c:pt idx="49">
                  <c:v>567.2767369135463</c:v>
                </c:pt>
                <c:pt idx="50">
                  <c:v>588.87039079533213</c:v>
                </c:pt>
                <c:pt idx="51">
                  <c:v>488.20011850953728</c:v>
                </c:pt>
                <c:pt idx="52">
                  <c:v>506.44186491750833</c:v>
                </c:pt>
                <c:pt idx="53">
                  <c:v>524.66972453027984</c:v>
                </c:pt>
                <c:pt idx="54">
                  <c:v>542.88424739876098</c:v>
                </c:pt>
                <c:pt idx="55">
                  <c:v>561.08594367871262</c:v>
                </c:pt>
                <c:pt idx="56">
                  <c:v>579.27528775109101</c:v>
                </c:pt>
                <c:pt idx="57">
                  <c:v>597.4527217982378</c:v>
                </c:pt>
                <c:pt idx="58">
                  <c:v>615.61865892247363</c:v>
                </c:pt>
                <c:pt idx="59">
                  <c:v>633.77348587768927</c:v>
                </c:pt>
                <c:pt idx="60">
                  <c:v>651.91756547188425</c:v>
                </c:pt>
                <c:pt idx="61">
                  <c:v>577.25484549588498</c:v>
                </c:pt>
                <c:pt idx="62">
                  <c:v>592.15217566749891</c:v>
                </c:pt>
                <c:pt idx="63">
                  <c:v>607.04170727539702</c:v>
                </c:pt>
                <c:pt idx="64">
                  <c:v>621.92365844556696</c:v>
                </c:pt>
                <c:pt idx="65">
                  <c:v>636.79823601975852</c:v>
                </c:pt>
                <c:pt idx="66">
                  <c:v>651.66563639464164</c:v>
                </c:pt>
                <c:pt idx="67">
                  <c:v>666.52604628044833</c:v>
                </c:pt>
                <c:pt idx="68">
                  <c:v>681.37964338848485</c:v>
                </c:pt>
                <c:pt idx="69">
                  <c:v>696.22659705561784</c:v>
                </c:pt>
                <c:pt idx="70">
                  <c:v>711.06706881276114</c:v>
                </c:pt>
                <c:pt idx="71">
                  <c:v>653.6810128637851</c:v>
                </c:pt>
                <c:pt idx="72">
                  <c:v>665.51877810099154</c:v>
                </c:pt>
                <c:pt idx="73">
                  <c:v>677.35221272181798</c:v>
                </c:pt>
                <c:pt idx="74">
                  <c:v>689.18140301253072</c:v>
                </c:pt>
                <c:pt idx="75">
                  <c:v>701.00643205718552</c:v>
                </c:pt>
                <c:pt idx="76">
                  <c:v>712.82737990961004</c:v>
                </c:pt>
                <c:pt idx="77">
                  <c:v>724.64432375339163</c:v>
                </c:pt>
                <c:pt idx="78">
                  <c:v>736.45733805089333</c:v>
                </c:pt>
                <c:pt idx="79">
                  <c:v>748.2664946822191</c:v>
                </c:pt>
                <c:pt idx="80">
                  <c:v>760.07186307495249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1.603842220177363</c:v>
                </c:pt>
                <c:pt idx="2">
                  <c:v>2.0449237297385401</c:v>
                </c:pt>
                <c:pt idx="3">
                  <c:v>2.6078005694826394</c:v>
                </c:pt>
                <c:pt idx="4">
                  <c:v>3.3262321371930614</c:v>
                </c:pt>
                <c:pt idx="5">
                  <c:v>4.2433686370993398</c:v>
                </c:pt>
                <c:pt idx="6">
                  <c:v>5.4143719407296151</c:v>
                </c:pt>
                <c:pt idx="7">
                  <c:v>6.9097701264777305</c:v>
                </c:pt>
                <c:pt idx="8">
                  <c:v>8.8197516556304585</c:v>
                </c:pt>
                <c:pt idx="9">
                  <c:v>11.259663105895113</c:v>
                </c:pt>
                <c:pt idx="10">
                  <c:v>14.377048697135145</c:v>
                </c:pt>
                <c:pt idx="11">
                  <c:v>18.360665129788281</c:v>
                </c:pt>
                <c:pt idx="12">
                  <c:v>23.45202744489043</c:v>
                </c:pt>
                <c:pt idx="13">
                  <c:v>29.960198316478341</c:v>
                </c:pt>
                <c:pt idx="14">
                  <c:v>38.280734170013282</c:v>
                </c:pt>
                <c:pt idx="15">
                  <c:v>48.919959321119023</c:v>
                </c:pt>
                <c:pt idx="16">
                  <c:v>62.526070039547591</c:v>
                </c:pt>
                <c:pt idx="17">
                  <c:v>79.928994721339095</c:v>
                </c:pt>
                <c:pt idx="18">
                  <c:v>102.1914807174298</c:v>
                </c:pt>
                <c:pt idx="19">
                  <c:v>130.67457686770217</c:v>
                </c:pt>
                <c:pt idx="20">
                  <c:v>167.12157714245117</c:v>
                </c:pt>
                <c:pt idx="21">
                  <c:v>173.17484226523302</c:v>
                </c:pt>
                <c:pt idx="22">
                  <c:v>202.12291541859756</c:v>
                </c:pt>
                <c:pt idx="23">
                  <c:v>230.97486462716213</c:v>
                </c:pt>
                <c:pt idx="24">
                  <c:v>259.7443908991703</c:v>
                </c:pt>
                <c:pt idx="25">
                  <c:v>288.44190564944347</c:v>
                </c:pt>
                <c:pt idx="26">
                  <c:v>317.07557691934716</c:v>
                </c:pt>
                <c:pt idx="27">
                  <c:v>345.65197625454135</c:v>
                </c:pt>
                <c:pt idx="28">
                  <c:v>374.17649981551682</c:v>
                </c:pt>
                <c:pt idx="29">
                  <c:v>402.65365408890875</c:v>
                </c:pt>
                <c:pt idx="30">
                  <c:v>431.08725643096574</c:v>
                </c:pt>
                <c:pt idx="31">
                  <c:v>316.04661724583633</c:v>
                </c:pt>
                <c:pt idx="32">
                  <c:v>344.62497708819268</c:v>
                </c:pt>
                <c:pt idx="33">
                  <c:v>373.15128389128796</c:v>
                </c:pt>
                <c:pt idx="34">
                  <c:v>401.63007226161682</c:v>
                </c:pt>
                <c:pt idx="35">
                  <c:v>430.06518156271517</c:v>
                </c:pt>
                <c:pt idx="36">
                  <c:v>458.45990237727136</c:v>
                </c:pt>
                <c:pt idx="37">
                  <c:v>486.81708477103376</c:v>
                </c:pt>
                <c:pt idx="38">
                  <c:v>515.13922000966511</c:v>
                </c:pt>
                <c:pt idx="39">
                  <c:v>543.42850336833237</c:v>
                </c:pt>
                <c:pt idx="40">
                  <c:v>571.68688318436887</c:v>
                </c:pt>
                <c:pt idx="41">
                  <c:v>454.88714807151217</c:v>
                </c:pt>
                <c:pt idx="42">
                  <c:v>480.6998759070346</c:v>
                </c:pt>
                <c:pt idx="43">
                  <c:v>506.48315724555465</c:v>
                </c:pt>
                <c:pt idx="44">
                  <c:v>532.23870019072854</c:v>
                </c:pt>
                <c:pt idx="45">
                  <c:v>557.96803422202993</c:v>
                </c:pt>
                <c:pt idx="46">
                  <c:v>583.67253641440277</c:v>
                </c:pt>
                <c:pt idx="47">
                  <c:v>609.35345280137506</c:v>
                </c:pt>
                <c:pt idx="48">
                  <c:v>635.01191595188084</c:v>
                </c:pt>
                <c:pt idx="49">
                  <c:v>660.64895956065914</c:v>
                </c:pt>
                <c:pt idx="50">
                  <c:v>686.26553065806058</c:v>
                </c:pt>
                <c:pt idx="51">
                  <c:v>567.52115351279951</c:v>
                </c:pt>
                <c:pt idx="52">
                  <c:v>590.78023821330669</c:v>
                </c:pt>
                <c:pt idx="53">
                  <c:v>614.02026646644197</c:v>
                </c:pt>
                <c:pt idx="54">
                  <c:v>637.2420602094686</c:v>
                </c:pt>
                <c:pt idx="55">
                  <c:v>660.44637665870471</c:v>
                </c:pt>
                <c:pt idx="56">
                  <c:v>683.63391554603504</c:v>
                </c:pt>
                <c:pt idx="57">
                  <c:v>706.80532532349207</c:v>
                </c:pt>
                <c:pt idx="58">
                  <c:v>729.96120851271223</c:v>
                </c:pt>
                <c:pt idx="59">
                  <c:v>753.10212634103527</c:v>
                </c:pt>
                <c:pt idx="60">
                  <c:v>776.22860277878442</c:v>
                </c:pt>
                <c:pt idx="61">
                  <c:v>667.33348049623498</c:v>
                </c:pt>
                <c:pt idx="62">
                  <c:v>687.88488318789871</c:v>
                </c:pt>
                <c:pt idx="63">
                  <c:v>708.42370141617005</c:v>
                </c:pt>
                <c:pt idx="64">
                  <c:v>728.95035099915742</c:v>
                </c:pt>
                <c:pt idx="65">
                  <c:v>749.4652224538886</c:v>
                </c:pt>
                <c:pt idx="66">
                  <c:v>769.96868320011879</c:v>
                </c:pt>
                <c:pt idx="67">
                  <c:v>790.46107951744852</c:v>
                </c:pt>
                <c:pt idx="68">
                  <c:v>810.94273828916755</c:v>
                </c:pt>
                <c:pt idx="69">
                  <c:v>831.41396856097208</c:v>
                </c:pt>
                <c:pt idx="70">
                  <c:v>851.87506293837168</c:v>
                </c:pt>
                <c:pt idx="71">
                  <c:v>758.55681372872095</c:v>
                </c:pt>
                <c:pt idx="72">
                  <c:v>776.22860277878408</c:v>
                </c:pt>
                <c:pt idx="73">
                  <c:v>793.89224512368764</c:v>
                </c:pt>
                <c:pt idx="74">
                  <c:v>811.54794736433348</c:v>
                </c:pt>
                <c:pt idx="75">
                  <c:v>829.19590638894454</c:v>
                </c:pt>
                <c:pt idx="76">
                  <c:v>846.83631003086464</c:v>
                </c:pt>
                <c:pt idx="77">
                  <c:v>864.46933766875611</c:v>
                </c:pt>
                <c:pt idx="78">
                  <c:v>882.09516077534101</c:v>
                </c:pt>
                <c:pt idx="79">
                  <c:v>899.71394342005567</c:v>
                </c:pt>
                <c:pt idx="80">
                  <c:v>917.32584273033024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2.0745631571652896</c:v>
                </c:pt>
                <c:pt idx="2">
                  <c:v>3.0297422110396059</c:v>
                </c:pt>
                <c:pt idx="3">
                  <c:v>4.426694796399576</c:v>
                </c:pt>
                <c:pt idx="4">
                  <c:v>6.4706057550725733</c:v>
                </c:pt>
                <c:pt idx="5">
                  <c:v>9.462332887170275</c:v>
                </c:pt>
                <c:pt idx="6">
                  <c:v>13.843177914710504</c:v>
                </c:pt>
                <c:pt idx="7">
                  <c:v>20.260677428574223</c:v>
                </c:pt>
                <c:pt idx="8">
                  <c:v>29.665312227503268</c:v>
                </c:pt>
                <c:pt idx="9">
                  <c:v>43.452707245633206</c:v>
                </c:pt>
                <c:pt idx="10">
                  <c:v>63.672780247520365</c:v>
                </c:pt>
                <c:pt idx="11">
                  <c:v>74.211914277304729</c:v>
                </c:pt>
                <c:pt idx="12">
                  <c:v>94.339696661064423</c:v>
                </c:pt>
                <c:pt idx="13">
                  <c:v>114.35988002843902</c:v>
                </c:pt>
                <c:pt idx="14">
                  <c:v>134.29404570864804</c:v>
                </c:pt>
                <c:pt idx="15">
                  <c:v>154.15679349366337</c:v>
                </c:pt>
                <c:pt idx="16">
                  <c:v>173.95863427802908</c:v>
                </c:pt>
                <c:pt idx="17">
                  <c:v>193.70748241961215</c:v>
                </c:pt>
                <c:pt idx="18">
                  <c:v>213.40950296894428</c:v>
                </c:pt>
                <c:pt idx="19">
                  <c:v>233.06962789410557</c:v>
                </c:pt>
                <c:pt idx="20">
                  <c:v>252.69188827494611</c:v>
                </c:pt>
                <c:pt idx="21">
                  <c:v>158.90496348262437</c:v>
                </c:pt>
                <c:pt idx="22">
                  <c:v>180.82317750350458</c:v>
                </c:pt>
                <c:pt idx="23">
                  <c:v>202.67915683996458</c:v>
                </c:pt>
                <c:pt idx="24">
                  <c:v>224.48055915021379</c:v>
                </c:pt>
                <c:pt idx="25">
                  <c:v>246.23343069700653</c:v>
                </c:pt>
                <c:pt idx="26">
                  <c:v>267.942661077026</c:v>
                </c:pt>
                <c:pt idx="27">
                  <c:v>289.61228235764639</c:v>
                </c:pt>
                <c:pt idx="28">
                  <c:v>311.24567377041313</c:v>
                </c:pt>
                <c:pt idx="29">
                  <c:v>332.84570640959026</c:v>
                </c:pt>
                <c:pt idx="30">
                  <c:v>354.41484835314122</c:v>
                </c:pt>
                <c:pt idx="31">
                  <c:v>258.20796683564902</c:v>
                </c:pt>
                <c:pt idx="32">
                  <c:v>276.61506059958816</c:v>
                </c:pt>
                <c:pt idx="33">
                  <c:v>294.99466081803865</c:v>
                </c:pt>
                <c:pt idx="34">
                  <c:v>313.34872108947019</c:v>
                </c:pt>
                <c:pt idx="35">
                  <c:v>331.67894746173437</c:v>
                </c:pt>
                <c:pt idx="36">
                  <c:v>349.98684203459584</c:v>
                </c:pt>
                <c:pt idx="37">
                  <c:v>368.27373695629672</c:v>
                </c:pt>
                <c:pt idx="38">
                  <c:v>386.54082131190904</c:v>
                </c:pt>
                <c:pt idx="39">
                  <c:v>404.78916266210507</c:v>
                </c:pt>
                <c:pt idx="40">
                  <c:v>423.01972449465916</c:v>
                </c:pt>
                <c:pt idx="41">
                  <c:v>331.21221855116193</c:v>
                </c:pt>
                <c:pt idx="42">
                  <c:v>346.49017993514076</c:v>
                </c:pt>
                <c:pt idx="43">
                  <c:v>361.7533546354652</c:v>
                </c:pt>
                <c:pt idx="44">
                  <c:v>377.00245431440914</c:v>
                </c:pt>
                <c:pt idx="45">
                  <c:v>392.2381283696534</c:v>
                </c:pt>
                <c:pt idx="46">
                  <c:v>407.46097163939231</c:v>
                </c:pt>
                <c:pt idx="47">
                  <c:v>422.67153089581711</c:v>
                </c:pt>
                <c:pt idx="48">
                  <c:v>437.87031035511899</c:v>
                </c:pt>
                <c:pt idx="49">
                  <c:v>453.05777638262111</c:v>
                </c:pt>
                <c:pt idx="50">
                  <c:v>468.23436153418692</c:v>
                </c:pt>
                <c:pt idx="51">
                  <c:v>394.33056437804663</c:v>
                </c:pt>
                <c:pt idx="52">
                  <c:v>407.46097163939248</c:v>
                </c:pt>
                <c:pt idx="53">
                  <c:v>420.5822393983571</c:v>
                </c:pt>
                <c:pt idx="54">
                  <c:v>433.69469295434129</c:v>
                </c:pt>
                <c:pt idx="55">
                  <c:v>446.79863633235749</c:v>
                </c:pt>
                <c:pt idx="56">
                  <c:v>459.89435427063654</c:v>
                </c:pt>
                <c:pt idx="57">
                  <c:v>472.98211397005889</c:v>
                </c:pt>
                <c:pt idx="58">
                  <c:v>486.06216663988494</c:v>
                </c:pt>
                <c:pt idx="59">
                  <c:v>499.13474886845819</c:v>
                </c:pt>
                <c:pt idx="60">
                  <c:v>512.20008384285632</c:v>
                </c:pt>
                <c:pt idx="61">
                  <c:v>445.98712945328037</c:v>
                </c:pt>
                <c:pt idx="62">
                  <c:v>457.3453774458365</c:v>
                </c:pt>
                <c:pt idx="63">
                  <c:v>468.69760187850301</c:v>
                </c:pt>
                <c:pt idx="64">
                  <c:v>480.04396921749617</c:v>
                </c:pt>
                <c:pt idx="65">
                  <c:v>491.38463741771352</c:v>
                </c:pt>
                <c:pt idx="66">
                  <c:v>502.71975654847256</c:v>
                </c:pt>
                <c:pt idx="67">
                  <c:v>514.04946935988221</c:v>
                </c:pt>
                <c:pt idx="68">
                  <c:v>525.37391179668555</c:v>
                </c:pt>
                <c:pt idx="69">
                  <c:v>536.69321346550237</c:v>
                </c:pt>
                <c:pt idx="70">
                  <c:v>548.00749806060537</c:v>
                </c:pt>
                <c:pt idx="71">
                  <c:v>485.13639362991449</c:v>
                </c:pt>
                <c:pt idx="72">
                  <c:v>495.08650386656171</c:v>
                </c:pt>
                <c:pt idx="73">
                  <c:v>505.03237738917477</c:v>
                </c:pt>
                <c:pt idx="74">
                  <c:v>514.974109405685</c:v>
                </c:pt>
                <c:pt idx="75">
                  <c:v>524.91179114784131</c:v>
                </c:pt>
                <c:pt idx="76">
                  <c:v>534.84551011101053</c:v>
                </c:pt>
                <c:pt idx="77">
                  <c:v>544.77535027524038</c:v>
                </c:pt>
                <c:pt idx="78">
                  <c:v>554.70139230936479</c:v>
                </c:pt>
                <c:pt idx="79">
                  <c:v>564.62371375974271</c:v>
                </c:pt>
                <c:pt idx="80">
                  <c:v>574.54238922504044</c:v>
                </c:pt>
                <c:pt idx="81">
                  <c:v>7.6581912194083782E-12</c:v>
                </c:pt>
                <c:pt idx="82">
                  <c:v>7.6581912194083782E-12</c:v>
                </c:pt>
                <c:pt idx="83">
                  <c:v>7.6581912194083782E-12</c:v>
                </c:pt>
                <c:pt idx="84">
                  <c:v>7.6581912194083782E-12</c:v>
                </c:pt>
                <c:pt idx="85">
                  <c:v>7.6581912194083782E-12</c:v>
                </c:pt>
                <c:pt idx="86">
                  <c:v>7.6581912194083782E-12</c:v>
                </c:pt>
                <c:pt idx="87">
                  <c:v>7.6581912194083782E-12</c:v>
                </c:pt>
                <c:pt idx="88">
                  <c:v>7.6581912194083782E-12</c:v>
                </c:pt>
                <c:pt idx="89">
                  <c:v>7.6581912194083782E-12</c:v>
                </c:pt>
                <c:pt idx="90">
                  <c:v>7.6581912194083782E-12</c:v>
                </c:pt>
                <c:pt idx="91">
                  <c:v>7.6581912194083782E-12</c:v>
                </c:pt>
                <c:pt idx="92">
                  <c:v>7.6581912194083782E-12</c:v>
                </c:pt>
                <c:pt idx="93">
                  <c:v>7.6581912194083782E-12</c:v>
                </c:pt>
                <c:pt idx="94">
                  <c:v>7.6581912194083782E-12</c:v>
                </c:pt>
                <c:pt idx="95">
                  <c:v>7.6581912194083782E-12</c:v>
                </c:pt>
                <c:pt idx="96">
                  <c:v>7.6581912194083782E-12</c:v>
                </c:pt>
                <c:pt idx="97">
                  <c:v>7.6581912194083782E-12</c:v>
                </c:pt>
                <c:pt idx="98">
                  <c:v>7.6581912194083782E-12</c:v>
                </c:pt>
                <c:pt idx="99">
                  <c:v>7.6581912194083782E-12</c:v>
                </c:pt>
                <c:pt idx="100">
                  <c:v>7.6581912194083782E-12</c:v>
                </c:pt>
                <c:pt idx="101">
                  <c:v>7.6581912194083782E-12</c:v>
                </c:pt>
                <c:pt idx="102">
                  <c:v>7.6581912194083782E-12</c:v>
                </c:pt>
                <c:pt idx="103">
                  <c:v>7.6581912194083782E-12</c:v>
                </c:pt>
                <c:pt idx="104">
                  <c:v>7.6581912194083782E-12</c:v>
                </c:pt>
                <c:pt idx="105">
                  <c:v>7.6581912194083782E-12</c:v>
                </c:pt>
                <c:pt idx="106">
                  <c:v>7.6581912194083782E-12</c:v>
                </c:pt>
                <c:pt idx="107">
                  <c:v>7.6581912194083782E-12</c:v>
                </c:pt>
                <c:pt idx="108">
                  <c:v>7.6581912194083782E-12</c:v>
                </c:pt>
                <c:pt idx="109">
                  <c:v>7.6581912194083782E-12</c:v>
                </c:pt>
                <c:pt idx="110">
                  <c:v>7.6581912194083782E-12</c:v>
                </c:pt>
                <c:pt idx="111">
                  <c:v>7.6581912194083782E-12</c:v>
                </c:pt>
                <c:pt idx="112">
                  <c:v>7.6581912194083782E-12</c:v>
                </c:pt>
                <c:pt idx="113">
                  <c:v>7.6581912194083782E-12</c:v>
                </c:pt>
                <c:pt idx="114">
                  <c:v>7.6581912194083782E-12</c:v>
                </c:pt>
                <c:pt idx="115">
                  <c:v>7.6581912194083782E-12</c:v>
                </c:pt>
                <c:pt idx="116">
                  <c:v>7.6581912194083782E-12</c:v>
                </c:pt>
                <c:pt idx="117">
                  <c:v>7.6581912194083782E-12</c:v>
                </c:pt>
                <c:pt idx="118">
                  <c:v>7.6581912194083782E-12</c:v>
                </c:pt>
                <c:pt idx="119">
                  <c:v>7.6581912194083782E-12</c:v>
                </c:pt>
                <c:pt idx="120">
                  <c:v>7.6581912194083782E-12</c:v>
                </c:pt>
                <c:pt idx="121">
                  <c:v>7.6581912194083782E-12</c:v>
                </c:pt>
                <c:pt idx="122">
                  <c:v>7.6581912194083782E-12</c:v>
                </c:pt>
                <c:pt idx="123">
                  <c:v>7.6581912194083782E-12</c:v>
                </c:pt>
                <c:pt idx="124">
                  <c:v>7.6581912194083782E-12</c:v>
                </c:pt>
                <c:pt idx="125">
                  <c:v>7.6581912194083782E-12</c:v>
                </c:pt>
                <c:pt idx="126">
                  <c:v>7.6581912194083782E-12</c:v>
                </c:pt>
                <c:pt idx="127">
                  <c:v>7.6581912194083782E-12</c:v>
                </c:pt>
                <c:pt idx="128">
                  <c:v>7.6581912194083782E-12</c:v>
                </c:pt>
                <c:pt idx="129">
                  <c:v>7.6581912194083782E-12</c:v>
                </c:pt>
                <c:pt idx="130">
                  <c:v>7.6581912194083782E-12</c:v>
                </c:pt>
                <c:pt idx="131">
                  <c:v>7.6581912194083782E-12</c:v>
                </c:pt>
                <c:pt idx="132">
                  <c:v>7.6581912194083782E-12</c:v>
                </c:pt>
                <c:pt idx="133">
                  <c:v>7.6581912194083782E-12</c:v>
                </c:pt>
                <c:pt idx="134">
                  <c:v>7.6581912194083782E-12</c:v>
                </c:pt>
                <c:pt idx="135">
                  <c:v>7.6581912194083782E-12</c:v>
                </c:pt>
                <c:pt idx="136">
                  <c:v>7.6581912194083782E-12</c:v>
                </c:pt>
                <c:pt idx="137">
                  <c:v>7.6581912194083782E-12</c:v>
                </c:pt>
                <c:pt idx="138">
                  <c:v>7.6581912194083782E-12</c:v>
                </c:pt>
                <c:pt idx="139">
                  <c:v>7.6581912194083782E-12</c:v>
                </c:pt>
                <c:pt idx="140">
                  <c:v>7.6581912194083782E-12</c:v>
                </c:pt>
                <c:pt idx="141">
                  <c:v>7.6581912194083782E-12</c:v>
                </c:pt>
                <c:pt idx="142">
                  <c:v>7.6581912194083782E-12</c:v>
                </c:pt>
                <c:pt idx="143">
                  <c:v>7.6581912194083782E-12</c:v>
                </c:pt>
                <c:pt idx="144">
                  <c:v>7.6581912194083782E-12</c:v>
                </c:pt>
                <c:pt idx="145">
                  <c:v>7.6581912194083782E-12</c:v>
                </c:pt>
                <c:pt idx="146">
                  <c:v>7.6581912194083782E-12</c:v>
                </c:pt>
                <c:pt idx="147">
                  <c:v>7.6581912194083782E-12</c:v>
                </c:pt>
                <c:pt idx="148">
                  <c:v>7.6581912194083782E-12</c:v>
                </c:pt>
                <c:pt idx="149">
                  <c:v>7.6581912194083782E-12</c:v>
                </c:pt>
                <c:pt idx="150">
                  <c:v>7.6581912194083782E-12</c:v>
                </c:pt>
                <c:pt idx="151">
                  <c:v>7.6581912194083782E-12</c:v>
                </c:pt>
                <c:pt idx="152">
                  <c:v>7.6581912194083782E-12</c:v>
                </c:pt>
                <c:pt idx="153">
                  <c:v>7.6581912194083782E-12</c:v>
                </c:pt>
                <c:pt idx="154">
                  <c:v>7.6581912194083782E-12</c:v>
                </c:pt>
                <c:pt idx="155">
                  <c:v>7.6581912194083782E-12</c:v>
                </c:pt>
                <c:pt idx="156">
                  <c:v>7.6581912194083782E-12</c:v>
                </c:pt>
                <c:pt idx="157">
                  <c:v>7.6581912194083782E-12</c:v>
                </c:pt>
                <c:pt idx="158">
                  <c:v>7.6581912194083782E-12</c:v>
                </c:pt>
                <c:pt idx="159">
                  <c:v>7.6581912194083782E-12</c:v>
                </c:pt>
                <c:pt idx="160">
                  <c:v>7.6581912194083782E-12</c:v>
                </c:pt>
                <c:pt idx="161">
                  <c:v>7.6581912194083782E-12</c:v>
                </c:pt>
                <c:pt idx="162">
                  <c:v>7.6581912194083782E-12</c:v>
                </c:pt>
                <c:pt idx="163">
                  <c:v>7.6581912194083782E-12</c:v>
                </c:pt>
                <c:pt idx="164">
                  <c:v>7.6581912194083782E-12</c:v>
                </c:pt>
                <c:pt idx="165">
                  <c:v>7.6581912194083782E-12</c:v>
                </c:pt>
                <c:pt idx="166">
                  <c:v>7.6581912194083782E-12</c:v>
                </c:pt>
                <c:pt idx="167">
                  <c:v>7.6581912194083782E-12</c:v>
                </c:pt>
                <c:pt idx="168">
                  <c:v>7.6581912194083782E-12</c:v>
                </c:pt>
                <c:pt idx="169">
                  <c:v>7.6581912194083782E-12</c:v>
                </c:pt>
                <c:pt idx="170">
                  <c:v>7.6581912194083782E-12</c:v>
                </c:pt>
                <c:pt idx="171">
                  <c:v>7.6581912194083782E-12</c:v>
                </c:pt>
                <c:pt idx="172">
                  <c:v>7.6581912194083782E-12</c:v>
                </c:pt>
                <c:pt idx="173">
                  <c:v>7.6581912194083782E-12</c:v>
                </c:pt>
                <c:pt idx="174">
                  <c:v>7.6581912194083782E-12</c:v>
                </c:pt>
                <c:pt idx="175">
                  <c:v>7.6581912194083782E-12</c:v>
                </c:pt>
                <c:pt idx="176">
                  <c:v>7.6581912194083782E-12</c:v>
                </c:pt>
                <c:pt idx="177">
                  <c:v>7.6581912194083782E-12</c:v>
                </c:pt>
                <c:pt idx="178">
                  <c:v>7.6581912194083782E-12</c:v>
                </c:pt>
                <c:pt idx="179">
                  <c:v>7.6581912194083782E-12</c:v>
                </c:pt>
                <c:pt idx="180">
                  <c:v>7.6581912194083782E-12</c:v>
                </c:pt>
                <c:pt idx="181">
                  <c:v>7.6581912194083782E-12</c:v>
                </c:pt>
                <c:pt idx="182">
                  <c:v>7.6581912194083782E-12</c:v>
                </c:pt>
                <c:pt idx="183">
                  <c:v>7.6581912194083782E-12</c:v>
                </c:pt>
                <c:pt idx="184">
                  <c:v>7.6581912194083782E-12</c:v>
                </c:pt>
                <c:pt idx="185">
                  <c:v>7.6581912194083782E-12</c:v>
                </c:pt>
                <c:pt idx="186">
                  <c:v>7.6581912194083782E-12</c:v>
                </c:pt>
                <c:pt idx="187">
                  <c:v>7.6581912194083782E-12</c:v>
                </c:pt>
                <c:pt idx="188">
                  <c:v>7.6581912194083782E-12</c:v>
                </c:pt>
                <c:pt idx="189">
                  <c:v>7.6581912194083782E-12</c:v>
                </c:pt>
                <c:pt idx="190">
                  <c:v>7.6581912194083782E-12</c:v>
                </c:pt>
                <c:pt idx="191">
                  <c:v>7.6581912194083782E-12</c:v>
                </c:pt>
                <c:pt idx="192">
                  <c:v>7.6581912194083782E-12</c:v>
                </c:pt>
                <c:pt idx="193">
                  <c:v>7.6581912194083782E-12</c:v>
                </c:pt>
                <c:pt idx="194">
                  <c:v>7.6581912194083782E-12</c:v>
                </c:pt>
                <c:pt idx="195">
                  <c:v>7.6581912194083782E-12</c:v>
                </c:pt>
                <c:pt idx="196">
                  <c:v>7.6581912194083782E-12</c:v>
                </c:pt>
                <c:pt idx="197">
                  <c:v>7.6581912194083782E-12</c:v>
                </c:pt>
                <c:pt idx="198">
                  <c:v>7.6581912194083782E-12</c:v>
                </c:pt>
                <c:pt idx="199">
                  <c:v>7.6581912194083782E-12</c:v>
                </c:pt>
                <c:pt idx="200">
                  <c:v>7.6581912194083782E-12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2.7107663053215236</c:v>
                </c:pt>
                <c:pt idx="2">
                  <c:v>3.6004031596664068</c:v>
                </c:pt>
                <c:pt idx="3">
                  <c:v>4.7832008576956815</c:v>
                </c:pt>
                <c:pt idx="4">
                  <c:v>6.3561344603907548</c:v>
                </c:pt>
                <c:pt idx="5">
                  <c:v>8.4483718197588118</c:v>
                </c:pt>
                <c:pt idx="6">
                  <c:v>11.231995762089561</c:v>
                </c:pt>
                <c:pt idx="7">
                  <c:v>14.936308191087944</c:v>
                </c:pt>
                <c:pt idx="8">
                  <c:v>19.866916000031427</c:v>
                </c:pt>
                <c:pt idx="9">
                  <c:v>26.431201628981615</c:v>
                </c:pt>
                <c:pt idx="10">
                  <c:v>35.172319671970541</c:v>
                </c:pt>
                <c:pt idx="11">
                  <c:v>50.012073725257359</c:v>
                </c:pt>
                <c:pt idx="12">
                  <c:v>77.08120966239666</c:v>
                </c:pt>
                <c:pt idx="13">
                  <c:v>103.90440983308274</c:v>
                </c:pt>
                <c:pt idx="14">
                  <c:v>130.55517654420012</c:v>
                </c:pt>
                <c:pt idx="15">
                  <c:v>157.07393134451593</c:v>
                </c:pt>
                <c:pt idx="16">
                  <c:v>183.48617958317871</c:v>
                </c:pt>
                <c:pt idx="17">
                  <c:v>209.80943579279696</c:v>
                </c:pt>
                <c:pt idx="18">
                  <c:v>236.05644310479684</c:v>
                </c:pt>
                <c:pt idx="19">
                  <c:v>262.23687244847355</c:v>
                </c:pt>
                <c:pt idx="20">
                  <c:v>288.35830325418613</c:v>
                </c:pt>
                <c:pt idx="21">
                  <c:v>172.79475770327392</c:v>
                </c:pt>
                <c:pt idx="22">
                  <c:v>201.38794810744199</c:v>
                </c:pt>
                <c:pt idx="23">
                  <c:v>229.88698491526694</c:v>
                </c:pt>
                <c:pt idx="24">
                  <c:v>258.30518668908661</c:v>
                </c:pt>
                <c:pt idx="25">
                  <c:v>286.65269579557503</c:v>
                </c:pt>
                <c:pt idx="26">
                  <c:v>314.93748241651093</c:v>
                </c:pt>
                <c:pt idx="27">
                  <c:v>343.16596745045558</c:v>
                </c:pt>
                <c:pt idx="28">
                  <c:v>371.34342911371255</c:v>
                </c:pt>
                <c:pt idx="29">
                  <c:v>399.47427941517589</c:v>
                </c:pt>
                <c:pt idx="30">
                  <c:v>427.56225857158444</c:v>
                </c:pt>
                <c:pt idx="31">
                  <c:v>309.14898880791981</c:v>
                </c:pt>
                <c:pt idx="32">
                  <c:v>333.30905135288299</c:v>
                </c:pt>
                <c:pt idx="33">
                  <c:v>357.43052450627101</c:v>
                </c:pt>
                <c:pt idx="34">
                  <c:v>381.51637667477098</c:v>
                </c:pt>
                <c:pt idx="35">
                  <c:v>405.56917103469459</c:v>
                </c:pt>
                <c:pt idx="36">
                  <c:v>429.591142098538</c:v>
                </c:pt>
                <c:pt idx="37">
                  <c:v>453.58425425555083</c:v>
                </c:pt>
                <c:pt idx="38">
                  <c:v>477.55024727803635</c:v>
                </c:pt>
                <c:pt idx="39">
                  <c:v>501.49067221683981</c:v>
                </c:pt>
                <c:pt idx="40">
                  <c:v>525.40692008667054</c:v>
                </c:pt>
                <c:pt idx="41">
                  <c:v>404.89205924312722</c:v>
                </c:pt>
                <c:pt idx="42">
                  <c:v>422.8273897461234</c:v>
                </c:pt>
                <c:pt idx="43">
                  <c:v>440.74634931773704</c:v>
                </c:pt>
                <c:pt idx="44">
                  <c:v>458.64969689218077</c:v>
                </c:pt>
                <c:pt idx="45">
                  <c:v>476.53812734890556</c:v>
                </c:pt>
                <c:pt idx="46">
                  <c:v>494.41227916982399</c:v>
                </c:pt>
                <c:pt idx="47">
                  <c:v>512.27274093187054</c:v>
                </c:pt>
                <c:pt idx="48">
                  <c:v>530.12005684727092</c:v>
                </c:pt>
                <c:pt idx="49">
                  <c:v>547.95473151918964</c:v>
                </c:pt>
                <c:pt idx="50">
                  <c:v>565.77723404629717</c:v>
                </c:pt>
                <c:pt idx="51">
                  <c:v>499.97405284862151</c:v>
                </c:pt>
                <c:pt idx="52">
                  <c:v>513.28331243589093</c:v>
                </c:pt>
                <c:pt idx="53">
                  <c:v>526.5852874427726</c:v>
                </c:pt>
                <c:pt idx="54">
                  <c:v>539.88018776365902</c:v>
                </c:pt>
                <c:pt idx="55">
                  <c:v>553.16821211526496</c:v>
                </c:pt>
                <c:pt idx="56">
                  <c:v>566.44954889170663</c:v>
                </c:pt>
                <c:pt idx="57">
                  <c:v>579.72437693524057</c:v>
                </c:pt>
                <c:pt idx="58">
                  <c:v>592.99286623276146</c:v>
                </c:pt>
                <c:pt idx="59">
                  <c:v>606.25517854674536</c:v>
                </c:pt>
                <c:pt idx="60">
                  <c:v>619.51146798813386</c:v>
                </c:pt>
                <c:pt idx="61">
                  <c:v>570.14698291036473</c:v>
                </c:pt>
                <c:pt idx="62">
                  <c:v>579.55638109772792</c:v>
                </c:pt>
                <c:pt idx="63">
                  <c:v>588.96259328593146</c:v>
                </c:pt>
                <c:pt idx="64">
                  <c:v>598.36567752986139</c:v>
                </c:pt>
                <c:pt idx="65">
                  <c:v>607.76568991108991</c:v>
                </c:pt>
                <c:pt idx="66">
                  <c:v>617.16268463508527</c:v>
                </c:pt>
                <c:pt idx="67">
                  <c:v>626.55671412219226</c:v>
                </c:pt>
                <c:pt idx="68">
                  <c:v>635.94782909287676</c:v>
                </c:pt>
                <c:pt idx="69">
                  <c:v>645.3360786476718</c:v>
                </c:pt>
                <c:pt idx="70">
                  <c:v>654.72151034223259</c:v>
                </c:pt>
                <c:pt idx="71">
                  <c:v>610.11521941995238</c:v>
                </c:pt>
                <c:pt idx="72">
                  <c:v>617.49823644137302</c:v>
                </c:pt>
                <c:pt idx="73">
                  <c:v>624.8794240523298</c:v>
                </c:pt>
                <c:pt idx="74">
                  <c:v>632.25880691092414</c:v>
                </c:pt>
                <c:pt idx="75">
                  <c:v>639.63640905269369</c:v>
                </c:pt>
                <c:pt idx="76">
                  <c:v>647.01225391348623</c:v>
                </c:pt>
                <c:pt idx="77">
                  <c:v>654.38636435123374</c:v>
                </c:pt>
                <c:pt idx="78">
                  <c:v>661.75876266669763</c:v>
                </c:pt>
                <c:pt idx="79">
                  <c:v>669.12947062323872</c:v>
                </c:pt>
                <c:pt idx="80">
                  <c:v>676.49850946567256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E14" sqref="E14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14.03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18</v>
      </c>
      <c r="C9" s="32">
        <v>0.61</v>
      </c>
      <c r="D9" s="33">
        <f t="shared" ref="D9:D18" si="0">C9*$C$5</f>
        <v>8.5582999999999991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35</v>
      </c>
      <c r="C10" s="32">
        <v>0.12</v>
      </c>
      <c r="D10" s="33">
        <f t="shared" si="0"/>
        <v>1.6835999999999998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47</v>
      </c>
      <c r="C11" s="32">
        <v>0.19</v>
      </c>
      <c r="D11" s="33">
        <f t="shared" si="0"/>
        <v>2.6656999999999997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81</v>
      </c>
      <c r="C12" s="32">
        <v>0.05</v>
      </c>
      <c r="D12" s="33">
        <f t="shared" si="0"/>
        <v>0.70150000000000001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23</v>
      </c>
      <c r="C13" s="32">
        <v>0.03</v>
      </c>
      <c r="D13" s="33">
        <f t="shared" si="0"/>
        <v>0.42089999999999994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14.029999999999998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10</v>
      </c>
      <c r="B36" s="60">
        <v>27</v>
      </c>
      <c r="C36" s="60"/>
      <c r="D36" s="60">
        <v>0</v>
      </c>
      <c r="E36" s="51"/>
      <c r="F36" s="51"/>
      <c r="G36" s="51"/>
      <c r="H36" s="51"/>
      <c r="I36" s="49">
        <f>IFERROR(B36/A36,"")</f>
        <v>2.7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20</v>
      </c>
      <c r="B37" s="60">
        <v>228</v>
      </c>
      <c r="C37" s="60">
        <v>1</v>
      </c>
      <c r="D37" s="60">
        <f>34+70</f>
        <v>104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20.100000000000001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30</v>
      </c>
      <c r="B38" s="60">
        <v>399</v>
      </c>
      <c r="C38" s="60">
        <v>2</v>
      </c>
      <c r="D38" s="60">
        <f>70+70</f>
        <v>140</v>
      </c>
      <c r="E38" s="51">
        <v>0.2</v>
      </c>
      <c r="F38" s="51">
        <v>0.4</v>
      </c>
      <c r="G38" s="51">
        <v>0.4</v>
      </c>
      <c r="H38" s="51"/>
      <c r="I38" s="53">
        <f t="shared" si="1"/>
        <v>27.5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40</v>
      </c>
      <c r="B39" s="60">
        <v>527</v>
      </c>
      <c r="C39" s="60">
        <v>3</v>
      </c>
      <c r="D39" s="60">
        <f>70+70</f>
        <v>140</v>
      </c>
      <c r="E39" s="51"/>
      <c r="F39" s="51"/>
      <c r="G39" s="51"/>
      <c r="H39" s="51"/>
      <c r="I39" s="49">
        <f t="shared" si="1"/>
        <v>26.8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50</v>
      </c>
      <c r="B40" s="60">
        <v>615</v>
      </c>
      <c r="C40" s="60">
        <v>4</v>
      </c>
      <c r="D40" s="60">
        <f>70+59</f>
        <v>129</v>
      </c>
      <c r="E40" s="51"/>
      <c r="F40" s="51"/>
      <c r="G40" s="51"/>
      <c r="H40" s="51"/>
      <c r="I40" s="49">
        <f t="shared" si="1"/>
        <v>22.8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60</v>
      </c>
      <c r="B41" s="60">
        <v>679</v>
      </c>
      <c r="C41" s="60">
        <v>5</v>
      </c>
      <c r="D41" s="60">
        <f>51+45</f>
        <v>96</v>
      </c>
      <c r="E41" s="51"/>
      <c r="F41" s="51"/>
      <c r="G41" s="51"/>
      <c r="H41" s="51"/>
      <c r="I41" s="53">
        <f t="shared" si="1"/>
        <v>19.3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70</v>
      </c>
      <c r="B42" s="60">
        <v>741</v>
      </c>
      <c r="C42" s="60">
        <v>6</v>
      </c>
      <c r="D42" s="60">
        <f>41+39</f>
        <v>80</v>
      </c>
      <c r="E42" s="51"/>
      <c r="F42" s="51"/>
      <c r="G42" s="51"/>
      <c r="H42" s="51"/>
      <c r="I42" s="53">
        <f t="shared" si="1"/>
        <v>15.8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80</v>
      </c>
      <c r="B43" s="60">
        <f>719+71</f>
        <v>790</v>
      </c>
      <c r="C43" s="60">
        <v>7</v>
      </c>
      <c r="D43" s="60">
        <f>B43</f>
        <v>790</v>
      </c>
      <c r="E43" s="51"/>
      <c r="F43" s="51"/>
      <c r="G43" s="51"/>
      <c r="H43" s="51"/>
      <c r="I43" s="49">
        <f t="shared" si="1"/>
        <v>12.9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Pin laricio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152</v>
      </c>
      <c r="C62" s="60">
        <v>1</v>
      </c>
      <c r="D62" s="60">
        <v>42</v>
      </c>
      <c r="E62" s="51"/>
      <c r="F62" s="51">
        <v>0.5</v>
      </c>
      <c r="G62" s="51">
        <v>0.5</v>
      </c>
      <c r="H62" s="51"/>
      <c r="I62" s="53">
        <f>IFERROR(B62/A62,"")</f>
        <v>7.6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v>293</v>
      </c>
      <c r="C63" s="60">
        <v>2</v>
      </c>
      <c r="D63" s="60">
        <v>98</v>
      </c>
      <c r="E63" s="51">
        <v>0.1</v>
      </c>
      <c r="F63" s="51">
        <v>0.45</v>
      </c>
      <c r="G63" s="51">
        <v>0.45</v>
      </c>
      <c r="H63" s="51"/>
      <c r="I63" s="49">
        <f>IF(A63&lt;&gt;0,(B63-(B62-D62))/(A63-A62),"")</f>
        <v>18.3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v>383</v>
      </c>
      <c r="C64" s="60">
        <v>3</v>
      </c>
      <c r="D64" s="60">
        <v>98</v>
      </c>
      <c r="E64" s="51"/>
      <c r="F64" s="51"/>
      <c r="G64" s="51"/>
      <c r="H64" s="51"/>
      <c r="I64" s="49">
        <f>IF(A64&lt;&gt;0,(B64-(B63-D63))/(A64-A63),"")</f>
        <v>18.8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v>456</v>
      </c>
      <c r="C65" s="60">
        <v>4</v>
      </c>
      <c r="D65" s="60">
        <v>94</v>
      </c>
      <c r="E65" s="51"/>
      <c r="F65" s="51"/>
      <c r="G65" s="51"/>
      <c r="H65" s="51"/>
      <c r="I65" s="49">
        <f>IF(A65&lt;&gt;0,(B65-(B64-D64))/(A65-A64),"")</f>
        <v>17.100000000000001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v>506</v>
      </c>
      <c r="C66" s="60">
        <v>5</v>
      </c>
      <c r="D66" s="60">
        <v>71</v>
      </c>
      <c r="E66" s="51"/>
      <c r="F66" s="51"/>
      <c r="G66" s="51"/>
      <c r="H66" s="51"/>
      <c r="I66" s="49">
        <f t="shared" ref="I66:I81" si="2">IF(A66&lt;&gt;0,(B66-(B65-D65))/(A66-A65),"")</f>
        <v>14.4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v>553</v>
      </c>
      <c r="C67" s="60">
        <v>6</v>
      </c>
      <c r="D67" s="60">
        <v>55</v>
      </c>
      <c r="E67" s="51"/>
      <c r="F67" s="51"/>
      <c r="G67" s="51"/>
      <c r="H67" s="51"/>
      <c r="I67" s="49">
        <f t="shared" si="2"/>
        <v>11.8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f>543+49</f>
        <v>592</v>
      </c>
      <c r="C68" s="60">
        <v>7</v>
      </c>
      <c r="D68" s="60">
        <f>B68</f>
        <v>592</v>
      </c>
      <c r="E68" s="51"/>
      <c r="F68" s="51"/>
      <c r="G68" s="51"/>
      <c r="H68" s="51"/>
      <c r="I68" s="49">
        <f t="shared" si="2"/>
        <v>9.4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Sapin méditerranéen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v>156</v>
      </c>
      <c r="C88" s="60">
        <v>2</v>
      </c>
      <c r="D88" s="60">
        <v>22</v>
      </c>
      <c r="E88" s="51"/>
      <c r="F88" s="51">
        <v>0.5</v>
      </c>
      <c r="G88" s="51">
        <v>0.5</v>
      </c>
      <c r="H88" s="87"/>
      <c r="I88" s="53">
        <f>IFERROR(B88/A88,"")</f>
        <v>7.8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v>412</v>
      </c>
      <c r="C89" s="60">
        <v>3</v>
      </c>
      <c r="D89" s="60">
        <v>140</v>
      </c>
      <c r="E89" s="51">
        <v>0.2</v>
      </c>
      <c r="F89" s="51">
        <v>0.4</v>
      </c>
      <c r="G89" s="51">
        <v>0.4</v>
      </c>
      <c r="H89" s="87"/>
      <c r="I89" s="53">
        <f t="shared" ref="I89:I107" si="3">IF(A89&lt;&gt;0,(B89-(B88-D88))/(A89-A88),"")</f>
        <v>27.8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60">
        <v>550</v>
      </c>
      <c r="C90" s="60">
        <v>4</v>
      </c>
      <c r="D90" s="60">
        <v>140</v>
      </c>
      <c r="E90" s="87">
        <v>0.3</v>
      </c>
      <c r="F90" s="87">
        <v>0.35</v>
      </c>
      <c r="G90" s="87">
        <v>0.35</v>
      </c>
      <c r="H90" s="87"/>
      <c r="I90" s="53">
        <f t="shared" si="3"/>
        <v>27.8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60">
        <v>663</v>
      </c>
      <c r="C91" s="60">
        <v>5</v>
      </c>
      <c r="D91" s="60">
        <v>140</v>
      </c>
      <c r="E91" s="87"/>
      <c r="F91" s="87"/>
      <c r="G91" s="87"/>
      <c r="H91" s="87"/>
      <c r="I91" s="53">
        <f t="shared" si="3"/>
        <v>25.3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60">
        <v>752</v>
      </c>
      <c r="C92" s="60">
        <v>6</v>
      </c>
      <c r="D92" s="60">
        <v>128</v>
      </c>
      <c r="E92" s="87"/>
      <c r="F92" s="87"/>
      <c r="G92" s="87"/>
      <c r="H92" s="87"/>
      <c r="I92" s="53">
        <f t="shared" si="3"/>
        <v>22.9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60">
        <v>827</v>
      </c>
      <c r="C93" s="60">
        <v>7</v>
      </c>
      <c r="D93" s="60">
        <v>110</v>
      </c>
      <c r="E93" s="87"/>
      <c r="F93" s="87"/>
      <c r="G93" s="87"/>
      <c r="H93" s="87"/>
      <c r="I93" s="53">
        <f t="shared" si="3"/>
        <v>20.3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80</v>
      </c>
      <c r="B94" s="60">
        <v>892</v>
      </c>
      <c r="C94" s="60">
        <v>8</v>
      </c>
      <c r="D94" s="60">
        <f>B94</f>
        <v>892</v>
      </c>
      <c r="E94" s="87"/>
      <c r="F94" s="87"/>
      <c r="G94" s="87"/>
      <c r="H94" s="87"/>
      <c r="I94" s="53">
        <f t="shared" si="3"/>
        <v>17.5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Mélèze hybride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10</v>
      </c>
      <c r="B114" s="60">
        <v>51</v>
      </c>
      <c r="C114" s="50">
        <v>1</v>
      </c>
      <c r="D114" s="60">
        <f>8</f>
        <v>8</v>
      </c>
      <c r="E114" s="51"/>
      <c r="F114" s="51">
        <v>0.5</v>
      </c>
      <c r="G114" s="51">
        <v>0.5</v>
      </c>
      <c r="H114" s="51"/>
      <c r="I114" s="53">
        <f>IFERROR(B114/A114,"")</f>
        <v>5.0999999999999996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20</v>
      </c>
      <c r="B115" s="60">
        <v>210</v>
      </c>
      <c r="C115" s="50">
        <v>2</v>
      </c>
      <c r="D115" s="60">
        <f>49+49</f>
        <v>98</v>
      </c>
      <c r="E115" s="51"/>
      <c r="F115" s="51">
        <v>0.5</v>
      </c>
      <c r="G115" s="51">
        <v>0.5</v>
      </c>
      <c r="H115" s="51"/>
      <c r="I115" s="53">
        <f t="shared" ref="I115:I133" si="4">IF(A115&lt;&gt;0,(B115-(B114-D114))/(A115-A114),"")</f>
        <v>16.7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30</v>
      </c>
      <c r="B116" s="60">
        <v>297</v>
      </c>
      <c r="C116" s="50">
        <v>3</v>
      </c>
      <c r="D116" s="60">
        <f>49+49</f>
        <v>98</v>
      </c>
      <c r="E116" s="51">
        <v>0.2</v>
      </c>
      <c r="F116" s="51">
        <v>0.4</v>
      </c>
      <c r="G116" s="51">
        <v>0.4</v>
      </c>
      <c r="H116" s="51"/>
      <c r="I116" s="53">
        <f t="shared" si="4"/>
        <v>18.5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40</v>
      </c>
      <c r="B117" s="60">
        <v>356</v>
      </c>
      <c r="C117" s="50">
        <v>4</v>
      </c>
      <c r="D117" s="60">
        <f>49+43</f>
        <v>92</v>
      </c>
      <c r="E117" s="51"/>
      <c r="F117" s="51"/>
      <c r="G117" s="51"/>
      <c r="H117" s="51"/>
      <c r="I117" s="53">
        <f t="shared" si="4"/>
        <v>15.7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50</v>
      </c>
      <c r="B118" s="60">
        <v>395</v>
      </c>
      <c r="C118" s="50">
        <v>5</v>
      </c>
      <c r="D118" s="60">
        <f>39+36</f>
        <v>75</v>
      </c>
      <c r="E118" s="51"/>
      <c r="F118" s="51"/>
      <c r="G118" s="51"/>
      <c r="H118" s="51"/>
      <c r="I118" s="53">
        <f t="shared" si="4"/>
        <v>13.1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60</v>
      </c>
      <c r="B119" s="60">
        <v>433</v>
      </c>
      <c r="C119" s="50">
        <v>6</v>
      </c>
      <c r="D119" s="60">
        <f>34+33</f>
        <v>67</v>
      </c>
      <c r="E119" s="51"/>
      <c r="F119" s="51"/>
      <c r="G119" s="51"/>
      <c r="H119" s="51"/>
      <c r="I119" s="53">
        <f t="shared" si="4"/>
        <v>11.3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70</v>
      </c>
      <c r="B120" s="60">
        <v>464</v>
      </c>
      <c r="C120" s="60">
        <v>7</v>
      </c>
      <c r="D120" s="60">
        <f>32+31</f>
        <v>63</v>
      </c>
      <c r="E120" s="87"/>
      <c r="F120" s="87"/>
      <c r="G120" s="87"/>
      <c r="H120" s="87"/>
      <c r="I120" s="53">
        <f t="shared" si="4"/>
        <v>9.8000000000000007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80</v>
      </c>
      <c r="B121" s="60">
        <f>425+31+31</f>
        <v>487</v>
      </c>
      <c r="C121" s="60">
        <v>8</v>
      </c>
      <c r="D121" s="60">
        <f>B121</f>
        <v>487</v>
      </c>
      <c r="E121" s="87"/>
      <c r="F121" s="87"/>
      <c r="G121" s="87"/>
      <c r="H121" s="87"/>
      <c r="I121" s="53">
        <f t="shared" si="4"/>
        <v>8.6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Erable sycomore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10</v>
      </c>
      <c r="B140" s="60">
        <v>19</v>
      </c>
      <c r="C140" s="50">
        <v>1</v>
      </c>
      <c r="D140" s="60">
        <v>7</v>
      </c>
      <c r="E140" s="51"/>
      <c r="F140" s="51">
        <v>0.25</v>
      </c>
      <c r="G140" s="51">
        <v>0.25</v>
      </c>
      <c r="H140" s="51">
        <v>0.5</v>
      </c>
      <c r="I140" s="57">
        <f>IFERROR(B140/A140,"")</f>
        <v>1.9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20</v>
      </c>
      <c r="B141" s="60">
        <v>165</v>
      </c>
      <c r="C141" s="50">
        <v>2</v>
      </c>
      <c r="D141" s="60">
        <f>42+42</f>
        <v>84</v>
      </c>
      <c r="E141" s="51"/>
      <c r="F141" s="51">
        <v>0.25</v>
      </c>
      <c r="G141" s="51">
        <v>0.25</v>
      </c>
      <c r="H141" s="51">
        <v>0.5</v>
      </c>
      <c r="I141" s="57">
        <f t="shared" ref="I141:I159" si="5">IF(A141&lt;&gt;0,(B141-(B140-D140))/(A141-A140),"")</f>
        <v>15.3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30</v>
      </c>
      <c r="B142" s="60">
        <v>247</v>
      </c>
      <c r="C142" s="50">
        <v>3</v>
      </c>
      <c r="D142" s="60">
        <f>42+42</f>
        <v>84</v>
      </c>
      <c r="E142" s="51">
        <v>0.1</v>
      </c>
      <c r="F142" s="51">
        <v>0.45</v>
      </c>
      <c r="G142" s="51">
        <v>0.45</v>
      </c>
      <c r="H142" s="51"/>
      <c r="I142" s="57">
        <f t="shared" si="5"/>
        <v>16.600000000000001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40</v>
      </c>
      <c r="B143" s="60">
        <v>305</v>
      </c>
      <c r="C143" s="50">
        <v>4</v>
      </c>
      <c r="D143" s="60">
        <f>42+40</f>
        <v>82</v>
      </c>
      <c r="E143" s="51"/>
      <c r="F143" s="51"/>
      <c r="G143" s="51"/>
      <c r="H143" s="51"/>
      <c r="I143" s="57">
        <f t="shared" si="5"/>
        <v>14.2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50</v>
      </c>
      <c r="B144" s="60">
        <v>329</v>
      </c>
      <c r="C144" s="50">
        <v>5</v>
      </c>
      <c r="D144" s="60">
        <f>26+21</f>
        <v>47</v>
      </c>
      <c r="E144" s="51"/>
      <c r="F144" s="51"/>
      <c r="G144" s="51"/>
      <c r="H144" s="51"/>
      <c r="I144" s="57">
        <f t="shared" si="5"/>
        <v>10.6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60</v>
      </c>
      <c r="B145" s="60">
        <v>361</v>
      </c>
      <c r="C145" s="50">
        <v>6</v>
      </c>
      <c r="D145" s="60">
        <f>18+17</f>
        <v>35</v>
      </c>
      <c r="E145" s="51"/>
      <c r="F145" s="51"/>
      <c r="G145" s="51"/>
      <c r="H145" s="51"/>
      <c r="I145" s="57">
        <f t="shared" si="5"/>
        <v>7.9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70</v>
      </c>
      <c r="B146" s="60">
        <v>382</v>
      </c>
      <c r="C146" s="50">
        <v>7</v>
      </c>
      <c r="D146" s="60">
        <f>16+15</f>
        <v>31</v>
      </c>
      <c r="E146" s="51"/>
      <c r="F146" s="51"/>
      <c r="G146" s="51"/>
      <c r="H146" s="51"/>
      <c r="I146" s="57">
        <f t="shared" si="5"/>
        <v>5.6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80</v>
      </c>
      <c r="B147" s="60">
        <f>368+14+13</f>
        <v>395</v>
      </c>
      <c r="C147" s="50">
        <v>8</v>
      </c>
      <c r="D147" s="60">
        <f>B147</f>
        <v>395</v>
      </c>
      <c r="E147" s="51"/>
      <c r="F147" s="51"/>
      <c r="G147" s="51"/>
      <c r="H147" s="51"/>
      <c r="I147" s="57">
        <f>IF(A147&lt;&gt;0,(B147-(B146-D146))/(A147-A146),"")</f>
        <v>4.4000000000000004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7" sqref="G2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laricio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Sapin méditerranéen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Mélèze hybride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Erable sycomore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415.91544298418842</v>
      </c>
      <c r="T3" s="59">
        <f>IF('Données projet'!E9&gt;30,$R$33-$H$33,LOOKUP('Données projet'!$E$9,$A$3:$A$203,R3:R203)-LOOKUP('Données projet'!$E$9,$A$3:$A$203,$H$3:$H$203))</f>
        <v>422.79312683312583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311.06126148520821</v>
      </c>
      <c r="AO3" s="59">
        <f>IF('Données projet'!E10&gt;30,$AM$33-$H$33,LOOKUP('Données projet'!$E$10,$A$3:$A$203,AM3:AM203)-LOOKUP('Données projet'!$E$10,$A$3:$A$203,$H$3:$H$203))</f>
        <v>321.1728368524748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371.85813103419366</v>
      </c>
      <c r="BJ3" s="59">
        <f>IF('Données projet'!E11&gt;30,$BH$33-$H$33,LOOKUP('Données projet'!$E$11,$A$3:$A$203,BH3:BH203)-LOOKUP('Données projet'!$E$11,$A$3:$A$203,$H$3:$H$203))</f>
        <v>370.01698880104584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248.1486444660062</v>
      </c>
      <c r="CE3" s="59">
        <f>IF('Données projet'!E12&gt;30,$CC$33-$H$33,LOOKUP('Données projet'!$E$12,$A$3:$A$203,CC3:CC203)-LOOKUP('Données projet'!$E$12,$A$3:$A$203,$H$3:$H$203))</f>
        <v>293.34458072322127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314.94704727988847</v>
      </c>
      <c r="CZ3" s="59">
        <f>IF('Données projet'!E13&gt;30,$CX$33-$H$33,LOOKUP('Données projet'!$E$13,$A$3:$A$203,CX3:CX203)-LOOKUP('Données projet'!$E$13,$A$3:$A$203,$H$3:$H$203))</f>
        <v>366.49199094166454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2.7</v>
      </c>
      <c r="N4" s="13">
        <f>IF('Données projet'!$A$36&gt;35,N3+M4-V3,IF(A4&lt;'Données projet'!$A$36,$K$205^A4,IF(A4='Données projet'!$A$36,'Données projet'!$B$36,N3+M4-V3)))</f>
        <v>1.3903891703159093</v>
      </c>
      <c r="O4" s="13">
        <f>N4*VLOOKUP('Données projet'!$B$9,Paramètres!$A$1:$I$89,3,0)*VLOOKUP('Données projet'!$B$9,Paramètres!$A$1:$I$89,5,0)</f>
        <v>0.77722754620659329</v>
      </c>
      <c r="P4" s="13">
        <f>EXP(-1.0587+0.8836*LN(O4)+0.284)</f>
        <v>0.36884206136494596</v>
      </c>
      <c r="Q4" s="20">
        <f t="shared" ref="Q4:Q34" si="2">(O4+P4)*0.475*44/12</f>
        <v>1.9960712331870976</v>
      </c>
      <c r="R4" s="59">
        <f t="shared" si="0"/>
        <v>295.3294045665204</v>
      </c>
      <c r="S4" s="59">
        <f ca="1">AVERAGE(OFFSET($R$3,0,0,'Données projet'!$E$9+1,1))-AVERAGE(OFFSET($H$3,0,0,'Données projet'!$E$9+1,1))</f>
        <v>415.91544298418842</v>
      </c>
      <c r="T4" s="59">
        <f>$T$3</f>
        <v>422.79312683312583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7.6</v>
      </c>
      <c r="AI4" s="13">
        <f>IF('Données projet'!$A$62&gt;35,AI3+AH4-AQ3,IF(A4&lt;'Données projet'!$A$62,$AF$205^A4,IF(A4='Données projet'!$A$62,'Données projet'!$B$62,AI3+AH4-AQ3)))</f>
        <v>1.2855594921550282</v>
      </c>
      <c r="AJ4" s="13">
        <f>AI4*VLOOKUP('Données projet'!$B$10,Paramètres!$A$1:$I$89,3,0)*VLOOKUP('Données projet'!$B$10,Paramètres!$A$1:$I$89,5,0)</f>
        <v>0.76876457630870687</v>
      </c>
      <c r="AK4" s="13">
        <f>EXP(-1.0587+0.8836*LN(AJ4)+0.284)</f>
        <v>0.36529109127234299</v>
      </c>
      <c r="AL4" s="20">
        <f t="shared" ref="AL4:AL67" si="4">(AJ4+AK4)*0.475*44/12</f>
        <v>1.9751469543703284</v>
      </c>
      <c r="AM4" s="59">
        <f t="shared" ref="AM4:AM67" si="5">AL4+(AD4+AE4)*44/12</f>
        <v>295.30848028770362</v>
      </c>
      <c r="AN4" s="59">
        <f ca="1">AVERAGE(OFFSET($AM$3,0,0,'Données projet'!$E$10+1,1))-AVERAGE(OFFSET($H$3,0,0,'Données projet'!$E$10+1,1))</f>
        <v>311.06126148520821</v>
      </c>
      <c r="AO4" s="59">
        <f>$AO$3</f>
        <v>321.1728368524748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7.8</v>
      </c>
      <c r="BD4" s="12">
        <f>IF('Données projet'!$A$88&gt;35,BD3+BC4-BL3,IF(A4&lt;'Données projet'!$A$88,$BA$205^A4,IF(A4='Données projet'!$A$88,'Données projet'!$B$88,BD3+BC4-BL3)))</f>
        <v>1.2872302285303792</v>
      </c>
      <c r="BE4" s="13">
        <f>BD4*VLOOKUP('Données projet'!$B$11,Paramètres!$A$1:$I$89,3,0)*VLOOKUP('Données projet'!$B$11,Paramètres!$A$1:$I$89,5,0)</f>
        <v>0.6191577399231124</v>
      </c>
      <c r="BF4" s="13">
        <f>EXP(-1.0587+0.8836*LN(BE4)+0.284)</f>
        <v>0.30170860659020604</v>
      </c>
      <c r="BG4" s="20">
        <f t="shared" ref="BG4:BG67" si="7">(BE4+BF4)*0.475*44/12</f>
        <v>1.603842220177363</v>
      </c>
      <c r="BH4" s="59">
        <f t="shared" ref="BH4:BH67" si="8">BG4+(AY4+AZ4)*44/12</f>
        <v>294.93717555351066</v>
      </c>
      <c r="BI4" s="59">
        <f ca="1">AVERAGE(OFFSET($BH$3,0,0,'Données projet'!$E$11+1,1))-AVERAGE(OFFSET($H$3,0,0,'Données projet'!$E$11+1,1))</f>
        <v>371.85813103419366</v>
      </c>
      <c r="BJ4" s="59">
        <f>$BJ$3</f>
        <v>370.01698880104584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5.0999999999999996</v>
      </c>
      <c r="BY4" s="12">
        <f>IF('Données projet'!$A$114&gt;35,BY3+BX4-CG3,IF(A4&lt;'Données projet'!$A$114,$BV$205^A4,IF(A4='Données projet'!$A$114,'Données projet'!$B$114,BY3+BX4-CG3)))</f>
        <v>1.4816888666071193</v>
      </c>
      <c r="BZ4" s="13">
        <f>BY4*VLOOKUP('Données projet'!$B$12,Paramètres!$A$1:$I$89,3,0)*VLOOKUP('Données projet'!$B$12,Paramètres!$A$1:$I$89,5,0)</f>
        <v>0.80900212116748715</v>
      </c>
      <c r="CA4" s="13">
        <f>EXP(-1.0587+0.8836*LN(BZ4)+0.284)</f>
        <v>0.38213461978866009</v>
      </c>
      <c r="CB4" s="20">
        <f t="shared" ref="CB4:CB67" si="10">(BZ4+CA4)*0.475*44/12</f>
        <v>2.0745631571652896</v>
      </c>
      <c r="CC4" s="59">
        <f t="shared" ref="CC4:CC67" si="11">CB4+(BT4+BU4)*44/12</f>
        <v>295.40789649049862</v>
      </c>
      <c r="CD4" s="59">
        <f ca="1">AVERAGE(OFFSET($CC$3,0,0,'Données projet'!$E$12+1,1))-AVERAGE(OFFSET($H$3,0,0,'Données projet'!$E$12+1,1))</f>
        <v>248.1486444660062</v>
      </c>
      <c r="CE4" s="59">
        <f>$CE$3</f>
        <v>293.34458072322127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1.9</v>
      </c>
      <c r="CT4" s="12">
        <f>IF('Données projet'!$A$140&gt;35,CT3+CS4-DB3,IF(A4&lt;'Données projet'!$A$140,$CQ$205^A4,IF(A4='Données projet'!$A$140,'Données projet'!$B$140,CT3+CS4-DB3)))</f>
        <v>1.3423796509621049</v>
      </c>
      <c r="CU4" s="17">
        <f>CT4*VLOOKUP('Données projet'!$B$13,Paramètres!$A$1:$I$89,3,0)*VLOOKUP('Données projet'!$B$13,Paramètres!$A$1:$I$89,5,0)</f>
        <v>1.0679972503054507</v>
      </c>
      <c r="CV4" s="13">
        <f>EXP(-1.0587+0.8836*LN(CU4)+0.284)</f>
        <v>0.48842359485523285</v>
      </c>
      <c r="CW4" s="20">
        <f t="shared" ref="CW4:CW67" si="13">(CU4+CV4)*0.475*44/12</f>
        <v>2.7107663053215236</v>
      </c>
      <c r="CX4" s="59">
        <f t="shared" ref="CX4:CX67" si="14">CW4+(CO4+CP4)*44/12</f>
        <v>296.04409963865481</v>
      </c>
      <c r="CY4" s="59">
        <f ca="1">AVERAGE(OFFSET($CX$3,0,0,'Données projet'!$E$13+1,1))-AVERAGE(OFFSET($H$3,0,0,'Données projet'!$E$13+1,1))</f>
        <v>314.94704727988847</v>
      </c>
      <c r="CZ4" s="59">
        <f>$CZ$3</f>
        <v>366.49199094166454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2.7</v>
      </c>
      <c r="N5" s="13">
        <f>IF('Données projet'!$A$36&gt;35,N4+M5-V4,IF(A5&lt;'Données projet'!$A$36,$K$205^A5,IF(A5='Données projet'!$A$36,'Données projet'!$B$36,N4+M5-V4)))</f>
        <v>1.9331820449317625</v>
      </c>
      <c r="O5" s="13">
        <f>N5*VLOOKUP('Données projet'!$B$9,Paramètres!$A$1:$I$89,3,0)*VLOOKUP('Données projet'!$B$9,Paramètres!$A$1:$I$89,5,0)</f>
        <v>1.0806487631168553</v>
      </c>
      <c r="P5" s="13">
        <f t="shared" ref="P5:P68" si="33">EXP(-1.0587+0.8836*LN(O5)+0.284)</f>
        <v>0.49353248375234221</v>
      </c>
      <c r="Q5" s="20">
        <f t="shared" si="2"/>
        <v>2.7416990049638525</v>
      </c>
      <c r="R5" s="59">
        <f t="shared" si="0"/>
        <v>296.07503233829715</v>
      </c>
      <c r="S5" s="59">
        <f ca="1">AVERAGE(OFFSET($R$3,0,0,'Données projet'!$E$9+1,1))-AVERAGE(OFFSET($H$3,0,0,'Données projet'!$E$9+1,1))</f>
        <v>415.91544298418842</v>
      </c>
      <c r="T5" s="59">
        <f t="shared" ref="T5:T68" si="34">$T$3</f>
        <v>422.79312683312583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7.6</v>
      </c>
      <c r="AI5" s="13">
        <f>IF('Données projet'!$A$62&gt;35,AI4+AH5-AQ4,IF(A5&lt;'Données projet'!$A$62,$AF$205^A5,IF(A5='Données projet'!$A$62,'Données projet'!$B$62,AI4+AH5-AQ4)))</f>
        <v>1.652663207869894</v>
      </c>
      <c r="AJ5" s="13">
        <f>AI5*VLOOKUP('Données projet'!$B$10,Paramètres!$A$1:$I$89,3,0)*VLOOKUP('Données projet'!$B$10,Paramètres!$A$1:$I$89,5,0)</f>
        <v>0.98829259830619676</v>
      </c>
      <c r="AK5" s="13">
        <f t="shared" ref="AK5:AK68" si="35">EXP(-1.0587+0.8836*LN(AJ5)+0.284)</f>
        <v>0.45607149635956251</v>
      </c>
      <c r="AL5" s="20">
        <f t="shared" si="4"/>
        <v>2.5156007982095305</v>
      </c>
      <c r="AM5" s="59">
        <f t="shared" si="5"/>
        <v>295.84893413154282</v>
      </c>
      <c r="AN5" s="59">
        <f ca="1">AVERAGE(OFFSET($AM$3,0,0,'Données projet'!$E$10+1,1))-AVERAGE(OFFSET($H$3,0,0,'Données projet'!$E$10+1,1))</f>
        <v>311.06126148520821</v>
      </c>
      <c r="AO5" s="59">
        <f t="shared" ref="AO5:AO68" si="36">$AO$3</f>
        <v>321.1728368524748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7.8</v>
      </c>
      <c r="BD5" s="12">
        <f>IF('Données projet'!$A$88&gt;35,BD4+BC5-BL4,IF(A5&lt;'Données projet'!$A$88,$BA$205^A5,IF(A5='Données projet'!$A$88,'Données projet'!$B$88,BD4+BC5-BL4)))</f>
        <v>1.6569616612423721</v>
      </c>
      <c r="BE5" s="13">
        <f>BD5*VLOOKUP('Données projet'!$B$11,Paramètres!$A$1:$I$89,3,0)*VLOOKUP('Données projet'!$B$11,Paramètres!$A$1:$I$89,5,0)</f>
        <v>0.79699855905758099</v>
      </c>
      <c r="BF5" s="13">
        <f t="shared" ref="BF5:BF68" si="37">EXP(-1.0587+0.8836*LN(BE5)+0.284)</f>
        <v>0.37712032883057583</v>
      </c>
      <c r="BG5" s="20">
        <f t="shared" si="7"/>
        <v>2.0449237297385401</v>
      </c>
      <c r="BH5" s="59">
        <f t="shared" si="8"/>
        <v>295.37825706307183</v>
      </c>
      <c r="BI5" s="59">
        <f ca="1">AVERAGE(OFFSET($BH$3,0,0,'Données projet'!$E$11+1,1))-AVERAGE(OFFSET($H$3,0,0,'Données projet'!$E$11+1,1))</f>
        <v>371.85813103419366</v>
      </c>
      <c r="BJ5" s="59">
        <f t="shared" ref="BJ5:BJ68" si="38">$BJ$3</f>
        <v>370.01698880104584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5.0999999999999996</v>
      </c>
      <c r="BY5" s="12">
        <f>IF('Données projet'!$A$114&gt;35,BY4+BX5-CG4,IF(A5&lt;'Données projet'!$A$114,$BV$205^A5,IF(A5='Données projet'!$A$114,'Données projet'!$B$114,BY4+BX5-CG4)))</f>
        <v>2.1954018974274896</v>
      </c>
      <c r="BZ5" s="13">
        <f>BY5*VLOOKUP('Données projet'!$B$12,Paramètres!$A$1:$I$89,3,0)*VLOOKUP('Données projet'!$B$12,Paramètres!$A$1:$I$89,5,0)</f>
        <v>1.1986894359954092</v>
      </c>
      <c r="CA5" s="13">
        <f t="shared" ref="CA5:CA68" si="39">EXP(-1.0587+0.8836*LN(BZ5)+0.284)</f>
        <v>0.54087546986465163</v>
      </c>
      <c r="CB5" s="20">
        <f t="shared" si="10"/>
        <v>3.0297422110396059</v>
      </c>
      <c r="CC5" s="59">
        <f t="shared" si="11"/>
        <v>296.36307554437292</v>
      </c>
      <c r="CD5" s="59">
        <f ca="1">AVERAGE(OFFSET($CC$3,0,0,'Données projet'!$E$12+1,1))-AVERAGE(OFFSET($H$3,0,0,'Données projet'!$E$12+1,1))</f>
        <v>248.1486444660062</v>
      </c>
      <c r="CE5" s="59">
        <f t="shared" ref="CE5:CE68" si="40">$CE$3</f>
        <v>293.34458072322127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1.9</v>
      </c>
      <c r="CT5" s="12">
        <f>IF('Données projet'!$A$140&gt;35,CT4+CS5-DB4,IF(A5&lt;'Données projet'!$A$140,$CQ$205^A5,IF(A5='Données projet'!$A$140,'Données projet'!$B$140,CT4+CS5-DB4)))</f>
        <v>1.8019831273171425</v>
      </c>
      <c r="CU5" s="17">
        <f>CT5*VLOOKUP('Données projet'!$B$13,Paramètres!$A$1:$I$89,3,0)*VLOOKUP('Données projet'!$B$13,Paramètres!$A$1:$I$89,5,0)</f>
        <v>1.4336577760935185</v>
      </c>
      <c r="CV5" s="13">
        <f t="shared" ref="CV5:CV68" si="41">EXP(-1.0587+0.8836*LN(CU5)+0.284)</f>
        <v>0.63355934907379652</v>
      </c>
      <c r="CW5" s="20">
        <f t="shared" si="13"/>
        <v>3.6004031596664068</v>
      </c>
      <c r="CX5" s="59">
        <f t="shared" si="14"/>
        <v>296.93373649299974</v>
      </c>
      <c r="CY5" s="59">
        <f ca="1">AVERAGE(OFFSET($CX$3,0,0,'Données projet'!$E$13+1,1))-AVERAGE(OFFSET($H$3,0,0,'Données projet'!$E$13+1,1))</f>
        <v>314.94704727988847</v>
      </c>
      <c r="CZ5" s="59">
        <f t="shared" ref="CZ5:CZ68" si="42">$CZ$3</f>
        <v>366.49199094166454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2.7</v>
      </c>
      <c r="N6" s="13">
        <f>IF('Données projet'!$A$36&gt;35,N5+M6-V5,IF(A6&lt;'Données projet'!$A$36,$K$205^A6,IF(A6='Données projet'!$A$36,'Données projet'!$B$36,N5+M6-V5)))</f>
        <v>2.6878753795222861</v>
      </c>
      <c r="O6" s="13">
        <f>N6*VLOOKUP('Données projet'!$B$9,Paramètres!$A$1:$I$89,3,0)*VLOOKUP('Données projet'!$B$9,Paramètres!$A$1:$I$89,5,0)</f>
        <v>1.5025223371529579</v>
      </c>
      <c r="P6" s="13">
        <f t="shared" si="33"/>
        <v>0.66037564050417386</v>
      </c>
      <c r="Q6" s="20">
        <f t="shared" si="2"/>
        <v>3.7670473110861704</v>
      </c>
      <c r="R6" s="59">
        <f t="shared" si="0"/>
        <v>297.10038064441949</v>
      </c>
      <c r="S6" s="59">
        <f ca="1">AVERAGE(OFFSET($R$3,0,0,'Données projet'!$E$9+1,1))-AVERAGE(OFFSET($H$3,0,0,'Données projet'!$E$9+1,1))</f>
        <v>415.91544298418842</v>
      </c>
      <c r="T6" s="59">
        <f t="shared" si="34"/>
        <v>422.79312683312583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7.6</v>
      </c>
      <c r="AI6" s="13">
        <f>IF('Données projet'!$A$62&gt;35,AI5+AH6-AQ5,IF(A6&lt;'Données projet'!$A$62,$AF$205^A6,IF(A6='Données projet'!$A$62,'Données projet'!$B$62,AI5+AH6-AQ5)))</f>
        <v>2.1245968742125205</v>
      </c>
      <c r="AJ6" s="13">
        <f>AI6*VLOOKUP('Données projet'!$B$10,Paramètres!$A$1:$I$89,3,0)*VLOOKUP('Données projet'!$B$10,Paramètres!$A$1:$I$89,5,0)</f>
        <v>1.2705089307790873</v>
      </c>
      <c r="AK6" s="13">
        <f t="shared" si="35"/>
        <v>0.56941221606900616</v>
      </c>
      <c r="AL6" s="20">
        <f t="shared" si="4"/>
        <v>3.2045293307604297</v>
      </c>
      <c r="AM6" s="59">
        <f t="shared" si="5"/>
        <v>296.53786266409372</v>
      </c>
      <c r="AN6" s="59">
        <f ca="1">AVERAGE(OFFSET($AM$3,0,0,'Données projet'!$E$10+1,1))-AVERAGE(OFFSET($H$3,0,0,'Données projet'!$E$10+1,1))</f>
        <v>311.06126148520821</v>
      </c>
      <c r="AO6" s="59">
        <f t="shared" si="36"/>
        <v>321.1728368524748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7.8</v>
      </c>
      <c r="BD6" s="12">
        <f>IF('Données projet'!$A$88&gt;35,BD5+BC6-BL5,IF(A6&lt;'Données projet'!$A$88,$BA$205^A6,IF(A6='Données projet'!$A$88,'Données projet'!$B$88,BD5+BC6-BL5)))</f>
        <v>2.1328911378670954</v>
      </c>
      <c r="BE6" s="13">
        <f>BD6*VLOOKUP('Données projet'!$B$11,Paramètres!$A$1:$I$89,3,0)*VLOOKUP('Données projet'!$B$11,Paramètres!$A$1:$I$89,5,0)</f>
        <v>1.0259206373140728</v>
      </c>
      <c r="BF6" s="13">
        <f t="shared" si="37"/>
        <v>0.47138112506830399</v>
      </c>
      <c r="BG6" s="20">
        <f t="shared" si="7"/>
        <v>2.6078005694826394</v>
      </c>
      <c r="BH6" s="59">
        <f t="shared" si="8"/>
        <v>295.94113390281598</v>
      </c>
      <c r="BI6" s="59">
        <f ca="1">AVERAGE(OFFSET($BH$3,0,0,'Données projet'!$E$11+1,1))-AVERAGE(OFFSET($H$3,0,0,'Données projet'!$E$11+1,1))</f>
        <v>371.85813103419366</v>
      </c>
      <c r="BJ6" s="59">
        <f t="shared" si="38"/>
        <v>370.01698880104584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5.0999999999999996</v>
      </c>
      <c r="BY6" s="12">
        <f>IF('Données projet'!$A$114&gt;35,BY5+BX6-CG5,IF(A6&lt;'Données projet'!$A$114,$BV$205^A6,IF(A6='Données projet'!$A$114,'Données projet'!$B$114,BY5+BX6-CG5)))</f>
        <v>3.252902549146456</v>
      </c>
      <c r="BZ6" s="13">
        <f>BY6*VLOOKUP('Données projet'!$B$12,Paramètres!$A$1:$I$89,3,0)*VLOOKUP('Données projet'!$B$12,Paramètres!$A$1:$I$89,5,0)</f>
        <v>1.7760847918339648</v>
      </c>
      <c r="CA6" s="13">
        <f t="shared" si="39"/>
        <v>0.76555815346722778</v>
      </c>
      <c r="CB6" s="20">
        <f t="shared" si="10"/>
        <v>4.426694796399576</v>
      </c>
      <c r="CC6" s="59">
        <f t="shared" si="11"/>
        <v>297.76002812973292</v>
      </c>
      <c r="CD6" s="59">
        <f ca="1">AVERAGE(OFFSET($CC$3,0,0,'Données projet'!$E$12+1,1))-AVERAGE(OFFSET($H$3,0,0,'Données projet'!$E$12+1,1))</f>
        <v>248.1486444660062</v>
      </c>
      <c r="CE6" s="59">
        <f t="shared" si="40"/>
        <v>293.34458072322127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1.9</v>
      </c>
      <c r="CT6" s="12">
        <f>IF('Données projet'!$A$140&gt;35,CT5+CS6-DB5,IF(A6&lt;'Données projet'!$A$140,$CQ$205^A6,IF(A6='Données projet'!$A$140,'Données projet'!$B$140,CT5+CS6-DB5)))</f>
        <v>2.4189454814875879</v>
      </c>
      <c r="CU6" s="17">
        <f>CT6*VLOOKUP('Données projet'!$B$13,Paramètres!$A$1:$I$89,3,0)*VLOOKUP('Données projet'!$B$13,Paramètres!$A$1:$I$89,5,0)</f>
        <v>1.9245130250715252</v>
      </c>
      <c r="CV6" s="13">
        <f t="shared" si="41"/>
        <v>0.82182239561499026</v>
      </c>
      <c r="CW6" s="20">
        <f t="shared" si="13"/>
        <v>4.7832008576956815</v>
      </c>
      <c r="CX6" s="59">
        <f t="shared" si="14"/>
        <v>298.11653419102902</v>
      </c>
      <c r="CY6" s="59">
        <f ca="1">AVERAGE(OFFSET($CX$3,0,0,'Données projet'!$E$13+1,1))-AVERAGE(OFFSET($H$3,0,0,'Données projet'!$E$13+1,1))</f>
        <v>314.94704727988847</v>
      </c>
      <c r="CZ6" s="59">
        <f t="shared" si="42"/>
        <v>366.49199094166454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2.7</v>
      </c>
      <c r="N7" s="13">
        <f>IF('Données projet'!$A$36&gt;35,N6+M7-V6,IF(A7&lt;'Données projet'!$A$36,$K$205^A7,IF(A7='Données projet'!$A$36,'Données projet'!$B$36,N6+M7-V6)))</f>
        <v>3.7371928188465509</v>
      </c>
      <c r="O7" s="13">
        <f>N7*VLOOKUP('Données projet'!$B$9,Paramètres!$A$1:$I$89,3,0)*VLOOKUP('Données projet'!$B$9,Paramètres!$A$1:$I$89,5,0)</f>
        <v>2.0890907857352219</v>
      </c>
      <c r="P7" s="13">
        <f t="shared" si="33"/>
        <v>0.88362164787137598</v>
      </c>
      <c r="Q7" s="20">
        <f t="shared" si="2"/>
        <v>5.1774741551981576</v>
      </c>
      <c r="R7" s="59">
        <f t="shared" si="0"/>
        <v>298.5108074885315</v>
      </c>
      <c r="S7" s="59">
        <f ca="1">AVERAGE(OFFSET($R$3,0,0,'Données projet'!$E$9+1,1))-AVERAGE(OFFSET($H$3,0,0,'Données projet'!$E$9+1,1))</f>
        <v>415.91544298418842</v>
      </c>
      <c r="T7" s="59">
        <f t="shared" si="34"/>
        <v>422.79312683312583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7.6</v>
      </c>
      <c r="AI7" s="13">
        <f>IF('Données projet'!$A$62&gt;35,AI6+AH7-AQ6,IF(A7&lt;'Données projet'!$A$62,$AF$205^A7,IF(A7='Données projet'!$A$62,'Données projet'!$B$62,AI6+AH7-AQ6)))</f>
        <v>2.7312956786468083</v>
      </c>
      <c r="AJ7" s="13">
        <f>AI7*VLOOKUP('Données projet'!$B$10,Paramètres!$A$1:$I$89,3,0)*VLOOKUP('Données projet'!$B$10,Paramètres!$A$1:$I$89,5,0)</f>
        <v>1.6333148158307915</v>
      </c>
      <c r="AK7" s="13">
        <f t="shared" si="35"/>
        <v>0.71091983251897084</v>
      </c>
      <c r="AL7" s="20">
        <f t="shared" si="4"/>
        <v>4.082875345875836</v>
      </c>
      <c r="AM7" s="59">
        <f t="shared" si="5"/>
        <v>297.41620867920915</v>
      </c>
      <c r="AN7" s="59">
        <f ca="1">AVERAGE(OFFSET($AM$3,0,0,'Données projet'!$E$10+1,1))-AVERAGE(OFFSET($H$3,0,0,'Données projet'!$E$10+1,1))</f>
        <v>311.06126148520821</v>
      </c>
      <c r="AO7" s="59">
        <f t="shared" si="36"/>
        <v>321.1728368524748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7.8</v>
      </c>
      <c r="BD7" s="12">
        <f>IF('Données projet'!$A$88&gt;35,BD6+BC7-BL6,IF(A7&lt;'Données projet'!$A$88,$BA$205^A7,IF(A7='Données projet'!$A$88,'Données projet'!$B$88,BD6+BC7-BL6)))</f>
        <v>2.7455219468270813</v>
      </c>
      <c r="BE7" s="13">
        <f>BD7*VLOOKUP('Données projet'!$B$11,Paramètres!$A$1:$I$89,3,0)*VLOOKUP('Données projet'!$B$11,Paramètres!$A$1:$I$89,5,0)</f>
        <v>1.3205960564238262</v>
      </c>
      <c r="BF7" s="13">
        <f t="shared" si="37"/>
        <v>0.58920229985927153</v>
      </c>
      <c r="BG7" s="20">
        <f t="shared" si="7"/>
        <v>3.3262321371930614</v>
      </c>
      <c r="BH7" s="59">
        <f t="shared" si="8"/>
        <v>296.65956547052639</v>
      </c>
      <c r="BI7" s="59">
        <f ca="1">AVERAGE(OFFSET($BH$3,0,0,'Données projet'!$E$11+1,1))-AVERAGE(OFFSET($H$3,0,0,'Données projet'!$E$11+1,1))</f>
        <v>371.85813103419366</v>
      </c>
      <c r="BJ7" s="59">
        <f t="shared" si="38"/>
        <v>370.01698880104584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5.0999999999999996</v>
      </c>
      <c r="BY7" s="12">
        <f>IF('Données projet'!$A$114&gt;35,BY6+BX7-CG6,IF(A7&lt;'Données projet'!$A$114,$BV$205^A7,IF(A7='Données projet'!$A$114,'Données projet'!$B$114,BY6+BX7-CG6)))</f>
        <v>4.8197894912282218</v>
      </c>
      <c r="BZ7" s="13">
        <f>BY7*VLOOKUP('Données projet'!$B$12,Paramètres!$A$1:$I$89,3,0)*VLOOKUP('Données projet'!$B$12,Paramètres!$A$1:$I$89,5,0)</f>
        <v>2.6316050622106091</v>
      </c>
      <c r="CA7" s="13">
        <f t="shared" si="39"/>
        <v>1.0835752756301034</v>
      </c>
      <c r="CB7" s="20">
        <f t="shared" si="10"/>
        <v>6.4706057550725733</v>
      </c>
      <c r="CC7" s="59">
        <f t="shared" si="11"/>
        <v>299.80393908840591</v>
      </c>
      <c r="CD7" s="59">
        <f ca="1">AVERAGE(OFFSET($CC$3,0,0,'Données projet'!$E$12+1,1))-AVERAGE(OFFSET($H$3,0,0,'Données projet'!$E$12+1,1))</f>
        <v>248.1486444660062</v>
      </c>
      <c r="CE7" s="59">
        <f t="shared" si="40"/>
        <v>293.34458072322127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1.9</v>
      </c>
      <c r="CT7" s="12">
        <f>IF('Données projet'!$A$140&gt;35,CT6+CS7-DB6,IF(A7&lt;'Données projet'!$A$140,$CQ$205^A7,IF(A7='Données projet'!$A$140,'Données projet'!$B$140,CT6+CS7-DB6)))</f>
        <v>3.247143191135669</v>
      </c>
      <c r="CU7" s="17">
        <f>CT7*VLOOKUP('Données projet'!$B$13,Paramètres!$A$1:$I$89,3,0)*VLOOKUP('Données projet'!$B$13,Paramètres!$A$1:$I$89,5,0)</f>
        <v>2.5834271228675387</v>
      </c>
      <c r="CV7" s="13">
        <f t="shared" si="41"/>
        <v>1.066028069701316</v>
      </c>
      <c r="CW7" s="20">
        <f t="shared" si="13"/>
        <v>6.3561344603907548</v>
      </c>
      <c r="CX7" s="59">
        <f t="shared" si="14"/>
        <v>299.68946779372408</v>
      </c>
      <c r="CY7" s="59">
        <f ca="1">AVERAGE(OFFSET($CX$3,0,0,'Données projet'!$E$13+1,1))-AVERAGE(OFFSET($H$3,0,0,'Données projet'!$E$13+1,1))</f>
        <v>314.94704727988847</v>
      </c>
      <c r="CZ7" s="59">
        <f t="shared" si="42"/>
        <v>366.49199094166454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2.7</v>
      </c>
      <c r="N8" s="13">
        <f>IF('Données projet'!$A$36&gt;35,N7+M8-V7,IF(A8&lt;'Données projet'!$A$36,$K$205^A8,IF(A8='Données projet'!$A$36,'Données projet'!$B$36,N7+M8-V7)))</f>
        <v>5.1961524227066302</v>
      </c>
      <c r="O8" s="13">
        <f>N8*VLOOKUP('Données projet'!$B$9,Paramètres!$A$1:$I$89,3,0)*VLOOKUP('Données projet'!$B$9,Paramètres!$A$1:$I$89,5,0)</f>
        <v>2.9046492042930061</v>
      </c>
      <c r="P8" s="13">
        <f t="shared" si="33"/>
        <v>1.1823380038531133</v>
      </c>
      <c r="Q8" s="20">
        <f t="shared" si="2"/>
        <v>7.1181693875211574</v>
      </c>
      <c r="R8" s="59">
        <f t="shared" si="0"/>
        <v>300.45150272085448</v>
      </c>
      <c r="S8" s="59">
        <f ca="1">AVERAGE(OFFSET($R$3,0,0,'Données projet'!$E$9+1,1))-AVERAGE(OFFSET($H$3,0,0,'Données projet'!$E$9+1,1))</f>
        <v>415.91544298418842</v>
      </c>
      <c r="T8" s="59">
        <f t="shared" si="34"/>
        <v>422.79312683312583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7.6</v>
      </c>
      <c r="AI8" s="13">
        <f>IF('Données projet'!$A$62&gt;35,AI7+AH8-AQ7,IF(A8&lt;'Données projet'!$A$62,$AF$205^A8,IF(A8='Données projet'!$A$62,'Données projet'!$B$62,AI7+AH8-AQ7)))</f>
        <v>3.5112430855664138</v>
      </c>
      <c r="AJ8" s="13">
        <f>AI8*VLOOKUP('Données projet'!$B$10,Paramètres!$A$1:$I$89,3,0)*VLOOKUP('Données projet'!$B$10,Paramètres!$A$1:$I$89,5,0)</f>
        <v>2.0997233651687157</v>
      </c>
      <c r="AK8" s="13">
        <f t="shared" si="35"/>
        <v>0.88759424895715988</v>
      </c>
      <c r="AL8" s="20">
        <f t="shared" si="4"/>
        <v>5.2029115112692326</v>
      </c>
      <c r="AM8" s="59">
        <f t="shared" si="5"/>
        <v>298.53624484460255</v>
      </c>
      <c r="AN8" s="59">
        <f ca="1">AVERAGE(OFFSET($AM$3,0,0,'Données projet'!$E$10+1,1))-AVERAGE(OFFSET($H$3,0,0,'Données projet'!$E$10+1,1))</f>
        <v>311.06126148520821</v>
      </c>
      <c r="AO8" s="59">
        <f t="shared" si="36"/>
        <v>321.1728368524748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7.8</v>
      </c>
      <c r="BD8" s="12">
        <f>IF('Données projet'!$A$88&gt;35,BD7+BC8-BL7,IF(A8&lt;'Données projet'!$A$88,$BA$205^A8,IF(A8='Données projet'!$A$88,'Données projet'!$B$88,BD7+BC8-BL7)))</f>
        <v>3.5341188430493955</v>
      </c>
      <c r="BE8" s="13">
        <f>BD8*VLOOKUP('Données projet'!$B$11,Paramètres!$A$1:$I$89,3,0)*VLOOKUP('Données projet'!$B$11,Paramètres!$A$1:$I$89,5,0)</f>
        <v>1.6999111635067592</v>
      </c>
      <c r="BF8" s="13">
        <f t="shared" si="37"/>
        <v>0.73647274296176146</v>
      </c>
      <c r="BG8" s="20">
        <f t="shared" si="7"/>
        <v>4.2433686370993398</v>
      </c>
      <c r="BH8" s="59">
        <f t="shared" si="8"/>
        <v>297.57670197043268</v>
      </c>
      <c r="BI8" s="59">
        <f ca="1">AVERAGE(OFFSET($BH$3,0,0,'Données projet'!$E$11+1,1))-AVERAGE(OFFSET($H$3,0,0,'Données projet'!$E$11+1,1))</f>
        <v>371.85813103419366</v>
      </c>
      <c r="BJ8" s="59">
        <f t="shared" si="38"/>
        <v>370.01698880104584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5.0999999999999996</v>
      </c>
      <c r="BY8" s="12">
        <f>IF('Données projet'!$A$114&gt;35,BY7+BX8-CG7,IF(A8&lt;'Données projet'!$A$114,$BV$205^A8,IF(A8='Données projet'!$A$114,'Données projet'!$B$114,BY7+BX8-CG7)))</f>
        <v>7.1414284285428478</v>
      </c>
      <c r="BZ8" s="13">
        <f>BY8*VLOOKUP('Données projet'!$B$12,Paramètres!$A$1:$I$89,3,0)*VLOOKUP('Données projet'!$B$12,Paramètres!$A$1:$I$89,5,0)</f>
        <v>3.8992199219843946</v>
      </c>
      <c r="CA8" s="13">
        <f t="shared" si="39"/>
        <v>1.5336984821325097</v>
      </c>
      <c r="CB8" s="20">
        <f t="shared" si="10"/>
        <v>9.462332887170275</v>
      </c>
      <c r="CC8" s="59">
        <f t="shared" si="11"/>
        <v>302.79566622050356</v>
      </c>
      <c r="CD8" s="59">
        <f ca="1">AVERAGE(OFFSET($CC$3,0,0,'Données projet'!$E$12+1,1))-AVERAGE(OFFSET($H$3,0,0,'Données projet'!$E$12+1,1))</f>
        <v>248.1486444660062</v>
      </c>
      <c r="CE8" s="59">
        <f t="shared" si="40"/>
        <v>293.34458072322127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1.9</v>
      </c>
      <c r="CT8" s="12">
        <f>IF('Données projet'!$A$140&gt;35,CT7+CS8-DB7,IF(A8&lt;'Données projet'!$A$140,$CQ$205^A8,IF(A8='Données projet'!$A$140,'Données projet'!$B$140,CT7+CS8-DB7)))</f>
        <v>4.3588989435406749</v>
      </c>
      <c r="CU8" s="17">
        <f>CT8*VLOOKUP('Données projet'!$B$13,Paramètres!$A$1:$I$89,3,0)*VLOOKUP('Données projet'!$B$13,Paramètres!$A$1:$I$89,5,0)</f>
        <v>3.467939999480961</v>
      </c>
      <c r="CV8" s="13">
        <f t="shared" si="41"/>
        <v>1.382799801337496</v>
      </c>
      <c r="CW8" s="20">
        <f t="shared" si="13"/>
        <v>8.4483718197588118</v>
      </c>
      <c r="CX8" s="59">
        <f t="shared" si="14"/>
        <v>301.7817051530921</v>
      </c>
      <c r="CY8" s="59">
        <f ca="1">AVERAGE(OFFSET($CX$3,0,0,'Données projet'!$E$13+1,1))-AVERAGE(OFFSET($H$3,0,0,'Données projet'!$E$13+1,1))</f>
        <v>314.94704727988847</v>
      </c>
      <c r="CZ8" s="59">
        <f t="shared" si="42"/>
        <v>366.49199094166454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2.7</v>
      </c>
      <c r="N9" s="13">
        <f>IF('Données projet'!$A$36&gt;35,N8+M9-V8,IF(A9&lt;'Données projet'!$A$36,$K$205^A9,IF(A9='Données projet'!$A$36,'Données projet'!$B$36,N8+M9-V8)))</f>
        <v>7.2246740558420726</v>
      </c>
      <c r="O9" s="13">
        <f>N9*VLOOKUP('Données projet'!$B$9,Paramètres!$A$1:$I$89,3,0)*VLOOKUP('Données projet'!$B$9,Paramètres!$A$1:$I$89,5,0)</f>
        <v>4.0385927972157187</v>
      </c>
      <c r="P9" s="13">
        <f t="shared" si="33"/>
        <v>1.5820381480274153</v>
      </c>
      <c r="Q9" s="20">
        <f t="shared" si="2"/>
        <v>9.7892655629651237</v>
      </c>
      <c r="R9" s="59">
        <f t="shared" si="0"/>
        <v>303.12259889629843</v>
      </c>
      <c r="S9" s="59">
        <f ca="1">AVERAGE(OFFSET($R$3,0,0,'Données projet'!$E$9+1,1))-AVERAGE(OFFSET($H$3,0,0,'Données projet'!$E$9+1,1))</f>
        <v>415.91544298418842</v>
      </c>
      <c r="T9" s="59">
        <f t="shared" si="34"/>
        <v>422.79312683312583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7.6</v>
      </c>
      <c r="AI9" s="13">
        <f>IF('Données projet'!$A$62&gt;35,AI8+AH9-AQ8,IF(A9&lt;'Données projet'!$A$62,$AF$205^A9,IF(A9='Données projet'!$A$62,'Données projet'!$B$62,AI8+AH9-AQ8)))</f>
        <v>4.5139118779136131</v>
      </c>
      <c r="AJ9" s="13">
        <f>AI9*VLOOKUP('Données projet'!$B$10,Paramètres!$A$1:$I$89,3,0)*VLOOKUP('Données projet'!$B$10,Paramètres!$A$1:$I$89,5,0)</f>
        <v>2.699319302992341</v>
      </c>
      <c r="AK9" s="13">
        <f t="shared" si="35"/>
        <v>1.1081749513026866</v>
      </c>
      <c r="AL9" s="20">
        <f t="shared" si="4"/>
        <v>6.6313858262305061</v>
      </c>
      <c r="AM9" s="59">
        <f t="shared" si="5"/>
        <v>299.9647191595638</v>
      </c>
      <c r="AN9" s="59">
        <f ca="1">AVERAGE(OFFSET($AM$3,0,0,'Données projet'!$E$10+1,1))-AVERAGE(OFFSET($H$3,0,0,'Données projet'!$E$10+1,1))</f>
        <v>311.06126148520821</v>
      </c>
      <c r="AO9" s="59">
        <f t="shared" si="36"/>
        <v>321.1728368524748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7.8</v>
      </c>
      <c r="BD9" s="12">
        <f>IF('Données projet'!$A$88&gt;35,BD8+BC9-BL8,IF(A9&lt;'Données projet'!$A$88,$BA$205^A9,IF(A9='Données projet'!$A$88,'Données projet'!$B$88,BD8+BC9-BL8)))</f>
        <v>4.5492246059919923</v>
      </c>
      <c r="BE9" s="13">
        <f>BD9*VLOOKUP('Données projet'!$B$11,Paramètres!$A$1:$I$89,3,0)*VLOOKUP('Données projet'!$B$11,Paramètres!$A$1:$I$89,5,0)</f>
        <v>2.1881770354821484</v>
      </c>
      <c r="BF9" s="13">
        <f t="shared" si="37"/>
        <v>0.9205532654152383</v>
      </c>
      <c r="BG9" s="20">
        <f t="shared" si="7"/>
        <v>5.4143719407296151</v>
      </c>
      <c r="BH9" s="59">
        <f t="shared" si="8"/>
        <v>298.74770527406292</v>
      </c>
      <c r="BI9" s="59">
        <f ca="1">AVERAGE(OFFSET($BH$3,0,0,'Données projet'!$E$11+1,1))-AVERAGE(OFFSET($H$3,0,0,'Données projet'!$E$11+1,1))</f>
        <v>371.85813103419366</v>
      </c>
      <c r="BJ9" s="59">
        <f t="shared" si="38"/>
        <v>370.01698880104584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5.0999999999999996</v>
      </c>
      <c r="BY9" s="12">
        <f>IF('Données projet'!$A$114&gt;35,BY8+BX9-CG8,IF(A9&lt;'Données projet'!$A$114,$BV$205^A9,IF(A9='Données projet'!$A$114,'Données projet'!$B$114,BY8+BX9-CG8)))</f>
        <v>10.581374994243513</v>
      </c>
      <c r="BZ9" s="13">
        <f>BY9*VLOOKUP('Données projet'!$B$12,Paramètres!$A$1:$I$89,3,0)*VLOOKUP('Données projet'!$B$12,Paramètres!$A$1:$I$89,5,0)</f>
        <v>5.7774307468569575</v>
      </c>
      <c r="CA9" s="13">
        <f t="shared" si="39"/>
        <v>2.1708053764218018</v>
      </c>
      <c r="CB9" s="20">
        <f t="shared" si="10"/>
        <v>13.843177914710504</v>
      </c>
      <c r="CC9" s="59">
        <f t="shared" si="11"/>
        <v>307.17651124804382</v>
      </c>
      <c r="CD9" s="59">
        <f ca="1">AVERAGE(OFFSET($CC$3,0,0,'Données projet'!$E$12+1,1))-AVERAGE(OFFSET($H$3,0,0,'Données projet'!$E$12+1,1))</f>
        <v>248.1486444660062</v>
      </c>
      <c r="CE9" s="59">
        <f t="shared" si="40"/>
        <v>293.34458072322127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1.9</v>
      </c>
      <c r="CT9" s="12">
        <f>IF('Données projet'!$A$140&gt;35,CT8+CS9-DB8,IF(A9&lt;'Données projet'!$A$140,$CQ$205^A9,IF(A9='Données projet'!$A$140,'Données projet'!$B$140,CT8+CS9-DB8)))</f>
        <v>5.8512972424092187</v>
      </c>
      <c r="CU9" s="17">
        <f>CT9*VLOOKUP('Données projet'!$B$13,Paramètres!$A$1:$I$89,3,0)*VLOOKUP('Données projet'!$B$13,Paramètres!$A$1:$I$89,5,0)</f>
        <v>4.6552920860607747</v>
      </c>
      <c r="CV9" s="13">
        <f t="shared" si="41"/>
        <v>1.7937006960002178</v>
      </c>
      <c r="CW9" s="20">
        <f t="shared" si="13"/>
        <v>11.231995762089561</v>
      </c>
      <c r="CX9" s="59">
        <f t="shared" si="14"/>
        <v>304.5653290954229</v>
      </c>
      <c r="CY9" s="59">
        <f ca="1">AVERAGE(OFFSET($CX$3,0,0,'Données projet'!$E$13+1,1))-AVERAGE(OFFSET($H$3,0,0,'Données projet'!$E$13+1,1))</f>
        <v>314.94704727988847</v>
      </c>
      <c r="CZ9" s="59">
        <f t="shared" si="42"/>
        <v>366.49199094166454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2.7</v>
      </c>
      <c r="N10" s="13">
        <f>IF('Données projet'!$A$36&gt;35,N9+M10-V9,IF(A10&lt;'Données projet'!$A$36,$K$205^A10,IF(A10='Données projet'!$A$36,'Données projet'!$B$36,N9+M10-V9)))</f>
        <v>10.045108566305135</v>
      </c>
      <c r="O10" s="13">
        <f>N10*VLOOKUP('Données projet'!$B$9,Paramètres!$A$1:$I$89,3,0)*VLOOKUP('Données projet'!$B$9,Paramètres!$A$1:$I$89,5,0)</f>
        <v>5.6152156885645708</v>
      </c>
      <c r="P10" s="13">
        <f t="shared" si="33"/>
        <v>2.1168605708837163</v>
      </c>
      <c r="Q10" s="20">
        <f t="shared" si="2"/>
        <v>13.466699485205766</v>
      </c>
      <c r="R10" s="59">
        <f t="shared" si="0"/>
        <v>306.80003281853908</v>
      </c>
      <c r="S10" s="59">
        <f ca="1">AVERAGE(OFFSET($R$3,0,0,'Données projet'!$E$9+1,1))-AVERAGE(OFFSET($H$3,0,0,'Données projet'!$E$9+1,1))</f>
        <v>415.91544298418842</v>
      </c>
      <c r="T10" s="59">
        <f t="shared" si="34"/>
        <v>422.79312683312583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7.6</v>
      </c>
      <c r="AI10" s="13">
        <f>IF('Données projet'!$A$62&gt;35,AI9+AH10-AQ9,IF(A10&lt;'Données projet'!$A$62,$AF$205^A10,IF(A10='Données projet'!$A$62,'Données projet'!$B$62,AI9+AH10-AQ9)))</f>
        <v>5.8029022614031742</v>
      </c>
      <c r="AJ10" s="13">
        <f>AI10*VLOOKUP('Données projet'!$B$10,Paramètres!$A$1:$I$89,3,0)*VLOOKUP('Données projet'!$B$10,Paramètres!$A$1:$I$89,5,0)</f>
        <v>3.4701355523190984</v>
      </c>
      <c r="AK10" s="13">
        <f t="shared" si="35"/>
        <v>1.3835733209600647</v>
      </c>
      <c r="AL10" s="20">
        <f t="shared" si="4"/>
        <v>8.4535429542945408</v>
      </c>
      <c r="AM10" s="59">
        <f t="shared" si="5"/>
        <v>301.78687628762788</v>
      </c>
      <c r="AN10" s="59">
        <f ca="1">AVERAGE(OFFSET($AM$3,0,0,'Données projet'!$E$10+1,1))-AVERAGE(OFFSET($H$3,0,0,'Données projet'!$E$10+1,1))</f>
        <v>311.06126148520821</v>
      </c>
      <c r="AO10" s="59">
        <f t="shared" si="36"/>
        <v>321.1728368524748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7.8</v>
      </c>
      <c r="BD10" s="12">
        <f>IF('Données projet'!$A$88&gt;35,BD9+BC10-BL9,IF(A10&lt;'Données projet'!$A$88,$BA$205^A10,IF(A10='Données projet'!$A$88,'Données projet'!$B$88,BD9+BC10-BL9)))</f>
        <v>5.8558994292070965</v>
      </c>
      <c r="BE10" s="13">
        <f>BD10*VLOOKUP('Données projet'!$B$11,Paramètres!$A$1:$I$89,3,0)*VLOOKUP('Données projet'!$B$11,Paramètres!$A$1:$I$89,5,0)</f>
        <v>2.8166876254486133</v>
      </c>
      <c r="BF10" s="13">
        <f t="shared" si="37"/>
        <v>1.1506445045864473</v>
      </c>
      <c r="BG10" s="20">
        <f t="shared" si="7"/>
        <v>6.9097701264777305</v>
      </c>
      <c r="BH10" s="59">
        <f t="shared" si="8"/>
        <v>300.24310345981104</v>
      </c>
      <c r="BI10" s="59">
        <f ca="1">AVERAGE(OFFSET($BH$3,0,0,'Données projet'!$E$11+1,1))-AVERAGE(OFFSET($H$3,0,0,'Données projet'!$E$11+1,1))</f>
        <v>371.85813103419366</v>
      </c>
      <c r="BJ10" s="59">
        <f t="shared" si="38"/>
        <v>370.01698880104584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5.0999999999999996</v>
      </c>
      <c r="BY10" s="12">
        <f>IF('Données projet'!$A$114&gt;35,BY9+BX10-CG9,IF(A10&lt;'Données projet'!$A$114,$BV$205^A10,IF(A10='Données projet'!$A$114,'Données projet'!$B$114,BY9+BX10-CG9)))</f>
        <v>15.678305522365584</v>
      </c>
      <c r="BZ10" s="13">
        <f>BY10*VLOOKUP('Données projet'!$B$12,Paramètres!$A$1:$I$89,3,0)*VLOOKUP('Données projet'!$B$12,Paramètres!$A$1:$I$89,5,0)</f>
        <v>8.5603548152116087</v>
      </c>
      <c r="CA10" s="13">
        <f t="shared" si="39"/>
        <v>3.0725700241611493</v>
      </c>
      <c r="CB10" s="20">
        <f t="shared" si="10"/>
        <v>20.260677428574223</v>
      </c>
      <c r="CC10" s="59">
        <f t="shared" si="11"/>
        <v>313.59401076190755</v>
      </c>
      <c r="CD10" s="59">
        <f ca="1">AVERAGE(OFFSET($CC$3,0,0,'Données projet'!$E$12+1,1))-AVERAGE(OFFSET($H$3,0,0,'Données projet'!$E$12+1,1))</f>
        <v>248.1486444660062</v>
      </c>
      <c r="CE10" s="59">
        <f t="shared" si="40"/>
        <v>293.34458072322127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1.9</v>
      </c>
      <c r="CT10" s="12">
        <f>IF('Données projet'!$A$140&gt;35,CT9+CS10-DB9,IF(A10&lt;'Données projet'!$A$140,$CQ$205^A10,IF(A10='Données projet'!$A$140,'Données projet'!$B$140,CT9+CS10-DB9)))</f>
        <v>7.8546623499408135</v>
      </c>
      <c r="CU10" s="17">
        <f>CT10*VLOOKUP('Données projet'!$B$13,Paramètres!$A$1:$I$89,3,0)*VLOOKUP('Données projet'!$B$13,Paramètres!$A$1:$I$89,5,0)</f>
        <v>6.2491693656129108</v>
      </c>
      <c r="CV10" s="13">
        <f t="shared" si="41"/>
        <v>2.326701366112224</v>
      </c>
      <c r="CW10" s="20">
        <f t="shared" si="13"/>
        <v>14.936308191087944</v>
      </c>
      <c r="CX10" s="59">
        <f t="shared" si="14"/>
        <v>308.26964152442127</v>
      </c>
      <c r="CY10" s="59">
        <f ca="1">AVERAGE(OFFSET($CX$3,0,0,'Données projet'!$E$13+1,1))-AVERAGE(OFFSET($H$3,0,0,'Données projet'!$E$13+1,1))</f>
        <v>314.94704727988847</v>
      </c>
      <c r="CZ10" s="59">
        <f t="shared" si="42"/>
        <v>366.49199094166454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2.7</v>
      </c>
      <c r="N11" s="13">
        <f>IF('Données projet'!$A$36&gt;35,N10+M11-V10,IF(A11&lt;'Données projet'!$A$36,$K$205^A11,IF(A11='Données projet'!$A$36,'Données projet'!$B$36,N10+M11-V10)))</f>
        <v>13.96661016523823</v>
      </c>
      <c r="O11" s="13">
        <f>N11*VLOOKUP('Données projet'!$B$9,Paramètres!$A$1:$I$89,3,0)*VLOOKUP('Données projet'!$B$9,Paramètres!$A$1:$I$89,5,0)</f>
        <v>7.8073350823681702</v>
      </c>
      <c r="P11" s="13">
        <f t="shared" si="33"/>
        <v>2.8324845909369802</v>
      </c>
      <c r="Q11" s="20">
        <f t="shared" si="2"/>
        <v>18.531019264339804</v>
      </c>
      <c r="R11" s="59">
        <f t="shared" si="0"/>
        <v>311.86435259767313</v>
      </c>
      <c r="S11" s="59">
        <f ca="1">AVERAGE(OFFSET($R$3,0,0,'Données projet'!$E$9+1,1))-AVERAGE(OFFSET($H$3,0,0,'Données projet'!$E$9+1,1))</f>
        <v>415.91544298418842</v>
      </c>
      <c r="T11" s="59">
        <f t="shared" si="34"/>
        <v>422.79312683312583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7.6</v>
      </c>
      <c r="AI11" s="13">
        <f>IF('Données projet'!$A$62&gt;35,AI10+AH11-AQ10,IF(A11&lt;'Données projet'!$A$62,$AF$205^A11,IF(A11='Données projet'!$A$62,'Données projet'!$B$62,AI10+AH11-AQ10)))</f>
        <v>7.4599760841947296</v>
      </c>
      <c r="AJ11" s="13">
        <f>AI11*VLOOKUP('Données projet'!$B$10,Paramètres!$A$1:$I$89,3,0)*VLOOKUP('Données projet'!$B$10,Paramètres!$A$1:$I$89,5,0)</f>
        <v>4.461065698348448</v>
      </c>
      <c r="AK11" s="13">
        <f t="shared" si="35"/>
        <v>1.7274123839581328</v>
      </c>
      <c r="AL11" s="20">
        <f t="shared" si="4"/>
        <v>10.77826599335063</v>
      </c>
      <c r="AM11" s="59">
        <f t="shared" si="5"/>
        <v>304.11159932668397</v>
      </c>
      <c r="AN11" s="59">
        <f ca="1">AVERAGE(OFFSET($AM$3,0,0,'Données projet'!$E$10+1,1))-AVERAGE(OFFSET($H$3,0,0,'Données projet'!$E$10+1,1))</f>
        <v>311.06126148520821</v>
      </c>
      <c r="AO11" s="59">
        <f t="shared" si="36"/>
        <v>321.1728368524748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7.8</v>
      </c>
      <c r="BD11" s="12">
        <f>IF('Données projet'!$A$88&gt;35,BD10+BC11-BL10,IF(A11&lt;'Données projet'!$A$88,$BA$205^A11,IF(A11='Données projet'!$A$88,'Données projet'!$B$88,BD10+BC11-BL10)))</f>
        <v>7.5378907605091667</v>
      </c>
      <c r="BE11" s="13">
        <f>BD11*VLOOKUP('Données projet'!$B$11,Paramètres!$A$1:$I$89,3,0)*VLOOKUP('Données projet'!$B$11,Paramètres!$A$1:$I$89,5,0)</f>
        <v>3.6257254558049095</v>
      </c>
      <c r="BF11" s="13">
        <f t="shared" si="37"/>
        <v>1.4382467866623401</v>
      </c>
      <c r="BG11" s="20">
        <f t="shared" si="7"/>
        <v>8.8197516556304585</v>
      </c>
      <c r="BH11" s="59">
        <f t="shared" si="8"/>
        <v>302.15308498896377</v>
      </c>
      <c r="BI11" s="59">
        <f ca="1">AVERAGE(OFFSET($BH$3,0,0,'Données projet'!$E$11+1,1))-AVERAGE(OFFSET($H$3,0,0,'Données projet'!$E$11+1,1))</f>
        <v>371.85813103419366</v>
      </c>
      <c r="BJ11" s="59">
        <f t="shared" si="38"/>
        <v>370.01698880104584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5.0999999999999996</v>
      </c>
      <c r="BY11" s="12">
        <f>IF('Données projet'!$A$114&gt;35,BY10+BX11-CG10,IF(A11&lt;'Données projet'!$A$114,$BV$205^A11,IF(A11='Données projet'!$A$114,'Données projet'!$B$114,BY10+BX11-CG10)))</f>
        <v>23.230370739754001</v>
      </c>
      <c r="BZ11" s="13">
        <f>BY11*VLOOKUP('Données projet'!$B$12,Paramètres!$A$1:$I$89,3,0)*VLOOKUP('Données projet'!$B$12,Paramètres!$A$1:$I$89,5,0)</f>
        <v>12.683782423905685</v>
      </c>
      <c r="CA11" s="13">
        <f t="shared" si="39"/>
        <v>4.348932730641649</v>
      </c>
      <c r="CB11" s="20">
        <f t="shared" si="10"/>
        <v>29.665312227503268</v>
      </c>
      <c r="CC11" s="59">
        <f t="shared" si="11"/>
        <v>322.99864556083656</v>
      </c>
      <c r="CD11" s="59">
        <f ca="1">AVERAGE(OFFSET($CC$3,0,0,'Données projet'!$E$12+1,1))-AVERAGE(OFFSET($H$3,0,0,'Données projet'!$E$12+1,1))</f>
        <v>248.1486444660062</v>
      </c>
      <c r="CE11" s="59">
        <f t="shared" si="40"/>
        <v>293.34458072322127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1.9</v>
      </c>
      <c r="CT11" s="12">
        <f>IF('Données projet'!$A$140&gt;35,CT10+CS11-DB10,IF(A11&lt;'Données projet'!$A$140,$CQ$205^A11,IF(A11='Données projet'!$A$140,'Données projet'!$B$140,CT10+CS11-DB10)))</f>
        <v>10.543938903738736</v>
      </c>
      <c r="CU11" s="17">
        <f>CT11*VLOOKUP('Données projet'!$B$13,Paramètres!$A$1:$I$89,3,0)*VLOOKUP('Données projet'!$B$13,Paramètres!$A$1:$I$89,5,0)</f>
        <v>8.3887577918145393</v>
      </c>
      <c r="CV11" s="13">
        <f t="shared" si="41"/>
        <v>3.0180839306915423</v>
      </c>
      <c r="CW11" s="20">
        <f t="shared" si="13"/>
        <v>19.866916000031427</v>
      </c>
      <c r="CX11" s="59">
        <f t="shared" si="14"/>
        <v>313.20024933336475</v>
      </c>
      <c r="CY11" s="59">
        <f ca="1">AVERAGE(OFFSET($CX$3,0,0,'Données projet'!$E$13+1,1))-AVERAGE(OFFSET($H$3,0,0,'Données projet'!$E$13+1,1))</f>
        <v>314.94704727988847</v>
      </c>
      <c r="CZ11" s="59">
        <f t="shared" si="42"/>
        <v>366.49199094166454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2.7</v>
      </c>
      <c r="N12" s="13">
        <f>IF('Données projet'!$A$36&gt;35,N11+M12-V11,IF(A12&lt;'Données projet'!$A$36,$K$205^A12,IF(A12='Données projet'!$A$36,'Données projet'!$B$36,N11+M12-V11)))</f>
        <v>19.419023519771326</v>
      </c>
      <c r="O12" s="13">
        <f>N12*VLOOKUP('Données projet'!$B$9,Paramètres!$A$1:$I$89,3,0)*VLOOKUP('Données projet'!$B$9,Paramètres!$A$1:$I$89,5,0)</f>
        <v>10.855234147552173</v>
      </c>
      <c r="P12" s="13">
        <f t="shared" si="33"/>
        <v>3.790031836884808</v>
      </c>
      <c r="Q12" s="20">
        <f t="shared" si="2"/>
        <v>25.507171589561072</v>
      </c>
      <c r="R12" s="59">
        <f t="shared" si="0"/>
        <v>318.84050492289441</v>
      </c>
      <c r="S12" s="59">
        <f ca="1">AVERAGE(OFFSET($R$3,0,0,'Données projet'!$E$9+1,1))-AVERAGE(OFFSET($H$3,0,0,'Données projet'!$E$9+1,1))</f>
        <v>415.91544298418842</v>
      </c>
      <c r="T12" s="59">
        <f t="shared" si="34"/>
        <v>422.79312683312583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7.6</v>
      </c>
      <c r="AI12" s="13">
        <f>IF('Données projet'!$A$62&gt;35,AI11+AH12-AQ11,IF(A12&lt;'Données projet'!$A$62,$AF$205^A12,IF(A12='Données projet'!$A$62,'Données projet'!$B$62,AI11+AH12-AQ11)))</f>
        <v>9.5902430662860318</v>
      </c>
      <c r="AJ12" s="13">
        <f>AI12*VLOOKUP('Données projet'!$B$10,Paramètres!$A$1:$I$89,3,0)*VLOOKUP('Données projet'!$B$10,Paramètres!$A$1:$I$89,5,0)</f>
        <v>5.7349653536390477</v>
      </c>
      <c r="AK12" s="13">
        <f t="shared" si="35"/>
        <v>2.1567006959785462</v>
      </c>
      <c r="AL12" s="20">
        <f t="shared" si="4"/>
        <v>13.744651703083976</v>
      </c>
      <c r="AM12" s="59">
        <f t="shared" si="5"/>
        <v>307.07798503641732</v>
      </c>
      <c r="AN12" s="59">
        <f ca="1">AVERAGE(OFFSET($AM$3,0,0,'Données projet'!$E$10+1,1))-AVERAGE(OFFSET($H$3,0,0,'Données projet'!$E$10+1,1))</f>
        <v>311.06126148520821</v>
      </c>
      <c r="AO12" s="59">
        <f t="shared" si="36"/>
        <v>321.1728368524748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7.8</v>
      </c>
      <c r="BD12" s="12">
        <f>IF('Données projet'!$A$88&gt;35,BD11+BC12-BL11,IF(A12&lt;'Données projet'!$A$88,$BA$205^A12,IF(A12='Données projet'!$A$88,'Données projet'!$B$88,BD11+BC12-BL11)))</f>
        <v>9.7030008462872477</v>
      </c>
      <c r="BE12" s="13">
        <f>BD12*VLOOKUP('Données projet'!$B$11,Paramètres!$A$1:$I$89,3,0)*VLOOKUP('Données projet'!$B$11,Paramètres!$A$1:$I$89,5,0)</f>
        <v>4.6671434070641657</v>
      </c>
      <c r="BF12" s="13">
        <f t="shared" si="37"/>
        <v>1.797734931248818</v>
      </c>
      <c r="BG12" s="20">
        <f t="shared" si="7"/>
        <v>11.259663105895113</v>
      </c>
      <c r="BH12" s="59">
        <f t="shared" si="8"/>
        <v>304.59299643922844</v>
      </c>
      <c r="BI12" s="59">
        <f ca="1">AVERAGE(OFFSET($BH$3,0,0,'Données projet'!$E$11+1,1))-AVERAGE(OFFSET($H$3,0,0,'Données projet'!$E$11+1,1))</f>
        <v>371.85813103419366</v>
      </c>
      <c r="BJ12" s="59">
        <f t="shared" si="38"/>
        <v>370.01698880104584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5.0999999999999996</v>
      </c>
      <c r="BY12" s="12">
        <f>IF('Données projet'!$A$114&gt;35,BY11+BX12-CG11,IF(A12&lt;'Données projet'!$A$114,$BV$205^A12,IF(A12='Données projet'!$A$114,'Données projet'!$B$114,BY11+BX12-CG11)))</f>
        <v>34.420181692249294</v>
      </c>
      <c r="BZ12" s="13">
        <f>BY12*VLOOKUP('Données projet'!$B$12,Paramètres!$A$1:$I$89,3,0)*VLOOKUP('Données projet'!$B$12,Paramètres!$A$1:$I$89,5,0)</f>
        <v>18.793419203968114</v>
      </c>
      <c r="CA12" s="13">
        <f t="shared" si="39"/>
        <v>6.1555036164911439</v>
      </c>
      <c r="CB12" s="20">
        <f t="shared" si="10"/>
        <v>43.452707245633206</v>
      </c>
      <c r="CC12" s="59">
        <f t="shared" si="11"/>
        <v>336.78604057896655</v>
      </c>
      <c r="CD12" s="59">
        <f ca="1">AVERAGE(OFFSET($CC$3,0,0,'Données projet'!$E$12+1,1))-AVERAGE(OFFSET($H$3,0,0,'Données projet'!$E$12+1,1))</f>
        <v>248.1486444660062</v>
      </c>
      <c r="CE12" s="59">
        <f t="shared" si="40"/>
        <v>293.34458072322127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1.9</v>
      </c>
      <c r="CT12" s="12">
        <f>IF('Données projet'!$A$140&gt;35,CT11+CS12-DB11,IF(A12&lt;'Données projet'!$A$140,$CQ$205^A12,IF(A12='Données projet'!$A$140,'Données projet'!$B$140,CT11+CS12-DB11)))</f>
        <v>14.153969025366564</v>
      </c>
      <c r="CU12" s="17">
        <f>CT12*VLOOKUP('Données projet'!$B$13,Paramètres!$A$1:$I$89,3,0)*VLOOKUP('Données projet'!$B$13,Paramètres!$A$1:$I$89,5,0)</f>
        <v>11.260897756581638</v>
      </c>
      <c r="CV12" s="13">
        <f t="shared" si="41"/>
        <v>3.9149117911590028</v>
      </c>
      <c r="CW12" s="20">
        <f t="shared" si="13"/>
        <v>26.431201628981615</v>
      </c>
      <c r="CX12" s="59">
        <f t="shared" si="14"/>
        <v>319.76453496231494</v>
      </c>
      <c r="CY12" s="59">
        <f ca="1">AVERAGE(OFFSET($CX$3,0,0,'Données projet'!$E$13+1,1))-AVERAGE(OFFSET($H$3,0,0,'Données projet'!$E$13+1,1))</f>
        <v>314.94704727988847</v>
      </c>
      <c r="CZ12" s="59">
        <f t="shared" si="42"/>
        <v>366.49199094166454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>
        <f>VLOOKUP(A13,'Données projet'!$A$35:$I$55,2,0)</f>
        <v>27</v>
      </c>
      <c r="L13" s="12">
        <f>VLOOKUP(A13,'Données projet'!$A$35:$I$55,9,0)</f>
        <v>2.7</v>
      </c>
      <c r="M13" s="12">
        <f t="array" ref="M13">INDEX(L:L,MIN(IF(ISNUMBER(L13:L209),ROW(L13:L209),"")))</f>
        <v>2.7</v>
      </c>
      <c r="N13" s="13">
        <f>IF('Données projet'!$A$36&gt;35,N12+M13-V12,IF(A13&lt;'Données projet'!$A$36,$K$205^A13,IF(A13='Données projet'!$A$36,'Données projet'!$B$36,N12+M13-V12)))</f>
        <v>27</v>
      </c>
      <c r="O13" s="13">
        <f>N13*VLOOKUP('Données projet'!$B$9,Paramètres!$A$1:$I$89,3,0)*VLOOKUP('Données projet'!$B$9,Paramètres!$A$1:$I$89,5,0)</f>
        <v>15.093</v>
      </c>
      <c r="P13" s="13">
        <f t="shared" si="33"/>
        <v>5.0712866613861207</v>
      </c>
      <c r="Q13" s="20">
        <f t="shared" si="2"/>
        <v>35.11946593524749</v>
      </c>
      <c r="R13" s="59">
        <f t="shared" si="0"/>
        <v>328.4527992685808</v>
      </c>
      <c r="S13" s="59">
        <f ca="1">AVERAGE(OFFSET($R$3,0,0,'Données projet'!$E$9+1,1))-AVERAGE(OFFSET($H$3,0,0,'Données projet'!$E$9+1,1))</f>
        <v>415.91544298418842</v>
      </c>
      <c r="T13" s="59">
        <f t="shared" si="34"/>
        <v>422.79312683312583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7.6</v>
      </c>
      <c r="AI13" s="13">
        <f>IF('Données projet'!$A$62&gt;35,AI12+AH13-AQ12,IF(A13&lt;'Données projet'!$A$62,$AF$205^A13,IF(A13='Données projet'!$A$62,'Données projet'!$B$62,AI12+AH13-AQ12)))</f>
        <v>12.328828005937952</v>
      </c>
      <c r="AJ13" s="13">
        <f>AI13*VLOOKUP('Données projet'!$B$10,Paramètres!$A$1:$I$89,3,0)*VLOOKUP('Données projet'!$B$10,Paramètres!$A$1:$I$89,5,0)</f>
        <v>7.3726391475508954</v>
      </c>
      <c r="AK13" s="13">
        <f t="shared" si="35"/>
        <v>2.6926736980873009</v>
      </c>
      <c r="AL13" s="20">
        <f t="shared" si="4"/>
        <v>17.530419872819859</v>
      </c>
      <c r="AM13" s="59">
        <f t="shared" si="5"/>
        <v>310.86375320615315</v>
      </c>
      <c r="AN13" s="59">
        <f ca="1">AVERAGE(OFFSET($AM$3,0,0,'Données projet'!$E$10+1,1))-AVERAGE(OFFSET($H$3,0,0,'Données projet'!$E$10+1,1))</f>
        <v>311.06126148520821</v>
      </c>
      <c r="AO13" s="59">
        <f t="shared" si="36"/>
        <v>321.1728368524748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7.8</v>
      </c>
      <c r="BD13" s="12">
        <f>IF('Données projet'!$A$88&gt;35,BD12+BC13-BL12,IF(A13&lt;'Données projet'!$A$88,$BA$205^A13,IF(A13='Données projet'!$A$88,'Données projet'!$B$88,BD12+BC13-BL12)))</f>
        <v>12.489995996796797</v>
      </c>
      <c r="BE13" s="13">
        <f>BD13*VLOOKUP('Données projet'!$B$11,Paramètres!$A$1:$I$89,3,0)*VLOOKUP('Données projet'!$B$11,Paramètres!$A$1:$I$89,5,0)</f>
        <v>6.0076880744592591</v>
      </c>
      <c r="BF13" s="13">
        <f t="shared" si="37"/>
        <v>2.247076727723599</v>
      </c>
      <c r="BG13" s="20">
        <f t="shared" si="7"/>
        <v>14.377048697135145</v>
      </c>
      <c r="BH13" s="59">
        <f t="shared" si="8"/>
        <v>307.71038203046845</v>
      </c>
      <c r="BI13" s="59">
        <f ca="1">AVERAGE(OFFSET($BH$3,0,0,'Données projet'!$E$11+1,1))-AVERAGE(OFFSET($H$3,0,0,'Données projet'!$E$11+1,1))</f>
        <v>371.85813103419366</v>
      </c>
      <c r="BJ13" s="59">
        <f t="shared" si="38"/>
        <v>370.01698880104584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>
        <f>VLOOKUP(A13,'Données projet'!$A$113:$I$133,2,0)</f>
        <v>51</v>
      </c>
      <c r="BW13" s="12">
        <f>VLOOKUP(A13,'Données projet'!$A$113:$I$133,9,0)</f>
        <v>5.0999999999999996</v>
      </c>
      <c r="BX13" s="12">
        <f t="array" ref="BX13">INDEX(BW:BW,MIN(IF(ISNUMBER(BW13:BW209),ROW(BW13:BW209),"")))</f>
        <v>5.0999999999999996</v>
      </c>
      <c r="BY13" s="12">
        <f>IF('Données projet'!$A$114&gt;35,BY12+BX13-CG12,IF(A13&lt;'Données projet'!$A$114,$BV$205^A13,IF(A13='Données projet'!$A$114,'Données projet'!$B$114,BY12+BX13-CG12)))</f>
        <v>51</v>
      </c>
      <c r="BZ13" s="13">
        <f>BY13*VLOOKUP('Données projet'!$B$12,Paramètres!$A$1:$I$89,3,0)*VLOOKUP('Données projet'!$B$12,Paramètres!$A$1:$I$89,5,0)</f>
        <v>27.846</v>
      </c>
      <c r="CA13" s="13">
        <f t="shared" si="39"/>
        <v>8.7125341134088217</v>
      </c>
      <c r="CB13" s="20">
        <f t="shared" si="10"/>
        <v>63.672780247520365</v>
      </c>
      <c r="CC13" s="59">
        <f t="shared" si="11"/>
        <v>357.00611358085371</v>
      </c>
      <c r="CD13" s="59">
        <f ca="1">AVERAGE(OFFSET($CC$3,0,0,'Données projet'!$E$12+1,1))-AVERAGE(OFFSET($H$3,0,0,'Données projet'!$E$12+1,1))</f>
        <v>248.1486444660062</v>
      </c>
      <c r="CE13" s="59">
        <f t="shared" si="40"/>
        <v>293.34458072322127</v>
      </c>
      <c r="CF13" s="15">
        <f>IF(ISNA(VLOOKUP(A13,'Données projet'!$A$113:$I$133,3,0)),0,VLOOKUP(A13,'Données projet'!$A$113:$I$133,3,0))</f>
        <v>1</v>
      </c>
      <c r="CG13" s="15">
        <f>IF(ISNA(VLOOKUP(A13,'Données projet'!$A$113:$I$133,4,0)),0,VLOOKUP(A13,'Données projet'!$A$113:$I$133,4,0))</f>
        <v>8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0.3</v>
      </c>
      <c r="CJ13" s="16">
        <f>IF(ISNA(VLOOKUP(A13,'Données projet'!$A$113:$I$133,7,0)),0%,VLOOKUP(A13,'Données projet'!$A$113:$I$133,7,0))</f>
        <v>0.5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1.7314855945965917</v>
      </c>
      <c r="CM13" s="21">
        <f>EXP(-LN(2)/2)*CM12+(1-EXP(-LN(2)/2))/(LN(2)/2)*CG13*CJ13*VLOOKUP('Données projet'!$B$12,Paramètres!$A$1:$I$89,3,0)*0.475*44/12</f>
        <v>2.4727953377978014</v>
      </c>
      <c r="CN13" s="22">
        <f t="shared" si="12"/>
        <v>4.2042809323943935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>
        <f>VLOOKUP(A13,'Données projet'!$A$139:$I$159,2,0)</f>
        <v>19</v>
      </c>
      <c r="CR13" s="12">
        <f>VLOOKUP(A13,'Données projet'!$A$139:$I$159,9,0)</f>
        <v>1.9</v>
      </c>
      <c r="CS13" s="12">
        <f t="array" ref="CS13">INDEX(CR:CR,MIN(IF(ISNUMBER(CR13:CR209),ROW(CR13:CR209),"")))</f>
        <v>1.9</v>
      </c>
      <c r="CT13" s="12">
        <f>IF('Données projet'!$A$140&gt;35,CT12+CS13-DB12,IF(A13&lt;'Données projet'!$A$140,$CQ$205^A13,IF(A13='Données projet'!$A$140,'Données projet'!$B$140,CT12+CS13-DB12)))</f>
        <v>19</v>
      </c>
      <c r="CU13" s="17">
        <f>CT13*VLOOKUP('Données projet'!$B$13,Paramètres!$A$1:$I$89,3,0)*VLOOKUP('Données projet'!$B$13,Paramètres!$A$1:$I$89,5,0)</f>
        <v>15.116400000000001</v>
      </c>
      <c r="CV13" s="13">
        <f t="shared" si="41"/>
        <v>5.0782333044806913</v>
      </c>
      <c r="CW13" s="20">
        <f t="shared" si="13"/>
        <v>35.172319671970541</v>
      </c>
      <c r="CX13" s="59">
        <f t="shared" si="14"/>
        <v>328.50565300530388</v>
      </c>
      <c r="CY13" s="59">
        <f ca="1">AVERAGE(OFFSET($CX$3,0,0,'Données projet'!$E$13+1,1))-AVERAGE(OFFSET($H$3,0,0,'Données projet'!$E$13+1,1))</f>
        <v>314.94704727988847</v>
      </c>
      <c r="CZ13" s="59">
        <f t="shared" si="42"/>
        <v>366.49199094166454</v>
      </c>
      <c r="DA13" s="15">
        <f>IF(ISNA(VLOOKUP(A13,'Données projet'!$A$139:$I$159,3,0)),0,VLOOKUP(A13,'Données projet'!$A$139:$I$159,3,0))</f>
        <v>1</v>
      </c>
      <c r="DB13" s="15">
        <f>IF(ISNA(VLOOKUP(A13,'Données projet'!$A$139:$I$159,4,0)),0,VLOOKUP(A13,'Données projet'!$A$139:$I$159,4,0))</f>
        <v>7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0.13250000000000001</v>
      </c>
      <c r="DE13" s="16">
        <f>IF(ISNA(VLOOKUP(A13,'Données projet'!$A$139:$I$159,7,0)),0%,VLOOKUP(A13,'Données projet'!$A$139:$I$159,7,0))</f>
        <v>0.25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0.81253568788100472</v>
      </c>
      <c r="DH13" s="21">
        <f>EXP(-LN(2)/2)*DH12+(1-EXP(-LN(2)/2))/(LN(2)/2)*DB13*DE13*VLOOKUP('Données projet'!$B$13,Paramètres!$A$1:$I$89,3,0)*0.475*44/12</f>
        <v>1.3136725232050821</v>
      </c>
      <c r="DI13" s="22">
        <f t="shared" si="15"/>
        <v>2.1262082110860869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20.100000000000001</v>
      </c>
      <c r="N14" s="13">
        <f>IF('Données projet'!$A$36&gt;35,N13+M14-V13,IF(A14&lt;'Données projet'!$A$36,$K$205^A14,IF(A14='Données projet'!$A$36,'Données projet'!$B$36,N13+M14-V13)))</f>
        <v>47.1</v>
      </c>
      <c r="O14" s="13">
        <f>N14*VLOOKUP('Données projet'!$B$9,Paramètres!$A$1:$I$89,3,0)*VLOOKUP('Données projet'!$B$9,Paramètres!$A$1:$I$89,5,0)</f>
        <v>26.328900000000001</v>
      </c>
      <c r="P14" s="13">
        <f t="shared" si="33"/>
        <v>8.2917540554735094</v>
      </c>
      <c r="Q14" s="20">
        <f t="shared" si="2"/>
        <v>60.297639146616369</v>
      </c>
      <c r="R14" s="59">
        <f t="shared" si="0"/>
        <v>353.63097247994966</v>
      </c>
      <c r="S14" s="59">
        <f ca="1">AVERAGE(OFFSET($R$3,0,0,'Données projet'!$E$9+1,1))-AVERAGE(OFFSET($H$3,0,0,'Données projet'!$E$9+1,1))</f>
        <v>415.91544298418842</v>
      </c>
      <c r="T14" s="59">
        <f t="shared" si="34"/>
        <v>422.79312683312583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7.6</v>
      </c>
      <c r="AI14" s="13">
        <f>IF('Données projet'!$A$62&gt;35,AI13+AH14-AQ13,IF(A14&lt;'Données projet'!$A$62,$AF$205^A14,IF(A14='Données projet'!$A$62,'Données projet'!$B$62,AI13+AH14-AQ13)))</f>
        <v>15.849441870180282</v>
      </c>
      <c r="AJ14" s="13">
        <f>AI14*VLOOKUP('Données projet'!$B$10,Paramètres!$A$1:$I$89,3,0)*VLOOKUP('Données projet'!$B$10,Paramètres!$A$1:$I$89,5,0)</f>
        <v>9.4779662383678094</v>
      </c>
      <c r="AK14" s="13">
        <f t="shared" si="35"/>
        <v>3.3618441621921122</v>
      </c>
      <c r="AL14" s="20">
        <f t="shared" si="4"/>
        <v>22.362669780975192</v>
      </c>
      <c r="AM14" s="59">
        <f t="shared" si="5"/>
        <v>315.6960031143085</v>
      </c>
      <c r="AN14" s="59">
        <f ca="1">AVERAGE(OFFSET($AM$3,0,0,'Données projet'!$E$10+1,1))-AVERAGE(OFFSET($H$3,0,0,'Données projet'!$E$10+1,1))</f>
        <v>311.06126148520821</v>
      </c>
      <c r="AO14" s="59">
        <f t="shared" si="36"/>
        <v>321.1728368524748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7.8</v>
      </c>
      <c r="BD14" s="12">
        <f>IF('Données projet'!$A$88&gt;35,BD13+BC14-BL13,IF(A14&lt;'Données projet'!$A$88,$BA$205^A14,IF(A14='Données projet'!$A$88,'Données projet'!$B$88,BD13+BC14-BL13)))</f>
        <v>16.077500401300263</v>
      </c>
      <c r="BE14" s="13">
        <f>BD14*VLOOKUP('Données projet'!$B$11,Paramètres!$A$1:$I$89,3,0)*VLOOKUP('Données projet'!$B$11,Paramètres!$A$1:$I$89,5,0)</f>
        <v>7.7332776930254266</v>
      </c>
      <c r="BF14" s="13">
        <f t="shared" si="37"/>
        <v>2.8087309939343528</v>
      </c>
      <c r="BG14" s="20">
        <f t="shared" si="7"/>
        <v>18.360665129788281</v>
      </c>
      <c r="BH14" s="59">
        <f t="shared" si="8"/>
        <v>311.6939984631216</v>
      </c>
      <c r="BI14" s="59">
        <f ca="1">AVERAGE(OFFSET($BH$3,0,0,'Données projet'!$E$11+1,1))-AVERAGE(OFFSET($H$3,0,0,'Données projet'!$E$11+1,1))</f>
        <v>371.85813103419366</v>
      </c>
      <c r="BJ14" s="59">
        <f t="shared" si="38"/>
        <v>370.01698880104584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16.7</v>
      </c>
      <c r="BY14" s="12">
        <f>IF('Données projet'!$A$114&gt;35,BY13+BX14-CG13,IF(A14&lt;'Données projet'!$A$114,$BV$205^A14,IF(A14='Données projet'!$A$114,'Données projet'!$B$114,BY13+BX14-CG13)))</f>
        <v>59.7</v>
      </c>
      <c r="BZ14" s="13">
        <f>BY14*VLOOKUP('Données projet'!$B$12,Paramètres!$A$1:$I$89,3,0)*VLOOKUP('Données projet'!$B$12,Paramètres!$A$1:$I$89,5,0)</f>
        <v>32.596200000000003</v>
      </c>
      <c r="CA14" s="13">
        <f t="shared" si="39"/>
        <v>10.013511546777837</v>
      </c>
      <c r="CB14" s="20">
        <f t="shared" si="10"/>
        <v>74.211914277304729</v>
      </c>
      <c r="CC14" s="59">
        <f t="shared" si="11"/>
        <v>367.54524761063806</v>
      </c>
      <c r="CD14" s="59">
        <f ca="1">AVERAGE(OFFSET($CC$3,0,0,'Données projet'!$E$12+1,1))-AVERAGE(OFFSET($H$3,0,0,'Données projet'!$E$12+1,1))</f>
        <v>248.1486444660062</v>
      </c>
      <c r="CE14" s="59">
        <f t="shared" si="40"/>
        <v>293.34458072322127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1.6841380299574777</v>
      </c>
      <c r="CM14" s="21">
        <f>EXP(-LN(2)/2)*CM13+(1-EXP(-LN(2)/2))/(LN(2)/2)*CG14*CJ14*VLOOKUP('Données projet'!$B$12,Paramètres!$A$1:$I$89,3,0)*0.475*44/12</f>
        <v>1.7485303518433049</v>
      </c>
      <c r="CN14" s="22">
        <f t="shared" si="12"/>
        <v>3.4326683818007826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15.3</v>
      </c>
      <c r="CT14" s="12">
        <f>IF('Données projet'!$A$140&gt;35,CT13+CS14-DB13,IF(A14&lt;'Données projet'!$A$140,$CQ$205^A14,IF(A14='Données projet'!$A$140,'Données projet'!$B$140,CT13+CS14-DB13)))</f>
        <v>27.299999999999997</v>
      </c>
      <c r="CU14" s="17">
        <f>CT14*VLOOKUP('Données projet'!$B$13,Paramètres!$A$1:$I$89,3,0)*VLOOKUP('Données projet'!$B$13,Paramètres!$A$1:$I$89,5,0)</f>
        <v>21.719879999999996</v>
      </c>
      <c r="CV14" s="13">
        <f t="shared" si="41"/>
        <v>6.9951862537362919</v>
      </c>
      <c r="CW14" s="20">
        <f t="shared" si="13"/>
        <v>50.012073725257359</v>
      </c>
      <c r="CX14" s="59">
        <f t="shared" si="14"/>
        <v>343.34540705859069</v>
      </c>
      <c r="CY14" s="59">
        <f ca="1">AVERAGE(OFFSET($CX$3,0,0,'Données projet'!$E$13+1,1))-AVERAGE(OFFSET($H$3,0,0,'Données projet'!$E$13+1,1))</f>
        <v>314.94704727988847</v>
      </c>
      <c r="CZ14" s="59">
        <f t="shared" si="42"/>
        <v>366.49199094166454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0.79031685676650387</v>
      </c>
      <c r="DH14" s="21">
        <f>EXP(-LN(2)/2)*DH13+(1-EXP(-LN(2)/2))/(LN(2)/2)*DB14*DE14*VLOOKUP('Données projet'!$B$13,Paramètres!$A$1:$I$89,3,0)*0.475*44/12</f>
        <v>0.92890674941675577</v>
      </c>
      <c r="DI14" s="22">
        <f t="shared" si="15"/>
        <v>1.7192236061832595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20.100000000000001</v>
      </c>
      <c r="N15" s="13">
        <f>IF('Données projet'!$A$36&gt;35,N14+M15-V14,IF(A15&lt;'Données projet'!$A$36,$K$205^A15,IF(A15='Données projet'!$A$36,'Données projet'!$B$36,N14+M15-V14)))</f>
        <v>67.2</v>
      </c>
      <c r="O15" s="13">
        <f>N15*VLOOKUP('Données projet'!$B$9,Paramètres!$A$1:$I$89,3,0)*VLOOKUP('Données projet'!$B$9,Paramètres!$A$1:$I$89,5,0)</f>
        <v>37.564800000000005</v>
      </c>
      <c r="P15" s="13">
        <f t="shared" si="33"/>
        <v>11.350856362116868</v>
      </c>
      <c r="Q15" s="20">
        <f t="shared" si="2"/>
        <v>85.194768164020218</v>
      </c>
      <c r="R15" s="59">
        <f t="shared" si="0"/>
        <v>378.52810149735353</v>
      </c>
      <c r="S15" s="59">
        <f ca="1">AVERAGE(OFFSET($R$3,0,0,'Données projet'!$E$9+1,1))-AVERAGE(OFFSET($H$3,0,0,'Données projet'!$E$9+1,1))</f>
        <v>415.91544298418842</v>
      </c>
      <c r="T15" s="59">
        <f t="shared" si="34"/>
        <v>422.79312683312583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7.6</v>
      </c>
      <c r="AI15" s="13">
        <f>IF('Données projet'!$A$62&gt;35,AI14+AH15-AQ14,IF(A15&lt;'Données projet'!$A$62,$AF$205^A15,IF(A15='Données projet'!$A$62,'Données projet'!$B$62,AI14+AH15-AQ14)))</f>
        <v>20.375400441569603</v>
      </c>
      <c r="AJ15" s="13">
        <f>AI15*VLOOKUP('Données projet'!$B$10,Paramètres!$A$1:$I$89,3,0)*VLOOKUP('Données projet'!$B$10,Paramètres!$A$1:$I$89,5,0)</f>
        <v>12.184489464058624</v>
      </c>
      <c r="AK15" s="13">
        <f t="shared" si="35"/>
        <v>4.1973136882101167</v>
      </c>
      <c r="AL15" s="20">
        <f t="shared" si="4"/>
        <v>28.531640490201386</v>
      </c>
      <c r="AM15" s="59">
        <f t="shared" si="5"/>
        <v>321.86497382353468</v>
      </c>
      <c r="AN15" s="59">
        <f ca="1">AVERAGE(OFFSET($AM$3,0,0,'Données projet'!$E$10+1,1))-AVERAGE(OFFSET($H$3,0,0,'Données projet'!$E$10+1,1))</f>
        <v>311.06126148520821</v>
      </c>
      <c r="AO15" s="59">
        <f t="shared" si="36"/>
        <v>321.1728368524748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7.8</v>
      </c>
      <c r="BD15" s="12">
        <f>IF('Données projet'!$A$88&gt;35,BD14+BC15-BL14,IF(A15&lt;'Données projet'!$A$88,$BA$205^A15,IF(A15='Données projet'!$A$88,'Données projet'!$B$88,BD14+BC15-BL14)))</f>
        <v>20.695444515762997</v>
      </c>
      <c r="BE15" s="13">
        <f>BD15*VLOOKUP('Données projet'!$B$11,Paramètres!$A$1:$I$89,3,0)*VLOOKUP('Données projet'!$B$11,Paramètres!$A$1:$I$89,5,0)</f>
        <v>9.9545088120820022</v>
      </c>
      <c r="BF15" s="13">
        <f t="shared" si="37"/>
        <v>3.51077010364456</v>
      </c>
      <c r="BG15" s="20">
        <f t="shared" si="7"/>
        <v>23.45202744489043</v>
      </c>
      <c r="BH15" s="59">
        <f t="shared" si="8"/>
        <v>316.78536077822372</v>
      </c>
      <c r="BI15" s="59">
        <f ca="1">AVERAGE(OFFSET($BH$3,0,0,'Données projet'!$E$11+1,1))-AVERAGE(OFFSET($H$3,0,0,'Données projet'!$E$11+1,1))</f>
        <v>371.85813103419366</v>
      </c>
      <c r="BJ15" s="59">
        <f t="shared" si="38"/>
        <v>370.01698880104584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16.7</v>
      </c>
      <c r="BY15" s="12">
        <f>IF('Données projet'!$A$114&gt;35,BY14+BX15-CG14,IF(A15&lt;'Données projet'!$A$114,$BV$205^A15,IF(A15='Données projet'!$A$114,'Données projet'!$B$114,BY14+BX15-CG14)))</f>
        <v>76.400000000000006</v>
      </c>
      <c r="BZ15" s="13">
        <f>BY15*VLOOKUP('Données projet'!$B$12,Paramètres!$A$1:$I$89,3,0)*VLOOKUP('Données projet'!$B$12,Paramètres!$A$1:$I$89,5,0)</f>
        <v>41.714400000000005</v>
      </c>
      <c r="CA15" s="13">
        <f t="shared" si="39"/>
        <v>12.451933011137459</v>
      </c>
      <c r="CB15" s="20">
        <f t="shared" si="10"/>
        <v>94.339696661064423</v>
      </c>
      <c r="CC15" s="59">
        <f t="shared" si="11"/>
        <v>387.67302999439772</v>
      </c>
      <c r="CD15" s="59">
        <f ca="1">AVERAGE(OFFSET($CC$3,0,0,'Données projet'!$E$12+1,1))-AVERAGE(OFFSET($H$3,0,0,'Données projet'!$E$12+1,1))</f>
        <v>248.1486444660062</v>
      </c>
      <c r="CE15" s="59">
        <f t="shared" si="40"/>
        <v>293.34458072322127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1.6380851869633206</v>
      </c>
      <c r="CM15" s="21">
        <f>EXP(-LN(2)/2)*CM14+(1-EXP(-LN(2)/2))/(LN(2)/2)*CG15*CJ15*VLOOKUP('Données projet'!$B$12,Paramètres!$A$1:$I$89,3,0)*0.475*44/12</f>
        <v>1.2363976688989009</v>
      </c>
      <c r="CN15" s="22">
        <f t="shared" si="12"/>
        <v>2.8744828558622215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15.3</v>
      </c>
      <c r="CT15" s="12">
        <f>IF('Données projet'!$A$140&gt;35,CT14+CS15-DB14,IF(A15&lt;'Données projet'!$A$140,$CQ$205^A15,IF(A15='Données projet'!$A$140,'Données projet'!$B$140,CT14+CS15-DB14)))</f>
        <v>42.599999999999994</v>
      </c>
      <c r="CU15" s="17">
        <f>CT15*VLOOKUP('Données projet'!$B$13,Paramètres!$A$1:$I$89,3,0)*VLOOKUP('Données projet'!$B$13,Paramètres!$A$1:$I$89,5,0)</f>
        <v>33.892560000000003</v>
      </c>
      <c r="CV15" s="13">
        <f t="shared" si="41"/>
        <v>10.364593873146402</v>
      </c>
      <c r="CW15" s="20">
        <f t="shared" si="13"/>
        <v>77.08120966239666</v>
      </c>
      <c r="CX15" s="59">
        <f t="shared" si="14"/>
        <v>370.41454299572996</v>
      </c>
      <c r="CY15" s="59">
        <f ca="1">AVERAGE(OFFSET($CX$3,0,0,'Données projet'!$E$13+1,1))-AVERAGE(OFFSET($H$3,0,0,'Données projet'!$E$13+1,1))</f>
        <v>314.94704727988847</v>
      </c>
      <c r="CZ15" s="59">
        <f t="shared" si="42"/>
        <v>366.49199094166454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0.76870560075726657</v>
      </c>
      <c r="DH15" s="21">
        <f>EXP(-LN(2)/2)*DH14+(1-EXP(-LN(2)/2))/(LN(2)/2)*DB15*DE15*VLOOKUP('Données projet'!$B$13,Paramètres!$A$1:$I$89,3,0)*0.475*44/12</f>
        <v>0.65683626160254105</v>
      </c>
      <c r="DI15" s="22">
        <f t="shared" si="15"/>
        <v>1.4255418623598075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20.100000000000001</v>
      </c>
      <c r="N16" s="13">
        <f>IF('Données projet'!$A$36&gt;35,N15+M16-V15,IF(A16&lt;'Données projet'!$A$36,$K$205^A16,IF(A16='Données projet'!$A$36,'Données projet'!$B$36,N15+M16-V15)))</f>
        <v>87.300000000000011</v>
      </c>
      <c r="O16" s="13">
        <f>N16*VLOOKUP('Données projet'!$B$9,Paramètres!$A$1:$I$89,3,0)*VLOOKUP('Données projet'!$B$9,Paramètres!$A$1:$I$89,5,0)</f>
        <v>48.800700000000006</v>
      </c>
      <c r="P16" s="13">
        <f t="shared" si="33"/>
        <v>14.303598928763776</v>
      </c>
      <c r="Q16" s="20">
        <f t="shared" si="2"/>
        <v>109.90665396759691</v>
      </c>
      <c r="R16" s="59">
        <f t="shared" si="0"/>
        <v>403.23998730093024</v>
      </c>
      <c r="S16" s="59">
        <f ca="1">AVERAGE(OFFSET($R$3,0,0,'Données projet'!$E$9+1,1))-AVERAGE(OFFSET($H$3,0,0,'Données projet'!$E$9+1,1))</f>
        <v>415.91544298418842</v>
      </c>
      <c r="T16" s="59">
        <f t="shared" si="34"/>
        <v>422.79312683312583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7.6</v>
      </c>
      <c r="AI16" s="13">
        <f>IF('Données projet'!$A$62&gt;35,AI15+AH16-AQ15,IF(A16&lt;'Données projet'!$A$62,$AF$205^A16,IF(A16='Données projet'!$A$62,'Données projet'!$B$62,AI15+AH16-AQ15)))</f>
        <v>26.193789444119556</v>
      </c>
      <c r="AJ16" s="13">
        <f>AI16*VLOOKUP('Données projet'!$B$10,Paramètres!$A$1:$I$89,3,0)*VLOOKUP('Données projet'!$B$10,Paramètres!$A$1:$I$89,5,0)</f>
        <v>15.663886087583496</v>
      </c>
      <c r="AK16" s="13">
        <f t="shared" si="35"/>
        <v>5.2404101282756796</v>
      </c>
      <c r="AL16" s="20">
        <f t="shared" si="4"/>
        <v>36.408315909288063</v>
      </c>
      <c r="AM16" s="59">
        <f t="shared" si="5"/>
        <v>329.74164924262141</v>
      </c>
      <c r="AN16" s="59">
        <f ca="1">AVERAGE(OFFSET($AM$3,0,0,'Données projet'!$E$10+1,1))-AVERAGE(OFFSET($H$3,0,0,'Données projet'!$E$10+1,1))</f>
        <v>311.06126148520821</v>
      </c>
      <c r="AO16" s="59">
        <f t="shared" si="36"/>
        <v>321.1728368524748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7.8</v>
      </c>
      <c r="BD16" s="12">
        <f>IF('Données projet'!$A$88&gt;35,BD15+BC16-BL15,IF(A16&lt;'Données projet'!$A$88,$BA$205^A16,IF(A16='Données projet'!$A$88,'Données projet'!$B$88,BD15+BC16-BL15)))</f>
        <v>26.639801773563384</v>
      </c>
      <c r="BE16" s="13">
        <f>BD16*VLOOKUP('Données projet'!$B$11,Paramètres!$A$1:$I$89,3,0)*VLOOKUP('Données projet'!$B$11,Paramètres!$A$1:$I$89,5,0)</f>
        <v>12.813744653083988</v>
      </c>
      <c r="BF16" s="13">
        <f t="shared" si="37"/>
        <v>4.3882830884346733</v>
      </c>
      <c r="BG16" s="20">
        <f t="shared" si="7"/>
        <v>29.960198316478341</v>
      </c>
      <c r="BH16" s="59">
        <f t="shared" si="8"/>
        <v>323.29353164981165</v>
      </c>
      <c r="BI16" s="59">
        <f ca="1">AVERAGE(OFFSET($BH$3,0,0,'Données projet'!$E$11+1,1))-AVERAGE(OFFSET($H$3,0,0,'Données projet'!$E$11+1,1))</f>
        <v>371.85813103419366</v>
      </c>
      <c r="BJ16" s="59">
        <f t="shared" si="38"/>
        <v>370.01698880104584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16.7</v>
      </c>
      <c r="BY16" s="12">
        <f>IF('Données projet'!$A$114&gt;35,BY15+BX16-CG15,IF(A16&lt;'Données projet'!$A$114,$BV$205^A16,IF(A16='Données projet'!$A$114,'Données projet'!$B$114,BY15+BX16-CG15)))</f>
        <v>93.100000000000009</v>
      </c>
      <c r="BZ16" s="13">
        <f>BY16*VLOOKUP('Données projet'!$B$12,Paramètres!$A$1:$I$89,3,0)*VLOOKUP('Données projet'!$B$12,Paramètres!$A$1:$I$89,5,0)</f>
        <v>50.832600000000006</v>
      </c>
      <c r="CA16" s="13">
        <f t="shared" si="39"/>
        <v>14.828575135945847</v>
      </c>
      <c r="CB16" s="20">
        <f t="shared" si="10"/>
        <v>114.35988002843902</v>
      </c>
      <c r="CC16" s="59">
        <f t="shared" si="11"/>
        <v>407.69321336177234</v>
      </c>
      <c r="CD16" s="59">
        <f ca="1">AVERAGE(OFFSET($CC$3,0,0,'Données projet'!$E$12+1,1))-AVERAGE(OFFSET($H$3,0,0,'Données projet'!$E$12+1,1))</f>
        <v>248.1486444660062</v>
      </c>
      <c r="CE16" s="59">
        <f t="shared" si="40"/>
        <v>293.34458072322127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1.5932916613826524</v>
      </c>
      <c r="CM16" s="21">
        <f>EXP(-LN(2)/2)*CM15+(1-EXP(-LN(2)/2))/(LN(2)/2)*CG16*CJ16*VLOOKUP('Données projet'!$B$12,Paramètres!$A$1:$I$89,3,0)*0.475*44/12</f>
        <v>0.87426517592165265</v>
      </c>
      <c r="CN16" s="22">
        <f t="shared" si="12"/>
        <v>2.4675568373043051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15.3</v>
      </c>
      <c r="CT16" s="12">
        <f>IF('Données projet'!$A$140&gt;35,CT15+CS16-DB15,IF(A16&lt;'Données projet'!$A$140,$CQ$205^A16,IF(A16='Données projet'!$A$140,'Données projet'!$B$140,CT15+CS16-DB15)))</f>
        <v>57.899999999999991</v>
      </c>
      <c r="CU16" s="17">
        <f>CT16*VLOOKUP('Données projet'!$B$13,Paramètres!$A$1:$I$89,3,0)*VLOOKUP('Données projet'!$B$13,Paramètres!$A$1:$I$89,5,0)</f>
        <v>46.065239999999996</v>
      </c>
      <c r="CV16" s="13">
        <f t="shared" si="41"/>
        <v>13.592794353923109</v>
      </c>
      <c r="CW16" s="20">
        <f t="shared" si="13"/>
        <v>103.90440983308274</v>
      </c>
      <c r="CX16" s="59">
        <f t="shared" si="14"/>
        <v>397.23774316641607</v>
      </c>
      <c r="CY16" s="59">
        <f ca="1">AVERAGE(OFFSET($CX$3,0,0,'Données projet'!$E$13+1,1))-AVERAGE(OFFSET($H$3,0,0,'Données projet'!$E$13+1,1))</f>
        <v>314.94704727988847</v>
      </c>
      <c r="CZ16" s="59">
        <f t="shared" si="42"/>
        <v>366.49199094166454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0.74768530568008851</v>
      </c>
      <c r="DH16" s="21">
        <f>EXP(-LN(2)/2)*DH15+(1-EXP(-LN(2)/2))/(LN(2)/2)*DB16*DE16*VLOOKUP('Données projet'!$B$13,Paramètres!$A$1:$I$89,3,0)*0.475*44/12</f>
        <v>0.46445337470837789</v>
      </c>
      <c r="DI16" s="22">
        <f t="shared" si="15"/>
        <v>1.2121386803884664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20.100000000000001</v>
      </c>
      <c r="N17" s="13">
        <f>IF('Données projet'!$A$36&gt;35,N16+M17-V16,IF(A17&lt;'Données projet'!$A$36,$K$205^A17,IF(A17='Données projet'!$A$36,'Données projet'!$B$36,N16+M17-V16)))</f>
        <v>107.4</v>
      </c>
      <c r="O17" s="13">
        <f>N17*VLOOKUP('Données projet'!$B$9,Paramètres!$A$1:$I$89,3,0)*VLOOKUP('Données projet'!$B$9,Paramètres!$A$1:$I$89,5,0)</f>
        <v>60.036600000000007</v>
      </c>
      <c r="P17" s="13">
        <f t="shared" si="33"/>
        <v>17.177522312374215</v>
      </c>
      <c r="Q17" s="20">
        <f t="shared" si="2"/>
        <v>134.48126302738513</v>
      </c>
      <c r="R17" s="59">
        <f t="shared" si="0"/>
        <v>427.81459636071844</v>
      </c>
      <c r="S17" s="59">
        <f ca="1">AVERAGE(OFFSET($R$3,0,0,'Données projet'!$E$9+1,1))-AVERAGE(OFFSET($H$3,0,0,'Données projet'!$E$9+1,1))</f>
        <v>415.91544298418842</v>
      </c>
      <c r="T17" s="59">
        <f t="shared" si="34"/>
        <v>422.79312683312583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7.6</v>
      </c>
      <c r="AI17" s="13">
        <f>IF('Données projet'!$A$62&gt;35,AI16+AH17-AQ16,IF(A17&lt;'Données projet'!$A$62,$AF$205^A17,IF(A17='Données projet'!$A$62,'Données projet'!$B$62,AI16+AH17-AQ16)))</f>
        <v>33.673674655398074</v>
      </c>
      <c r="AJ17" s="13">
        <f>AI17*VLOOKUP('Données projet'!$B$10,Paramètres!$A$1:$I$89,3,0)*VLOOKUP('Données projet'!$B$10,Paramètres!$A$1:$I$89,5,0)</f>
        <v>20.136857443928051</v>
      </c>
      <c r="AK17" s="13">
        <f t="shared" si="35"/>
        <v>6.5427319358265699</v>
      </c>
      <c r="AL17" s="20">
        <f t="shared" si="4"/>
        <v>46.466951503072629</v>
      </c>
      <c r="AM17" s="59">
        <f t="shared" si="5"/>
        <v>339.80028483640592</v>
      </c>
      <c r="AN17" s="59">
        <f ca="1">AVERAGE(OFFSET($AM$3,0,0,'Données projet'!$E$10+1,1))-AVERAGE(OFFSET($H$3,0,0,'Données projet'!$E$10+1,1))</f>
        <v>311.06126148520821</v>
      </c>
      <c r="AO17" s="59">
        <f t="shared" si="36"/>
        <v>321.1728368524748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7.8</v>
      </c>
      <c r="BD17" s="12">
        <f>IF('Données projet'!$A$88&gt;35,BD16+BC17-BL16,IF(A17&lt;'Données projet'!$A$88,$BA$205^A17,IF(A17='Données projet'!$A$88,'Données projet'!$B$88,BD16+BC17-BL16)))</f>
        <v>34.291558124987993</v>
      </c>
      <c r="BE17" s="13">
        <f>BD17*VLOOKUP('Données projet'!$B$11,Paramètres!$A$1:$I$89,3,0)*VLOOKUP('Données projet'!$B$11,Paramètres!$A$1:$I$89,5,0)</f>
        <v>16.494239458119225</v>
      </c>
      <c r="BF17" s="13">
        <f t="shared" si="37"/>
        <v>5.4851294433238058</v>
      </c>
      <c r="BG17" s="20">
        <f t="shared" si="7"/>
        <v>38.280734170013282</v>
      </c>
      <c r="BH17" s="59">
        <f t="shared" si="8"/>
        <v>331.61406750334658</v>
      </c>
      <c r="BI17" s="59">
        <f ca="1">AVERAGE(OFFSET($BH$3,0,0,'Données projet'!$E$11+1,1))-AVERAGE(OFFSET($H$3,0,0,'Données projet'!$E$11+1,1))</f>
        <v>371.85813103419366</v>
      </c>
      <c r="BJ17" s="59">
        <f t="shared" si="38"/>
        <v>370.01698880104584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16.7</v>
      </c>
      <c r="BY17" s="12">
        <f>IF('Données projet'!$A$114&gt;35,BY16+BX17-CG16,IF(A17&lt;'Données projet'!$A$114,$BV$205^A17,IF(A17='Données projet'!$A$114,'Données projet'!$B$114,BY16+BX17-CG16)))</f>
        <v>109.80000000000001</v>
      </c>
      <c r="BZ17" s="13">
        <f>BY17*VLOOKUP('Données projet'!$B$12,Paramètres!$A$1:$I$89,3,0)*VLOOKUP('Données projet'!$B$12,Paramètres!$A$1:$I$89,5,0)</f>
        <v>59.950800000000001</v>
      </c>
      <c r="CA17" s="13">
        <f t="shared" si="39"/>
        <v>17.155829115013216</v>
      </c>
      <c r="CB17" s="20">
        <f t="shared" si="10"/>
        <v>134.29404570864804</v>
      </c>
      <c r="CC17" s="59">
        <f t="shared" si="11"/>
        <v>427.62737904198138</v>
      </c>
      <c r="CD17" s="59">
        <f ca="1">AVERAGE(OFFSET($CC$3,0,0,'Données projet'!$E$12+1,1))-AVERAGE(OFFSET($H$3,0,0,'Données projet'!$E$12+1,1))</f>
        <v>248.1486444660062</v>
      </c>
      <c r="CE17" s="59">
        <f t="shared" si="40"/>
        <v>293.34458072322127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1.5497230171145768</v>
      </c>
      <c r="CM17" s="21">
        <f>EXP(-LN(2)/2)*CM16+(1-EXP(-LN(2)/2))/(LN(2)/2)*CG17*CJ17*VLOOKUP('Données projet'!$B$12,Paramètres!$A$1:$I$89,3,0)*0.475*44/12</f>
        <v>0.61819883444945056</v>
      </c>
      <c r="CN17" s="22">
        <f t="shared" si="12"/>
        <v>2.1679218515640275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15.3</v>
      </c>
      <c r="CT17" s="12">
        <f>IF('Données projet'!$A$140&gt;35,CT16+CS17-DB16,IF(A17&lt;'Données projet'!$A$140,$CQ$205^A17,IF(A17='Données projet'!$A$140,'Données projet'!$B$140,CT16+CS17-DB16)))</f>
        <v>73.199999999999989</v>
      </c>
      <c r="CU17" s="17">
        <f>CT17*VLOOKUP('Données projet'!$B$13,Paramètres!$A$1:$I$89,3,0)*VLOOKUP('Données projet'!$B$13,Paramètres!$A$1:$I$89,5,0)</f>
        <v>58.237919999999995</v>
      </c>
      <c r="CV17" s="13">
        <f t="shared" si="41"/>
        <v>16.72198997753117</v>
      </c>
      <c r="CW17" s="20">
        <f t="shared" si="13"/>
        <v>130.55517654420012</v>
      </c>
      <c r="CX17" s="59">
        <f t="shared" si="14"/>
        <v>423.88850987753347</v>
      </c>
      <c r="CY17" s="59">
        <f ca="1">AVERAGE(OFFSET($CX$3,0,0,'Données projet'!$E$13+1,1))-AVERAGE(OFFSET($H$3,0,0,'Données projet'!$E$13+1,1))</f>
        <v>314.94704727988847</v>
      </c>
      <c r="CZ17" s="59">
        <f t="shared" si="42"/>
        <v>366.49199094166454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0.72723981167720508</v>
      </c>
      <c r="DH17" s="21">
        <f>EXP(-LN(2)/2)*DH16+(1-EXP(-LN(2)/2))/(LN(2)/2)*DB17*DE17*VLOOKUP('Données projet'!$B$13,Paramètres!$A$1:$I$89,3,0)*0.475*44/12</f>
        <v>0.32841813080127052</v>
      </c>
      <c r="DI17" s="22">
        <f t="shared" si="15"/>
        <v>1.0556579424784756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20.100000000000001</v>
      </c>
      <c r="N18" s="13">
        <f>IF('Données projet'!$A$36&gt;35,N17+M18-V17,IF(A18&lt;'Données projet'!$A$36,$K$205^A18,IF(A18='Données projet'!$A$36,'Données projet'!$B$36,N17+M18-V17)))</f>
        <v>127.5</v>
      </c>
      <c r="O18" s="13">
        <f>N18*VLOOKUP('Données projet'!$B$9,Paramètres!$A$1:$I$89,3,0)*VLOOKUP('Données projet'!$B$9,Paramètres!$A$1:$I$89,5,0)</f>
        <v>71.272499999999994</v>
      </c>
      <c r="P18" s="13">
        <f t="shared" si="33"/>
        <v>19.989132077392792</v>
      </c>
      <c r="Q18" s="20">
        <f t="shared" si="2"/>
        <v>158.94734253479243</v>
      </c>
      <c r="R18" s="59">
        <f t="shared" si="0"/>
        <v>452.28067586812574</v>
      </c>
      <c r="S18" s="59">
        <f ca="1">AVERAGE(OFFSET($R$3,0,0,'Données projet'!$E$9+1,1))-AVERAGE(OFFSET($H$3,0,0,'Données projet'!$E$9+1,1))</f>
        <v>415.91544298418842</v>
      </c>
      <c r="T18" s="59">
        <f t="shared" si="34"/>
        <v>422.79312683312583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7.6</v>
      </c>
      <c r="AI18" s="13">
        <f>IF('Données projet'!$A$62&gt;35,AI17+AH18-AQ17,IF(A18&lt;'Données projet'!$A$62,$AF$205^A18,IF(A18='Données projet'!$A$62,'Données projet'!$B$62,AI17+AH18-AQ17)))</f>
        <v>43.289512088987195</v>
      </c>
      <c r="AJ18" s="13">
        <f>AI18*VLOOKUP('Données projet'!$B$10,Paramètres!$A$1:$I$89,3,0)*VLOOKUP('Données projet'!$B$10,Paramètres!$A$1:$I$89,5,0)</f>
        <v>25.887128229214344</v>
      </c>
      <c r="AK18" s="13">
        <f t="shared" si="35"/>
        <v>8.168700566604377</v>
      </c>
      <c r="AL18" s="20">
        <f t="shared" si="4"/>
        <v>59.313901819384263</v>
      </c>
      <c r="AM18" s="59">
        <f t="shared" si="5"/>
        <v>352.6472351527176</v>
      </c>
      <c r="AN18" s="59">
        <f ca="1">AVERAGE(OFFSET($AM$3,0,0,'Données projet'!$E$10+1,1))-AVERAGE(OFFSET($H$3,0,0,'Données projet'!$E$10+1,1))</f>
        <v>311.06126148520821</v>
      </c>
      <c r="AO18" s="59">
        <f t="shared" si="36"/>
        <v>321.1728368524748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7.8</v>
      </c>
      <c r="BD18" s="12">
        <f>IF('Données projet'!$A$88&gt;35,BD17+BC18-BL17,IF(A18&lt;'Données projet'!$A$88,$BA$205^A18,IF(A18='Données projet'!$A$88,'Données projet'!$B$88,BD17+BC18-BL17)))</f>
        <v>44.141130201891073</v>
      </c>
      <c r="BE18" s="13">
        <f>BD18*VLOOKUP('Données projet'!$B$11,Paramètres!$A$1:$I$89,3,0)*VLOOKUP('Données projet'!$B$11,Paramètres!$A$1:$I$89,5,0)</f>
        <v>21.231883627109607</v>
      </c>
      <c r="BF18" s="13">
        <f t="shared" si="37"/>
        <v>6.8561312941070591</v>
      </c>
      <c r="BG18" s="20">
        <f t="shared" si="7"/>
        <v>48.919959321119023</v>
      </c>
      <c r="BH18" s="59">
        <f t="shared" si="8"/>
        <v>342.25329265445237</v>
      </c>
      <c r="BI18" s="59">
        <f ca="1">AVERAGE(OFFSET($BH$3,0,0,'Données projet'!$E$11+1,1))-AVERAGE(OFFSET($H$3,0,0,'Données projet'!$E$11+1,1))</f>
        <v>371.85813103419366</v>
      </c>
      <c r="BJ18" s="59">
        <f t="shared" si="38"/>
        <v>370.01698880104584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16.7</v>
      </c>
      <c r="BY18" s="12">
        <f>IF('Données projet'!$A$114&gt;35,BY17+BX18-CG17,IF(A18&lt;'Données projet'!$A$114,$BV$205^A18,IF(A18='Données projet'!$A$114,'Données projet'!$B$114,BY17+BX18-CG17)))</f>
        <v>126.50000000000001</v>
      </c>
      <c r="BZ18" s="13">
        <f>BY18*VLOOKUP('Données projet'!$B$12,Paramètres!$A$1:$I$89,3,0)*VLOOKUP('Données projet'!$B$12,Paramètres!$A$1:$I$89,5,0)</f>
        <v>69.069000000000003</v>
      </c>
      <c r="CA18" s="13">
        <f t="shared" si="39"/>
        <v>19.442077604017239</v>
      </c>
      <c r="CB18" s="20">
        <f t="shared" si="10"/>
        <v>154.15679349366337</v>
      </c>
      <c r="CC18" s="59">
        <f t="shared" si="11"/>
        <v>447.49012682699669</v>
      </c>
      <c r="CD18" s="59">
        <f ca="1">AVERAGE(OFFSET($CC$3,0,0,'Données projet'!$E$12+1,1))-AVERAGE(OFFSET($H$3,0,0,'Données projet'!$E$12+1,1))</f>
        <v>248.1486444660062</v>
      </c>
      <c r="CE18" s="59">
        <f t="shared" si="40"/>
        <v>293.34458072322127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1.5073457597151871</v>
      </c>
      <c r="CM18" s="21">
        <f>EXP(-LN(2)/2)*CM17+(1-EXP(-LN(2)/2))/(LN(2)/2)*CG18*CJ18*VLOOKUP('Données projet'!$B$12,Paramètres!$A$1:$I$89,3,0)*0.475*44/12</f>
        <v>0.43713258796082638</v>
      </c>
      <c r="CN18" s="22">
        <f t="shared" si="12"/>
        <v>1.9444783476760135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15.3</v>
      </c>
      <c r="CT18" s="12">
        <f>IF('Données projet'!$A$140&gt;35,CT17+CS18-DB17,IF(A18&lt;'Données projet'!$A$140,$CQ$205^A18,IF(A18='Données projet'!$A$140,'Données projet'!$B$140,CT17+CS18-DB17)))</f>
        <v>88.499999999999986</v>
      </c>
      <c r="CU18" s="17">
        <f>CT18*VLOOKUP('Données projet'!$B$13,Paramètres!$A$1:$I$89,3,0)*VLOOKUP('Données projet'!$B$13,Paramètres!$A$1:$I$89,5,0)</f>
        <v>70.410599999999988</v>
      </c>
      <c r="CV18" s="13">
        <f t="shared" si="41"/>
        <v>19.775389288717292</v>
      </c>
      <c r="CW18" s="20">
        <f t="shared" si="13"/>
        <v>157.07393134451593</v>
      </c>
      <c r="CX18" s="59">
        <f t="shared" si="14"/>
        <v>450.40726467784924</v>
      </c>
      <c r="CY18" s="59">
        <f ca="1">AVERAGE(OFFSET($CX$3,0,0,'Données projet'!$E$13+1,1))-AVERAGE(OFFSET($H$3,0,0,'Données projet'!$E$13+1,1))</f>
        <v>314.94704727988847</v>
      </c>
      <c r="CZ18" s="59">
        <f t="shared" si="42"/>
        <v>366.49199094166454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0.70735340078301234</v>
      </c>
      <c r="DH18" s="21">
        <f>EXP(-LN(2)/2)*DH17+(1-EXP(-LN(2)/2))/(LN(2)/2)*DB18*DE18*VLOOKUP('Données projet'!$B$13,Paramètres!$A$1:$I$89,3,0)*0.475*44/12</f>
        <v>0.23222668735418894</v>
      </c>
      <c r="DI18" s="22">
        <f t="shared" si="15"/>
        <v>0.93958008813720129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20.100000000000001</v>
      </c>
      <c r="N19" s="13">
        <f>IF('Données projet'!$A$36&gt;35,N18+M19-V18,IF(A19&lt;'Données projet'!$A$36,$K$205^A19,IF(A19='Données projet'!$A$36,'Données projet'!$B$36,N18+M19-V18)))</f>
        <v>147.6</v>
      </c>
      <c r="O19" s="13">
        <f>N19*VLOOKUP('Données projet'!$B$9,Paramètres!$A$1:$I$89,3,0)*VLOOKUP('Données projet'!$B$9,Paramètres!$A$1:$I$89,5,0)</f>
        <v>82.508399999999995</v>
      </c>
      <c r="P19" s="13">
        <f t="shared" si="33"/>
        <v>22.749394597897183</v>
      </c>
      <c r="Q19" s="20">
        <f t="shared" si="2"/>
        <v>183.32399225800421</v>
      </c>
      <c r="R19" s="59">
        <f t="shared" si="0"/>
        <v>476.65732559133755</v>
      </c>
      <c r="S19" s="59">
        <f ca="1">AVERAGE(OFFSET($R$3,0,0,'Données projet'!$E$9+1,1))-AVERAGE(OFFSET($H$3,0,0,'Données projet'!$E$9+1,1))</f>
        <v>415.91544298418842</v>
      </c>
      <c r="T19" s="59">
        <f t="shared" si="34"/>
        <v>422.79312683312583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7.6</v>
      </c>
      <c r="AI19" s="13">
        <f>IF('Données projet'!$A$62&gt;35,AI18+AH19-AQ18,IF(A19&lt;'Données projet'!$A$62,$AF$205^A19,IF(A19='Données projet'!$A$62,'Données projet'!$B$62,AI18+AH19-AQ18)))</f>
        <v>55.651243176757333</v>
      </c>
      <c r="AJ19" s="13">
        <f>AI19*VLOOKUP('Données projet'!$B$10,Paramètres!$A$1:$I$89,3,0)*VLOOKUP('Données projet'!$B$10,Paramètres!$A$1:$I$89,5,0)</f>
        <v>33.27944341970089</v>
      </c>
      <c r="AK19" s="13">
        <f t="shared" si="35"/>
        <v>10.198747190215236</v>
      </c>
      <c r="AL19" s="20">
        <f t="shared" si="4"/>
        <v>75.724515312270583</v>
      </c>
      <c r="AM19" s="59">
        <f t="shared" si="5"/>
        <v>369.05784864560388</v>
      </c>
      <c r="AN19" s="59">
        <f ca="1">AVERAGE(OFFSET($AM$3,0,0,'Données projet'!$E$10+1,1))-AVERAGE(OFFSET($H$3,0,0,'Données projet'!$E$10+1,1))</f>
        <v>311.06126148520821</v>
      </c>
      <c r="AO19" s="59">
        <f t="shared" si="36"/>
        <v>321.1728368524748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7.8</v>
      </c>
      <c r="BD19" s="12">
        <f>IF('Données projet'!$A$88&gt;35,BD18+BC19-BL18,IF(A19&lt;'Données projet'!$A$88,$BA$205^A19,IF(A19='Données projet'!$A$88,'Données projet'!$B$88,BD18+BC19-BL18)))</f>
        <v>56.819797117369461</v>
      </c>
      <c r="BE19" s="13">
        <f>BD19*VLOOKUP('Données projet'!$B$11,Paramètres!$A$1:$I$89,3,0)*VLOOKUP('Données projet'!$B$11,Paramètres!$A$1:$I$89,5,0)</f>
        <v>27.330322413454709</v>
      </c>
      <c r="BF19" s="13">
        <f t="shared" si="37"/>
        <v>8.5698134944195097</v>
      </c>
      <c r="BG19" s="20">
        <f t="shared" si="7"/>
        <v>62.526070039547591</v>
      </c>
      <c r="BH19" s="59">
        <f t="shared" si="8"/>
        <v>355.85940337288093</v>
      </c>
      <c r="BI19" s="59">
        <f ca="1">AVERAGE(OFFSET($BH$3,0,0,'Données projet'!$E$11+1,1))-AVERAGE(OFFSET($H$3,0,0,'Données projet'!$E$11+1,1))</f>
        <v>371.85813103419366</v>
      </c>
      <c r="BJ19" s="59">
        <f t="shared" si="38"/>
        <v>370.01698880104584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16.7</v>
      </c>
      <c r="BY19" s="12">
        <f>IF('Données projet'!$A$114&gt;35,BY18+BX19-CG18,IF(A19&lt;'Données projet'!$A$114,$BV$205^A19,IF(A19='Données projet'!$A$114,'Données projet'!$B$114,BY18+BX19-CG18)))</f>
        <v>143.20000000000002</v>
      </c>
      <c r="BZ19" s="13">
        <f>BY19*VLOOKUP('Données projet'!$B$12,Paramètres!$A$1:$I$89,3,0)*VLOOKUP('Données projet'!$B$12,Paramètres!$A$1:$I$89,5,0)</f>
        <v>78.187200000000004</v>
      </c>
      <c r="CA19" s="13">
        <f t="shared" si="39"/>
        <v>21.693355566332489</v>
      </c>
      <c r="CB19" s="20">
        <f t="shared" si="10"/>
        <v>173.95863427802908</v>
      </c>
      <c r="CC19" s="59">
        <f t="shared" si="11"/>
        <v>467.2919676113624</v>
      </c>
      <c r="CD19" s="59">
        <f ca="1">AVERAGE(OFFSET($CC$3,0,0,'Données projet'!$E$12+1,1))-AVERAGE(OFFSET($H$3,0,0,'Données projet'!$E$12+1,1))</f>
        <v>248.1486444660062</v>
      </c>
      <c r="CE19" s="59">
        <f t="shared" si="40"/>
        <v>293.34458072322127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1.4661273106479069</v>
      </c>
      <c r="CM19" s="21">
        <f>EXP(-LN(2)/2)*CM18+(1-EXP(-LN(2)/2))/(LN(2)/2)*CG19*CJ19*VLOOKUP('Données projet'!$B$12,Paramètres!$A$1:$I$89,3,0)*0.475*44/12</f>
        <v>0.30909941722472534</v>
      </c>
      <c r="CN19" s="22">
        <f t="shared" si="12"/>
        <v>1.7752267278726324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15.3</v>
      </c>
      <c r="CT19" s="12">
        <f>IF('Données projet'!$A$140&gt;35,CT18+CS19-DB18,IF(A19&lt;'Données projet'!$A$140,$CQ$205^A19,IF(A19='Données projet'!$A$140,'Données projet'!$B$140,CT18+CS19-DB18)))</f>
        <v>103.79999999999998</v>
      </c>
      <c r="CU19" s="17">
        <f>CT19*VLOOKUP('Données projet'!$B$13,Paramètres!$A$1:$I$89,3,0)*VLOOKUP('Données projet'!$B$13,Paramètres!$A$1:$I$89,5,0)</f>
        <v>82.583280000000002</v>
      </c>
      <c r="CV19" s="13">
        <f t="shared" si="41"/>
        <v>22.767636507088277</v>
      </c>
      <c r="CW19" s="20">
        <f t="shared" si="13"/>
        <v>183.48617958317871</v>
      </c>
      <c r="CX19" s="59">
        <f t="shared" si="14"/>
        <v>476.81951291651205</v>
      </c>
      <c r="CY19" s="59">
        <f ca="1">AVERAGE(OFFSET($CX$3,0,0,'Données projet'!$E$13+1,1))-AVERAGE(OFFSET($H$3,0,0,'Données projet'!$E$13+1,1))</f>
        <v>314.94704727988847</v>
      </c>
      <c r="CZ19" s="59">
        <f t="shared" si="42"/>
        <v>366.49199094166454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0.68801078484050215</v>
      </c>
      <c r="DH19" s="21">
        <f>EXP(-LN(2)/2)*DH18+(1-EXP(-LN(2)/2))/(LN(2)/2)*DB19*DE19*VLOOKUP('Données projet'!$B$13,Paramètres!$A$1:$I$89,3,0)*0.475*44/12</f>
        <v>0.16420906540063526</v>
      </c>
      <c r="DI19" s="22">
        <f t="shared" si="15"/>
        <v>0.85221985024113744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20.100000000000001</v>
      </c>
      <c r="N20" s="13">
        <f>IF('Données projet'!$A$36&gt;35,N19+M20-V19,IF(A20&lt;'Données projet'!$A$36,$K$205^A20,IF(A20='Données projet'!$A$36,'Données projet'!$B$36,N19+M20-V19)))</f>
        <v>167.7</v>
      </c>
      <c r="O20" s="13">
        <f>N20*VLOOKUP('Données projet'!$B$9,Paramètres!$A$1:$I$89,3,0)*VLOOKUP('Données projet'!$B$9,Paramètres!$A$1:$I$89,5,0)</f>
        <v>93.744299999999996</v>
      </c>
      <c r="P20" s="13">
        <f t="shared" si="33"/>
        <v>25.466106585554108</v>
      </c>
      <c r="Q20" s="20">
        <f t="shared" si="2"/>
        <v>207.62479146984003</v>
      </c>
      <c r="R20" s="59">
        <f t="shared" si="0"/>
        <v>500.95812480317335</v>
      </c>
      <c r="S20" s="59">
        <f ca="1">AVERAGE(OFFSET($R$3,0,0,'Données projet'!$E$9+1,1))-AVERAGE(OFFSET($H$3,0,0,'Données projet'!$E$9+1,1))</f>
        <v>415.91544298418842</v>
      </c>
      <c r="T20" s="59">
        <f t="shared" si="34"/>
        <v>422.79312683312583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7.6</v>
      </c>
      <c r="AI20" s="13">
        <f>IF('Données projet'!$A$62&gt;35,AI19+AH20-AQ19,IF(A20&lt;'Données projet'!$A$62,$AF$205^A20,IF(A20='Données projet'!$A$62,'Données projet'!$B$62,AI19+AH20-AQ19)))</f>
        <v>71.542983916108128</v>
      </c>
      <c r="AJ20" s="13">
        <f>AI20*VLOOKUP('Données projet'!$B$10,Paramètres!$A$1:$I$89,3,0)*VLOOKUP('Données projet'!$B$10,Paramètres!$A$1:$I$89,5,0)</f>
        <v>42.782704381832666</v>
      </c>
      <c r="AK20" s="13">
        <f t="shared" si="35"/>
        <v>12.73329134809511</v>
      </c>
      <c r="AL20" s="20">
        <f t="shared" si="4"/>
        <v>96.690359229624207</v>
      </c>
      <c r="AM20" s="59">
        <f t="shared" si="5"/>
        <v>390.02369256295754</v>
      </c>
      <c r="AN20" s="59">
        <f ca="1">AVERAGE(OFFSET($AM$3,0,0,'Données projet'!$E$10+1,1))-AVERAGE(OFFSET($H$3,0,0,'Données projet'!$E$10+1,1))</f>
        <v>311.06126148520821</v>
      </c>
      <c r="AO20" s="59">
        <f t="shared" si="36"/>
        <v>321.1728368524748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7.8</v>
      </c>
      <c r="BD20" s="12">
        <f>IF('Données projet'!$A$88&gt;35,BD19+BC20-BL19,IF(A20&lt;'Données projet'!$A$88,$BA$205^A20,IF(A20='Données projet'!$A$88,'Données projet'!$B$88,BD19+BC20-BL19)))</f>
        <v>73.140160428441277</v>
      </c>
      <c r="BE20" s="13">
        <f>BD20*VLOOKUP('Données projet'!$B$11,Paramètres!$A$1:$I$89,3,0)*VLOOKUP('Données projet'!$B$11,Paramètres!$A$1:$I$89,5,0)</f>
        <v>35.180417166080254</v>
      </c>
      <c r="BF20" s="13">
        <f t="shared" si="37"/>
        <v>10.711828606937402</v>
      </c>
      <c r="BG20" s="20">
        <f t="shared" si="7"/>
        <v>79.928994721339095</v>
      </c>
      <c r="BH20" s="59">
        <f t="shared" si="8"/>
        <v>373.26232805467242</v>
      </c>
      <c r="BI20" s="59">
        <f ca="1">AVERAGE(OFFSET($BH$3,0,0,'Données projet'!$E$11+1,1))-AVERAGE(OFFSET($H$3,0,0,'Données projet'!$E$11+1,1))</f>
        <v>371.85813103419366</v>
      </c>
      <c r="BJ20" s="59">
        <f t="shared" si="38"/>
        <v>370.01698880104584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16.7</v>
      </c>
      <c r="BY20" s="12">
        <f>IF('Données projet'!$A$114&gt;35,BY19+BX20-CG19,IF(A20&lt;'Données projet'!$A$114,$BV$205^A20,IF(A20='Données projet'!$A$114,'Données projet'!$B$114,BY19+BX20-CG19)))</f>
        <v>159.9</v>
      </c>
      <c r="BZ20" s="13">
        <f>BY20*VLOOKUP('Données projet'!$B$12,Paramètres!$A$1:$I$89,3,0)*VLOOKUP('Données projet'!$B$12,Paramètres!$A$1:$I$89,5,0)</f>
        <v>87.305400000000006</v>
      </c>
      <c r="CA20" s="13">
        <f t="shared" si="39"/>
        <v>23.914207130877781</v>
      </c>
      <c r="CB20" s="20">
        <f t="shared" si="10"/>
        <v>193.70748241961215</v>
      </c>
      <c r="CC20" s="59">
        <f t="shared" si="11"/>
        <v>487.04081575294549</v>
      </c>
      <c r="CD20" s="59">
        <f ca="1">AVERAGE(OFFSET($CC$3,0,0,'Données projet'!$E$12+1,1))-AVERAGE(OFFSET($H$3,0,0,'Données projet'!$E$12+1,1))</f>
        <v>248.1486444660062</v>
      </c>
      <c r="CE20" s="59">
        <f t="shared" si="40"/>
        <v>293.34458072322127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1.4260359822379556</v>
      </c>
      <c r="CM20" s="21">
        <f>EXP(-LN(2)/2)*CM19+(1-EXP(-LN(2)/2))/(LN(2)/2)*CG20*CJ20*VLOOKUP('Données projet'!$B$12,Paramètres!$A$1:$I$89,3,0)*0.475*44/12</f>
        <v>0.21856629398041325</v>
      </c>
      <c r="CN20" s="22">
        <f t="shared" si="12"/>
        <v>1.6446022762183687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15.3</v>
      </c>
      <c r="CT20" s="12">
        <f>IF('Données projet'!$A$140&gt;35,CT19+CS20-DB19,IF(A20&lt;'Données projet'!$A$140,$CQ$205^A20,IF(A20='Données projet'!$A$140,'Données projet'!$B$140,CT19+CS20-DB19)))</f>
        <v>119.09999999999998</v>
      </c>
      <c r="CU20" s="17">
        <f>CT20*VLOOKUP('Données projet'!$B$13,Paramètres!$A$1:$I$89,3,0)*VLOOKUP('Données projet'!$B$13,Paramètres!$A$1:$I$89,5,0)</f>
        <v>94.755959999999988</v>
      </c>
      <c r="CV20" s="13">
        <f t="shared" si="41"/>
        <v>25.708787823615488</v>
      </c>
      <c r="CW20" s="20">
        <f t="shared" si="13"/>
        <v>209.80943579279696</v>
      </c>
      <c r="CX20" s="59">
        <f t="shared" si="14"/>
        <v>503.14276912613025</v>
      </c>
      <c r="CY20" s="59">
        <f ca="1">AVERAGE(OFFSET($CX$3,0,0,'Données projet'!$E$13+1,1))-AVERAGE(OFFSET($H$3,0,0,'Données projet'!$E$13+1,1))</f>
        <v>314.94704727988847</v>
      </c>
      <c r="CZ20" s="59">
        <f t="shared" si="42"/>
        <v>366.49199094166454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0.66919709374812397</v>
      </c>
      <c r="DH20" s="21">
        <f>EXP(-LN(2)/2)*DH19+(1-EXP(-LN(2)/2))/(LN(2)/2)*DB20*DE20*VLOOKUP('Données projet'!$B$13,Paramètres!$A$1:$I$89,3,0)*0.475*44/12</f>
        <v>0.11611334367709447</v>
      </c>
      <c r="DI20" s="22">
        <f t="shared" si="15"/>
        <v>0.78531043742521844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20.100000000000001</v>
      </c>
      <c r="N21" s="13">
        <f>IF('Données projet'!$A$36&gt;35,N20+M21-V20,IF(A21&lt;'Données projet'!$A$36,$K$205^A21,IF(A21='Données projet'!$A$36,'Données projet'!$B$36,N20+M21-V20)))</f>
        <v>187.79999999999998</v>
      </c>
      <c r="O21" s="13">
        <f>N21*VLOOKUP('Données projet'!$B$9,Paramètres!$A$1:$I$89,3,0)*VLOOKUP('Données projet'!$B$9,Paramètres!$A$1:$I$89,5,0)</f>
        <v>104.9802</v>
      </c>
      <c r="P21" s="13">
        <f t="shared" si="33"/>
        <v>28.145084690033578</v>
      </c>
      <c r="Q21" s="20">
        <f t="shared" si="2"/>
        <v>231.85987083514178</v>
      </c>
      <c r="R21" s="59">
        <f t="shared" si="0"/>
        <v>525.19320416847506</v>
      </c>
      <c r="S21" s="59">
        <f ca="1">AVERAGE(OFFSET($R$3,0,0,'Données projet'!$E$9+1,1))-AVERAGE(OFFSET($H$3,0,0,'Données projet'!$E$9+1,1))</f>
        <v>415.91544298418842</v>
      </c>
      <c r="T21" s="59">
        <f t="shared" si="34"/>
        <v>422.79312683312583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7.6</v>
      </c>
      <c r="AI21" s="13">
        <f>IF('Données projet'!$A$62&gt;35,AI20+AH21-AQ20,IF(A21&lt;'Données projet'!$A$62,$AF$205^A21,IF(A21='Données projet'!$A$62,'Données projet'!$B$62,AI20+AH21-AQ20)))</f>
        <v>91.972762070447317</v>
      </c>
      <c r="AJ21" s="13">
        <f>AI21*VLOOKUP('Données projet'!$B$10,Paramètres!$A$1:$I$89,3,0)*VLOOKUP('Données projet'!$B$10,Paramètres!$A$1:$I$89,5,0)</f>
        <v>54.9997117181275</v>
      </c>
      <c r="AK21" s="13">
        <f t="shared" si="35"/>
        <v>15.897708368634639</v>
      </c>
      <c r="AL21" s="20">
        <f t="shared" si="4"/>
        <v>123.4796733177774</v>
      </c>
      <c r="AM21" s="59">
        <f t="shared" si="5"/>
        <v>416.8130066511107</v>
      </c>
      <c r="AN21" s="59">
        <f ca="1">AVERAGE(OFFSET($AM$3,0,0,'Données projet'!$E$10+1,1))-AVERAGE(OFFSET($H$3,0,0,'Données projet'!$E$10+1,1))</f>
        <v>311.06126148520821</v>
      </c>
      <c r="AO21" s="59">
        <f t="shared" si="36"/>
        <v>321.1728368524748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7.8</v>
      </c>
      <c r="BD21" s="12">
        <f>IF('Données projet'!$A$88&gt;35,BD20+BC21-BL20,IF(A21&lt;'Données projet'!$A$88,$BA$205^A21,IF(A21='Données projet'!$A$88,'Données projet'!$B$88,BD20+BC21-BL20)))</f>
        <v>94.148225423051045</v>
      </c>
      <c r="BE21" s="13">
        <f>BD21*VLOOKUP('Données projet'!$B$11,Paramètres!$A$1:$I$89,3,0)*VLOOKUP('Données projet'!$B$11,Paramètres!$A$1:$I$89,5,0)</f>
        <v>45.285296428487548</v>
      </c>
      <c r="BF21" s="13">
        <f t="shared" si="37"/>
        <v>13.389237954725736</v>
      </c>
      <c r="BG21" s="20">
        <f t="shared" si="7"/>
        <v>102.1914807174298</v>
      </c>
      <c r="BH21" s="59">
        <f t="shared" si="8"/>
        <v>395.5248140507631</v>
      </c>
      <c r="BI21" s="59">
        <f ca="1">AVERAGE(OFFSET($BH$3,0,0,'Données projet'!$E$11+1,1))-AVERAGE(OFFSET($H$3,0,0,'Données projet'!$E$11+1,1))</f>
        <v>371.85813103419366</v>
      </c>
      <c r="BJ21" s="59">
        <f t="shared" si="38"/>
        <v>370.01698880104584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16.7</v>
      </c>
      <c r="BY21" s="12">
        <f>IF('Données projet'!$A$114&gt;35,BY20+BX21-CG20,IF(A21&lt;'Données projet'!$A$114,$BV$205^A21,IF(A21='Données projet'!$A$114,'Données projet'!$B$114,BY20+BX21-CG20)))</f>
        <v>176.6</v>
      </c>
      <c r="BZ21" s="13">
        <f>BY21*VLOOKUP('Données projet'!$B$12,Paramètres!$A$1:$I$89,3,0)*VLOOKUP('Données projet'!$B$12,Paramètres!$A$1:$I$89,5,0)</f>
        <v>96.423599999999993</v>
      </c>
      <c r="CA21" s="13">
        <f t="shared" si="39"/>
        <v>26.108172039585249</v>
      </c>
      <c r="CB21" s="20">
        <f t="shared" si="10"/>
        <v>213.40950296894428</v>
      </c>
      <c r="CC21" s="59">
        <f t="shared" si="11"/>
        <v>506.74283630227762</v>
      </c>
      <c r="CD21" s="59">
        <f ca="1">AVERAGE(OFFSET($CC$3,0,0,'Données projet'!$E$12+1,1))-AVERAGE(OFFSET($H$3,0,0,'Données projet'!$E$12+1,1))</f>
        <v>248.1486444660062</v>
      </c>
      <c r="CE21" s="59">
        <f t="shared" si="40"/>
        <v>293.34458072322127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1.3870409533116856</v>
      </c>
      <c r="CM21" s="21">
        <f>EXP(-LN(2)/2)*CM20+(1-EXP(-LN(2)/2))/(LN(2)/2)*CG21*CJ21*VLOOKUP('Données projet'!$B$12,Paramètres!$A$1:$I$89,3,0)*0.475*44/12</f>
        <v>0.1545497086123627</v>
      </c>
      <c r="CN21" s="22">
        <f t="shared" si="12"/>
        <v>1.5415906619240483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15.3</v>
      </c>
      <c r="CT21" s="12">
        <f>IF('Données projet'!$A$140&gt;35,CT20+CS21-DB20,IF(A21&lt;'Données projet'!$A$140,$CQ$205^A21,IF(A21='Données projet'!$A$140,'Données projet'!$B$140,CT20+CS21-DB20)))</f>
        <v>134.39999999999998</v>
      </c>
      <c r="CU21" s="17">
        <f>CT21*VLOOKUP('Données projet'!$B$13,Paramètres!$A$1:$I$89,3,0)*VLOOKUP('Données projet'!$B$13,Paramètres!$A$1:$I$89,5,0)</f>
        <v>106.92863999999997</v>
      </c>
      <c r="CV21" s="13">
        <f t="shared" si="41"/>
        <v>28.606159868782917</v>
      </c>
      <c r="CW21" s="20">
        <f t="shared" si="13"/>
        <v>236.05644310479684</v>
      </c>
      <c r="CX21" s="59">
        <f t="shared" si="14"/>
        <v>529.38977643813018</v>
      </c>
      <c r="CY21" s="59">
        <f ca="1">AVERAGE(OFFSET($CX$3,0,0,'Données projet'!$E$13+1,1))-AVERAGE(OFFSET($H$3,0,0,'Données projet'!$E$13+1,1))</f>
        <v>314.94704727988847</v>
      </c>
      <c r="CZ21" s="59">
        <f t="shared" si="42"/>
        <v>366.49199094166454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0.65089786402803584</v>
      </c>
      <c r="DH21" s="21">
        <f>EXP(-LN(2)/2)*DH20+(1-EXP(-LN(2)/2))/(LN(2)/2)*DB21*DE21*VLOOKUP('Données projet'!$B$13,Paramètres!$A$1:$I$89,3,0)*0.475*44/12</f>
        <v>8.2104532700317631E-2</v>
      </c>
      <c r="DI21" s="22">
        <f t="shared" si="15"/>
        <v>0.73300239672835343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20.100000000000001</v>
      </c>
      <c r="N22" s="13">
        <f>IF('Données projet'!$A$36&gt;35,N21+M22-V21,IF(A22&lt;'Données projet'!$A$36,$K$205^A22,IF(A22='Données projet'!$A$36,'Données projet'!$B$36,N21+M22-V21)))</f>
        <v>207.89999999999998</v>
      </c>
      <c r="O22" s="13">
        <f>N22*VLOOKUP('Données projet'!$B$9,Paramètres!$A$1:$I$89,3,0)*VLOOKUP('Données projet'!$B$9,Paramètres!$A$1:$I$89,5,0)</f>
        <v>116.2161</v>
      </c>
      <c r="P22" s="13">
        <f t="shared" si="33"/>
        <v>30.790827813105789</v>
      </c>
      <c r="Q22" s="20">
        <f t="shared" si="2"/>
        <v>256.03706594115926</v>
      </c>
      <c r="R22" s="59">
        <f t="shared" si="0"/>
        <v>549.37039927449257</v>
      </c>
      <c r="S22" s="59">
        <f ca="1">AVERAGE(OFFSET($R$3,0,0,'Données projet'!$E$9+1,1))-AVERAGE(OFFSET($H$3,0,0,'Données projet'!$E$9+1,1))</f>
        <v>415.91544298418842</v>
      </c>
      <c r="T22" s="59">
        <f t="shared" si="34"/>
        <v>422.79312683312583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7.6</v>
      </c>
      <c r="AI22" s="13">
        <f>IF('Données projet'!$A$62&gt;35,AI21+AH22-AQ21,IF(A22&lt;'Données projet'!$A$62,$AF$205^A22,IF(A22='Données projet'!$A$62,'Données projet'!$B$62,AI21+AH22-AQ21)))</f>
        <v>118.2364572993795</v>
      </c>
      <c r="AJ22" s="13">
        <f>AI22*VLOOKUP('Données projet'!$B$10,Paramètres!$A$1:$I$89,3,0)*VLOOKUP('Données projet'!$B$10,Paramètres!$A$1:$I$89,5,0)</f>
        <v>70.705401465028942</v>
      </c>
      <c r="AK22" s="13">
        <f t="shared" si="35"/>
        <v>19.848531260691299</v>
      </c>
      <c r="AL22" s="20">
        <f t="shared" si="4"/>
        <v>157.71476616396276</v>
      </c>
      <c r="AM22" s="59">
        <f t="shared" si="5"/>
        <v>451.04809949729611</v>
      </c>
      <c r="AN22" s="59">
        <f ca="1">AVERAGE(OFFSET($AM$3,0,0,'Données projet'!$E$10+1,1))-AVERAGE(OFFSET($H$3,0,0,'Données projet'!$E$10+1,1))</f>
        <v>311.06126148520821</v>
      </c>
      <c r="AO22" s="59">
        <f t="shared" si="36"/>
        <v>321.1728368524748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7.8</v>
      </c>
      <c r="BD22" s="12">
        <f>IF('Données projet'!$A$88&gt;35,BD21+BC22-BL21,IF(A22&lt;'Données projet'!$A$88,$BA$205^A22,IF(A22='Données projet'!$A$88,'Données projet'!$B$88,BD21+BC22-BL21)))</f>
        <v>121.19044172704366</v>
      </c>
      <c r="BE22" s="13">
        <f>BD22*VLOOKUP('Données projet'!$B$11,Paramètres!$A$1:$I$89,3,0)*VLOOKUP('Données projet'!$B$11,Paramètres!$A$1:$I$89,5,0)</f>
        <v>58.292602470708005</v>
      </c>
      <c r="BF22" s="13">
        <f t="shared" si="37"/>
        <v>16.7358627164894</v>
      </c>
      <c r="BG22" s="20">
        <f t="shared" si="7"/>
        <v>130.67457686770217</v>
      </c>
      <c r="BH22" s="59">
        <f t="shared" si="8"/>
        <v>424.00791020103549</v>
      </c>
      <c r="BI22" s="59">
        <f ca="1">AVERAGE(OFFSET($BH$3,0,0,'Données projet'!$E$11+1,1))-AVERAGE(OFFSET($H$3,0,0,'Données projet'!$E$11+1,1))</f>
        <v>371.85813103419366</v>
      </c>
      <c r="BJ22" s="59">
        <f t="shared" si="38"/>
        <v>370.01698880104584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16.7</v>
      </c>
      <c r="BY22" s="12">
        <f>IF('Données projet'!$A$114&gt;35,BY21+BX22-CG21,IF(A22&lt;'Données projet'!$A$114,$BV$205^A22,IF(A22='Données projet'!$A$114,'Données projet'!$B$114,BY21+BX22-CG21)))</f>
        <v>193.29999999999998</v>
      </c>
      <c r="BZ22" s="13">
        <f>BY22*VLOOKUP('Données projet'!$B$12,Paramètres!$A$1:$I$89,3,0)*VLOOKUP('Données projet'!$B$12,Paramètres!$A$1:$I$89,5,0)</f>
        <v>105.54179999999999</v>
      </c>
      <c r="CA22" s="13">
        <f t="shared" si="39"/>
        <v>28.278082044462533</v>
      </c>
      <c r="CB22" s="20">
        <f t="shared" si="10"/>
        <v>233.06962789410557</v>
      </c>
      <c r="CC22" s="59">
        <f t="shared" si="11"/>
        <v>526.40296122743894</v>
      </c>
      <c r="CD22" s="59">
        <f ca="1">AVERAGE(OFFSET($CC$3,0,0,'Données projet'!$E$12+1,1))-AVERAGE(OFFSET($H$3,0,0,'Données projet'!$E$12+1,1))</f>
        <v>248.1486444660062</v>
      </c>
      <c r="CE22" s="59">
        <f t="shared" si="40"/>
        <v>293.34458072322127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1.3491122455020639</v>
      </c>
      <c r="CM22" s="21">
        <f>EXP(-LN(2)/2)*CM21+(1-EXP(-LN(2)/2))/(LN(2)/2)*CG22*CJ22*VLOOKUP('Données projet'!$B$12,Paramètres!$A$1:$I$89,3,0)*0.475*44/12</f>
        <v>0.10928314699020664</v>
      </c>
      <c r="CN22" s="22">
        <f t="shared" si="12"/>
        <v>1.4583953924922706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15.3</v>
      </c>
      <c r="CT22" s="12">
        <f>IF('Données projet'!$A$140&gt;35,CT21+CS22-DB21,IF(A22&lt;'Données projet'!$A$140,$CQ$205^A22,IF(A22='Données projet'!$A$140,'Données projet'!$B$140,CT21+CS22-DB21)))</f>
        <v>149.69999999999999</v>
      </c>
      <c r="CU22" s="17">
        <f>CT22*VLOOKUP('Données projet'!$B$13,Paramètres!$A$1:$I$89,3,0)*VLOOKUP('Données projet'!$B$13,Paramètres!$A$1:$I$89,5,0)</f>
        <v>119.10132</v>
      </c>
      <c r="CV22" s="13">
        <f t="shared" si="41"/>
        <v>31.465305329267146</v>
      </c>
      <c r="CW22" s="20">
        <f t="shared" si="13"/>
        <v>262.23687244847355</v>
      </c>
      <c r="CX22" s="59">
        <f t="shared" si="14"/>
        <v>555.57020578180686</v>
      </c>
      <c r="CY22" s="59">
        <f ca="1">AVERAGE(OFFSET($CX$3,0,0,'Données projet'!$E$13+1,1))-AVERAGE(OFFSET($H$3,0,0,'Données projet'!$E$13+1,1))</f>
        <v>314.94704727988847</v>
      </c>
      <c r="CZ22" s="59">
        <f t="shared" si="42"/>
        <v>366.49199094166454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0.63309902770695814</v>
      </c>
      <c r="DH22" s="21">
        <f>EXP(-LN(2)/2)*DH21+(1-EXP(-LN(2)/2))/(LN(2)/2)*DB22*DE22*VLOOKUP('Données projet'!$B$13,Paramètres!$A$1:$I$89,3,0)*0.475*44/12</f>
        <v>5.8056671838547236E-2</v>
      </c>
      <c r="DI22" s="22">
        <f t="shared" si="15"/>
        <v>0.69115569954550538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228</v>
      </c>
      <c r="L23" s="12">
        <f>VLOOKUP(A23,'Données projet'!$A$35:$I$55,9,0)</f>
        <v>20.100000000000001</v>
      </c>
      <c r="M23" s="12">
        <f t="array" ref="M23">INDEX(L:L,MIN(IF(ISNUMBER(L23:L219),ROW(L23:L219),"")))</f>
        <v>20.100000000000001</v>
      </c>
      <c r="N23" s="13">
        <f>IF('Données projet'!$A$36&gt;35,N22+M23-V22,IF(A23&lt;'Données projet'!$A$36,$K$205^A23,IF(A23='Données projet'!$A$36,'Données projet'!$B$36,N22+M23-V22)))</f>
        <v>227.99999999999997</v>
      </c>
      <c r="O23" s="13">
        <f>N23*VLOOKUP('Données projet'!$B$9,Paramètres!$A$1:$I$89,3,0)*VLOOKUP('Données projet'!$B$9,Paramètres!$A$1:$I$89,5,0)</f>
        <v>127.452</v>
      </c>
      <c r="P23" s="13">
        <f t="shared" si="33"/>
        <v>33.406914773953936</v>
      </c>
      <c r="Q23" s="20">
        <f t="shared" si="2"/>
        <v>280.16260989796973</v>
      </c>
      <c r="R23" s="59">
        <f t="shared" si="0"/>
        <v>573.49594323130304</v>
      </c>
      <c r="S23" s="59">
        <f ca="1">AVERAGE(OFFSET($R$3,0,0,'Données projet'!$E$9+1,1))-AVERAGE(OFFSET($H$3,0,0,'Données projet'!$E$9+1,1))</f>
        <v>415.91544298418842</v>
      </c>
      <c r="T23" s="59">
        <f t="shared" si="34"/>
        <v>422.79312683312583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104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0.27500000000000002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21.124811351536597</v>
      </c>
      <c r="AB23" s="21">
        <f>EXP(-LN(2)/2)*AB22+(1-EXP(-LN(2)/2))/(LN(2)/2)*V23*Y23*VLOOKUP('Données projet'!$B$9,Paramètres!$A$1:$I$89,3,0)*0.475*44/12</f>
        <v>32.911728424499309</v>
      </c>
      <c r="AC23" s="22">
        <f t="shared" si="3"/>
        <v>54.036539776035909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152</v>
      </c>
      <c r="AG23" s="12">
        <f>VLOOKUP(A23,'Données projet'!$A$61:$I$81,9,0)</f>
        <v>7.6</v>
      </c>
      <c r="AH23" s="12">
        <f t="array" ref="AH23">INDEX(AG:AG,MIN(IF(ISNUMBER(AG23:AG219),ROW(AG23:AG219),"")))</f>
        <v>7.6</v>
      </c>
      <c r="AI23" s="13">
        <f>IF('Données projet'!$A$62&gt;35,AI22+AH23-AQ22,IF(A23&lt;'Données projet'!$A$62,$AF$205^A23,IF(A23='Données projet'!$A$62,'Données projet'!$B$62,AI22+AH23-AQ22)))</f>
        <v>152</v>
      </c>
      <c r="AJ23" s="13">
        <f>AI23*VLOOKUP('Données projet'!$B$10,Paramètres!$A$1:$I$89,3,0)*VLOOKUP('Données projet'!$B$10,Paramètres!$A$1:$I$89,5,0)</f>
        <v>90.896000000000001</v>
      </c>
      <c r="AK23" s="13">
        <f t="shared" si="35"/>
        <v>24.781193872187952</v>
      </c>
      <c r="AL23" s="20">
        <f t="shared" si="4"/>
        <v>201.47111266072736</v>
      </c>
      <c r="AM23" s="59">
        <f t="shared" si="5"/>
        <v>494.80444599406064</v>
      </c>
      <c r="AN23" s="59">
        <f ca="1">AVERAGE(OFFSET($AM$3,0,0,'Données projet'!$E$10+1,1))-AVERAGE(OFFSET($H$3,0,0,'Données projet'!$E$10+1,1))</f>
        <v>311.06126148520821</v>
      </c>
      <c r="AO23" s="59">
        <f t="shared" si="36"/>
        <v>321.1728368524748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42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0.22500000000000001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7.4670316266978034</v>
      </c>
      <c r="AW23" s="21">
        <f>EXP(-LN(2)/2)*AW22+(1-EXP(-LN(2)/2))/(LN(2)/2)*AQ23*AT23*VLOOKUP('Données projet'!$B$10,Paramètres!$A$1:$I$89,3,0)*0.475*44/12</f>
        <v>14.21857319233736</v>
      </c>
      <c r="AX23" s="21">
        <f t="shared" si="6"/>
        <v>21.685604819035163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156</v>
      </c>
      <c r="BB23" s="12">
        <f>VLOOKUP(A23,'Données projet'!$A$87:$I$107,9,0)</f>
        <v>7.8</v>
      </c>
      <c r="BC23" s="12">
        <f t="array" ref="BC23">INDEX(BB:BB,MIN(IF(ISNUMBER(BB23:BB219),ROW(BB23:BB219),"")))</f>
        <v>7.8</v>
      </c>
      <c r="BD23" s="12">
        <f>IF('Données projet'!$A$88&gt;35,BD22+BC23-BL22,IF(A23&lt;'Données projet'!$A$88,$BA$205^A23,IF(A23='Données projet'!$A$88,'Données projet'!$B$88,BD22+BC23-BL22)))</f>
        <v>156</v>
      </c>
      <c r="BE23" s="13">
        <f>BD23*VLOOKUP('Données projet'!$B$11,Paramètres!$A$1:$I$89,3,0)*VLOOKUP('Données projet'!$B$11,Paramètres!$A$1:$I$89,5,0)</f>
        <v>75.036000000000001</v>
      </c>
      <c r="BF23" s="13">
        <f t="shared" si="37"/>
        <v>20.918972521981534</v>
      </c>
      <c r="BG23" s="20">
        <f t="shared" si="7"/>
        <v>167.12157714245117</v>
      </c>
      <c r="BH23" s="59">
        <f t="shared" si="8"/>
        <v>460.45491047578446</v>
      </c>
      <c r="BI23" s="59">
        <f ca="1">AVERAGE(OFFSET($BH$3,0,0,'Données projet'!$E$11+1,1))-AVERAGE(OFFSET($H$3,0,0,'Données projet'!$E$11+1,1))</f>
        <v>371.85813103419366</v>
      </c>
      <c r="BJ23" s="59">
        <f t="shared" si="38"/>
        <v>370.01698880104584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22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0.27500000000000002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3.8451691503020542</v>
      </c>
      <c r="BR23" s="21">
        <f>EXP(-LN(2)/2)*BR22+(1-EXP(-LN(2)/2))/(LN(2)/2)*BL23*BO23*VLOOKUP('Données projet'!$B$11,Paramètres!$A$1:$I$89,3,0)*0.475*44/12</f>
        <v>5.9906410862125314</v>
      </c>
      <c r="BS23" s="22">
        <f t="shared" si="9"/>
        <v>9.8358102365145861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210</v>
      </c>
      <c r="BW23" s="12">
        <f>VLOOKUP(A23,'Données projet'!$A$113:$I$133,9,0)</f>
        <v>16.7</v>
      </c>
      <c r="BX23" s="12">
        <f t="array" ref="BX23">INDEX(BW:BW,MIN(IF(ISNUMBER(BW23:BW219),ROW(BW23:BW219),"")))</f>
        <v>16.7</v>
      </c>
      <c r="BY23" s="12">
        <f>IF('Données projet'!$A$114&gt;35,BY22+BX23-CG22,IF(A23&lt;'Données projet'!$A$114,$BV$205^A23,IF(A23='Données projet'!$A$114,'Données projet'!$B$114,BY22+BX23-CG22)))</f>
        <v>209.99999999999997</v>
      </c>
      <c r="BZ23" s="13">
        <f>BY23*VLOOKUP('Données projet'!$B$12,Paramètres!$A$1:$I$89,3,0)*VLOOKUP('Données projet'!$B$12,Paramètres!$A$1:$I$89,5,0)</f>
        <v>114.65999999999998</v>
      </c>
      <c r="CA23" s="13">
        <f t="shared" si="39"/>
        <v>30.426251641117418</v>
      </c>
      <c r="CB23" s="20">
        <f t="shared" si="10"/>
        <v>252.69188827494611</v>
      </c>
      <c r="CC23" s="59">
        <f t="shared" si="11"/>
        <v>546.02522160827948</v>
      </c>
      <c r="CD23" s="59">
        <f ca="1">AVERAGE(OFFSET($CC$3,0,0,'Données projet'!$E$12+1,1))-AVERAGE(OFFSET($H$3,0,0,'Données projet'!$E$12+1,1))</f>
        <v>248.1486444660062</v>
      </c>
      <c r="CE23" s="59">
        <f t="shared" si="40"/>
        <v>293.34458072322127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98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0.3</v>
      </c>
      <c r="CJ23" s="16">
        <f>IF(ISNA(VLOOKUP(A23,'Données projet'!$A$113:$I$133,7,0)),0%,VLOOKUP(A23,'Données projet'!$A$113:$I$133,7,0))</f>
        <v>0.5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22.522919234010324</v>
      </c>
      <c r="CM23" s="21">
        <f>EXP(-LN(2)/2)*CM22+(1-EXP(-LN(2)/2))/(LN(2)/2)*CG23*CJ23*VLOOKUP('Données projet'!$B$12,Paramètres!$A$1:$I$89,3,0)*0.475*44/12</f>
        <v>30.369017742329248</v>
      </c>
      <c r="CN23" s="22">
        <f t="shared" si="12"/>
        <v>52.891936976339572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165</v>
      </c>
      <c r="CR23" s="12">
        <f>VLOOKUP(A23,'Données projet'!$A$139:$I$159,9,0)</f>
        <v>15.3</v>
      </c>
      <c r="CS23" s="12">
        <f t="array" ref="CS23">INDEX(CR:CR,MIN(IF(ISNUMBER(CR23:CR219),ROW(CR23:CR219),"")))</f>
        <v>15.3</v>
      </c>
      <c r="CT23" s="12">
        <f>IF('Données projet'!$A$140&gt;35,CT22+CS23-DB22,IF(A23&lt;'Données projet'!$A$140,$CQ$205^A23,IF(A23='Données projet'!$A$140,'Données projet'!$B$140,CT22+CS23-DB22)))</f>
        <v>165</v>
      </c>
      <c r="CU23" s="17">
        <f>CT23*VLOOKUP('Données projet'!$B$13,Paramètres!$A$1:$I$89,3,0)*VLOOKUP('Données projet'!$B$13,Paramètres!$A$1:$I$89,5,0)</f>
        <v>131.274</v>
      </c>
      <c r="CV23" s="13">
        <f t="shared" si="41"/>
        <v>34.290576031111669</v>
      </c>
      <c r="CW23" s="20">
        <f t="shared" si="13"/>
        <v>288.35830325418613</v>
      </c>
      <c r="CX23" s="59">
        <f t="shared" si="14"/>
        <v>581.6916365875195</v>
      </c>
      <c r="CY23" s="59">
        <f ca="1">AVERAGE(OFFSET($CX$3,0,0,'Données projet'!$E$13+1,1))-AVERAGE(OFFSET($H$3,0,0,'Données projet'!$E$13+1,1))</f>
        <v>314.94704727988847</v>
      </c>
      <c r="CZ23" s="59">
        <f t="shared" si="42"/>
        <v>366.49199094166454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84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0.13250000000000001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10.366215156073137</v>
      </c>
      <c r="DH23" s="21">
        <f>EXP(-LN(2)/2)*DH22+(1-EXP(-LN(2)/2))/(LN(2)/2)*DB23*DE23*VLOOKUP('Données projet'!$B$13,Paramètres!$A$1:$I$89,3,0)*0.475*44/12</f>
        <v>15.805122544811143</v>
      </c>
      <c r="DI23" s="22">
        <f t="shared" si="15"/>
        <v>26.17133770088428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27.5</v>
      </c>
      <c r="N24" s="13">
        <f>IF('Données projet'!$A$36&gt;35,N23+M24-V23,IF(A24&lt;'Données projet'!$A$36,$K$205^A24,IF(A24='Données projet'!$A$36,'Données projet'!$B$36,N23+M24-V23)))</f>
        <v>151.49999999999997</v>
      </c>
      <c r="O24" s="13">
        <f>N24*VLOOKUP('Données projet'!$B$9,Paramètres!$A$1:$I$89,3,0)*VLOOKUP('Données projet'!$B$9,Paramètres!$A$1:$I$89,5,0)</f>
        <v>84.688499999999976</v>
      </c>
      <c r="P24" s="13">
        <f t="shared" si="33"/>
        <v>23.279719368585155</v>
      </c>
      <c r="Q24" s="20">
        <f t="shared" si="2"/>
        <v>188.04464873361908</v>
      </c>
      <c r="R24" s="59">
        <f t="shared" si="0"/>
        <v>481.37798206695243</v>
      </c>
      <c r="S24" s="59">
        <f ca="1">AVERAGE(OFFSET($R$3,0,0,'Données projet'!$E$9+1,1))-AVERAGE(OFFSET($H$3,0,0,'Données projet'!$E$9+1,1))</f>
        <v>415.91544298418842</v>
      </c>
      <c r="T24" s="59">
        <f t="shared" si="34"/>
        <v>422.79312683312583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20.547152274223279</v>
      </c>
      <c r="AB24" s="21">
        <f>EXP(-LN(2)/2)*AB23+(1-EXP(-LN(2)/2))/(LN(2)/2)*V24*Y24*VLOOKUP('Données projet'!$B$9,Paramètres!$A$1:$I$89,3,0)*0.475*44/12</f>
        <v>23.272106349533512</v>
      </c>
      <c r="AC24" s="22">
        <f t="shared" si="3"/>
        <v>43.819258623756795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18.3</v>
      </c>
      <c r="AI24" s="13">
        <f>IF('Données projet'!$A$62&gt;35,AI23+AH24-AQ23,IF(A24&lt;'Données projet'!$A$62,$AF$205^A24,IF(A24='Données projet'!$A$62,'Données projet'!$B$62,AI23+AH24-AQ23)))</f>
        <v>128.30000000000001</v>
      </c>
      <c r="AJ24" s="13">
        <f>AI24*VLOOKUP('Données projet'!$B$10,Paramètres!$A$1:$I$89,3,0)*VLOOKUP('Données projet'!$B$10,Paramètres!$A$1:$I$89,5,0)</f>
        <v>76.723400000000012</v>
      </c>
      <c r="AK24" s="13">
        <f t="shared" si="35"/>
        <v>21.334098927773212</v>
      </c>
      <c r="AL24" s="20">
        <f t="shared" si="4"/>
        <v>170.78347729920503</v>
      </c>
      <c r="AM24" s="59">
        <f t="shared" si="5"/>
        <v>464.11681063253832</v>
      </c>
      <c r="AN24" s="59">
        <f ca="1">AVERAGE(OFFSET($AM$3,0,0,'Données projet'!$E$10+1,1))-AVERAGE(OFFSET($H$3,0,0,'Données projet'!$E$10+1,1))</f>
        <v>311.06126148520821</v>
      </c>
      <c r="AO24" s="59">
        <f t="shared" si="36"/>
        <v>321.1728368524748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7.2628452541916246</v>
      </c>
      <c r="AW24" s="21">
        <f>EXP(-LN(2)/2)*AW23+(1-EXP(-LN(2)/2))/(LN(2)/2)*AQ24*AT24*VLOOKUP('Données projet'!$B$10,Paramètres!$A$1:$I$89,3,0)*0.475*44/12</f>
        <v>10.054049523099005</v>
      </c>
      <c r="AX24" s="21">
        <f t="shared" si="6"/>
        <v>17.316894777290628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27.8</v>
      </c>
      <c r="BD24" s="12">
        <f>IF('Données projet'!$A$88&gt;35,BD23+BC24-BL23,IF(A24&lt;'Données projet'!$A$88,$BA$205^A24,IF(A24='Données projet'!$A$88,'Données projet'!$B$88,BD23+BC24-BL23)))</f>
        <v>161.80000000000001</v>
      </c>
      <c r="BE24" s="13">
        <f>BD24*VLOOKUP('Données projet'!$B$11,Paramètres!$A$1:$I$89,3,0)*VLOOKUP('Données projet'!$B$11,Paramètres!$A$1:$I$89,5,0)</f>
        <v>77.825800000000015</v>
      </c>
      <c r="BF24" s="13">
        <f t="shared" si="37"/>
        <v>21.604731444152915</v>
      </c>
      <c r="BG24" s="20">
        <f t="shared" si="7"/>
        <v>173.17484226523302</v>
      </c>
      <c r="BH24" s="59">
        <f t="shared" si="8"/>
        <v>466.50817559856637</v>
      </c>
      <c r="BI24" s="59">
        <f ca="1">AVERAGE(OFFSET($BH$3,0,0,'Données projet'!$E$11+1,1))-AVERAGE(OFFSET($H$3,0,0,'Données projet'!$E$11+1,1))</f>
        <v>371.85813103419366</v>
      </c>
      <c r="BJ24" s="59">
        <f t="shared" si="38"/>
        <v>370.01698880104584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3.7400227976783871</v>
      </c>
      <c r="BR24" s="21">
        <f>EXP(-LN(2)/2)*BR23+(1-EXP(-LN(2)/2))/(LN(2)/2)*BL24*BO24*VLOOKUP('Données projet'!$B$11,Paramètres!$A$1:$I$89,3,0)*0.475*44/12</f>
        <v>4.236022935715626</v>
      </c>
      <c r="BS24" s="22">
        <f t="shared" si="9"/>
        <v>7.9760457333940131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18.5</v>
      </c>
      <c r="BY24" s="12">
        <f>IF('Données projet'!$A$114&gt;35,BY23+BX24-CG23,IF(A24&lt;'Données projet'!$A$114,$BV$205^A24,IF(A24='Données projet'!$A$114,'Données projet'!$B$114,BY23+BX24-CG23)))</f>
        <v>130.49999999999997</v>
      </c>
      <c r="BZ24" s="13">
        <f>BY24*VLOOKUP('Données projet'!$B$12,Paramètres!$A$1:$I$89,3,0)*VLOOKUP('Données projet'!$B$12,Paramètres!$A$1:$I$89,5,0)</f>
        <v>71.252999999999986</v>
      </c>
      <c r="CA24" s="13">
        <f t="shared" si="39"/>
        <v>19.98429960724846</v>
      </c>
      <c r="CB24" s="20">
        <f t="shared" si="10"/>
        <v>158.90496348262437</v>
      </c>
      <c r="CC24" s="59">
        <f t="shared" si="11"/>
        <v>452.23829681595771</v>
      </c>
      <c r="CD24" s="59">
        <f ca="1">AVERAGE(OFFSET($CC$3,0,0,'Données projet'!$E$12+1,1))-AVERAGE(OFFSET($H$3,0,0,'Données projet'!$E$12+1,1))</f>
        <v>248.1486444660062</v>
      </c>
      <c r="CE24" s="59">
        <f t="shared" si="40"/>
        <v>293.34458072322127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21.907028823127465</v>
      </c>
      <c r="CM24" s="21">
        <f>EXP(-LN(2)/2)*CM23+(1-EXP(-LN(2)/2))/(LN(2)/2)*CG24*CJ24*VLOOKUP('Données projet'!$B$12,Paramètres!$A$1:$I$89,3,0)*0.475*44/12</f>
        <v>21.474138383575589</v>
      </c>
      <c r="CN24" s="22">
        <f t="shared" si="12"/>
        <v>43.381167206703054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16.600000000000001</v>
      </c>
      <c r="CT24" s="12">
        <f>IF('Données projet'!$A$140&gt;35,CT23+CS24-DB23,IF(A24&lt;'Données projet'!$A$140,$CQ$205^A24,IF(A24='Données projet'!$A$140,'Données projet'!$B$140,CT23+CS24-DB23)))</f>
        <v>97.6</v>
      </c>
      <c r="CU24" s="17">
        <f>CT24*VLOOKUP('Données projet'!$B$13,Paramètres!$A$1:$I$89,3,0)*VLOOKUP('Données projet'!$B$13,Paramètres!$A$1:$I$89,5,0)</f>
        <v>77.650559999999999</v>
      </c>
      <c r="CV24" s="13">
        <f t="shared" si="41"/>
        <v>21.561741073650076</v>
      </c>
      <c r="CW24" s="20">
        <f t="shared" si="13"/>
        <v>172.79475770327392</v>
      </c>
      <c r="CX24" s="59">
        <f t="shared" si="14"/>
        <v>466.1280910366072</v>
      </c>
      <c r="CY24" s="59">
        <f ca="1">AVERAGE(OFFSET($CX$3,0,0,'Données projet'!$E$13+1,1))-AVERAGE(OFFSET($H$3,0,0,'Données projet'!$E$13+1,1))</f>
        <v>314.94704727988847</v>
      </c>
      <c r="CZ24" s="59">
        <f t="shared" si="42"/>
        <v>366.49199094166454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10.082750457494754</v>
      </c>
      <c r="DH24" s="21">
        <f>EXP(-LN(2)/2)*DH23+(1-EXP(-LN(2)/2))/(LN(2)/2)*DB24*DE24*VLOOKUP('Données projet'!$B$13,Paramètres!$A$1:$I$89,3,0)*0.475*44/12</f>
        <v>11.175909328920342</v>
      </c>
      <c r="DI24" s="22">
        <f t="shared" si="15"/>
        <v>21.258659786415095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27.5</v>
      </c>
      <c r="N25" s="13">
        <f>IF('Données projet'!$A$36&gt;35,N24+M25-V24,IF(A25&lt;'Données projet'!$A$36,$K$205^A25,IF(A25='Données projet'!$A$36,'Données projet'!$B$36,N24+M25-V24)))</f>
        <v>178.99999999999997</v>
      </c>
      <c r="O25" s="13">
        <f>N25*VLOOKUP('Données projet'!$B$9,Paramètres!$A$1:$I$89,3,0)*VLOOKUP('Données projet'!$B$9,Paramètres!$A$1:$I$89,5,0)</f>
        <v>100.06099999999998</v>
      </c>
      <c r="P25" s="13">
        <f t="shared" si="33"/>
        <v>26.976529441369074</v>
      </c>
      <c r="Q25" s="20">
        <f t="shared" si="2"/>
        <v>221.25703044371778</v>
      </c>
      <c r="R25" s="59">
        <f t="shared" si="0"/>
        <v>514.59036377705115</v>
      </c>
      <c r="S25" s="59">
        <f ca="1">AVERAGE(OFFSET($R$3,0,0,'Données projet'!$E$9+1,1))-AVERAGE(OFFSET($H$3,0,0,'Données projet'!$E$9+1,1))</f>
        <v>415.91544298418842</v>
      </c>
      <c r="T25" s="59">
        <f t="shared" si="34"/>
        <v>422.79312683312583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19.985289314756866</v>
      </c>
      <c r="AB25" s="21">
        <f>EXP(-LN(2)/2)*AB24+(1-EXP(-LN(2)/2))/(LN(2)/2)*V25*Y25*VLOOKUP('Données projet'!$B$9,Paramètres!$A$1:$I$89,3,0)*0.475*44/12</f>
        <v>16.455864212249658</v>
      </c>
      <c r="AC25" s="22">
        <f t="shared" si="3"/>
        <v>36.44115352700652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18.3</v>
      </c>
      <c r="AI25" s="13">
        <f>IF('Données projet'!$A$62&gt;35,AI24+AH25-AQ24,IF(A25&lt;'Données projet'!$A$62,$AF$205^A25,IF(A25='Données projet'!$A$62,'Données projet'!$B$62,AI24+AH25-AQ24)))</f>
        <v>146.60000000000002</v>
      </c>
      <c r="AJ25" s="13">
        <f>AI25*VLOOKUP('Données projet'!$B$10,Paramètres!$A$1:$I$89,3,0)*VLOOKUP('Données projet'!$B$10,Paramètres!$A$1:$I$89,5,0)</f>
        <v>87.666800000000009</v>
      </c>
      <c r="AK25" s="13">
        <f t="shared" si="35"/>
        <v>24.001656011397941</v>
      </c>
      <c r="AL25" s="20">
        <f t="shared" si="4"/>
        <v>194.48922755318475</v>
      </c>
      <c r="AM25" s="59">
        <f t="shared" si="5"/>
        <v>487.82256088651809</v>
      </c>
      <c r="AN25" s="59">
        <f ca="1">AVERAGE(OFFSET($AM$3,0,0,'Données projet'!$E$10+1,1))-AVERAGE(OFFSET($H$3,0,0,'Données projet'!$E$10+1,1))</f>
        <v>311.06126148520821</v>
      </c>
      <c r="AO25" s="59">
        <f t="shared" si="36"/>
        <v>321.1728368524748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7.0642423687793219</v>
      </c>
      <c r="AW25" s="21">
        <f>EXP(-LN(2)/2)*AW24+(1-EXP(-LN(2)/2))/(LN(2)/2)*AQ25*AT25*VLOOKUP('Données projet'!$B$10,Paramètres!$A$1:$I$89,3,0)*0.475*44/12</f>
        <v>7.1092865961686815</v>
      </c>
      <c r="AX25" s="21">
        <f t="shared" si="6"/>
        <v>14.173528964948003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27.8</v>
      </c>
      <c r="BD25" s="12">
        <f>IF('Données projet'!$A$88&gt;35,BD24+BC25-BL24,IF(A25&lt;'Données projet'!$A$88,$BA$205^A25,IF(A25='Données projet'!$A$88,'Données projet'!$B$88,BD24+BC25-BL24)))</f>
        <v>189.60000000000002</v>
      </c>
      <c r="BE25" s="13">
        <f>BD25*VLOOKUP('Données projet'!$B$11,Paramètres!$A$1:$I$89,3,0)*VLOOKUP('Données projet'!$B$11,Paramètres!$A$1:$I$89,5,0)</f>
        <v>91.197600000000008</v>
      </c>
      <c r="BF25" s="13">
        <f t="shared" si="37"/>
        <v>24.853834690103852</v>
      </c>
      <c r="BG25" s="20">
        <f t="shared" si="7"/>
        <v>202.12291541859756</v>
      </c>
      <c r="BH25" s="59">
        <f t="shared" si="8"/>
        <v>495.45624875193084</v>
      </c>
      <c r="BI25" s="59">
        <f ca="1">AVERAGE(OFFSET($BH$3,0,0,'Données projet'!$E$11+1,1))-AVERAGE(OFFSET($H$3,0,0,'Données projet'!$E$11+1,1))</f>
        <v>371.85813103419366</v>
      </c>
      <c r="BJ25" s="59">
        <f t="shared" si="38"/>
        <v>370.01698880104584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3.6377516775966208</v>
      </c>
      <c r="BR25" s="21">
        <f>EXP(-LN(2)/2)*BR24+(1-EXP(-LN(2)/2))/(LN(2)/2)*BL25*BO25*VLOOKUP('Données projet'!$B$11,Paramètres!$A$1:$I$89,3,0)*0.475*44/12</f>
        <v>2.9953205431062662</v>
      </c>
      <c r="BS25" s="22">
        <f t="shared" si="9"/>
        <v>6.6330722207028874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18.5</v>
      </c>
      <c r="BY25" s="12">
        <f>IF('Données projet'!$A$114&gt;35,BY24+BX25-CG24,IF(A25&lt;'Données projet'!$A$114,$BV$205^A25,IF(A25='Données projet'!$A$114,'Données projet'!$B$114,BY24+BX25-CG24)))</f>
        <v>148.99999999999997</v>
      </c>
      <c r="BZ25" s="13">
        <f>BY25*VLOOKUP('Données projet'!$B$12,Paramètres!$A$1:$I$89,3,0)*VLOOKUP('Données projet'!$B$12,Paramètres!$A$1:$I$89,5,0)</f>
        <v>81.353999999999985</v>
      </c>
      <c r="CA25" s="13">
        <f t="shared" si="39"/>
        <v>22.467920097706006</v>
      </c>
      <c r="CB25" s="20">
        <f t="shared" si="10"/>
        <v>180.82317750350458</v>
      </c>
      <c r="CC25" s="59">
        <f t="shared" si="11"/>
        <v>474.15651083683792</v>
      </c>
      <c r="CD25" s="59">
        <f ca="1">AVERAGE(OFFSET($CC$3,0,0,'Données projet'!$E$12+1,1))-AVERAGE(OFFSET($H$3,0,0,'Données projet'!$E$12+1,1))</f>
        <v>248.1486444660062</v>
      </c>
      <c r="CE25" s="59">
        <f t="shared" si="40"/>
        <v>293.34458072322127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21.307979967918467</v>
      </c>
      <c r="CM25" s="21">
        <f>EXP(-LN(2)/2)*CM24+(1-EXP(-LN(2)/2))/(LN(2)/2)*CG25*CJ25*VLOOKUP('Données projet'!$B$12,Paramètres!$A$1:$I$89,3,0)*0.475*44/12</f>
        <v>15.184508871164626</v>
      </c>
      <c r="CN25" s="22">
        <f t="shared" si="12"/>
        <v>36.492488839083094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16.600000000000001</v>
      </c>
      <c r="CT25" s="12">
        <f>IF('Données projet'!$A$140&gt;35,CT24+CS25-DB24,IF(A25&lt;'Données projet'!$A$140,$CQ$205^A25,IF(A25='Données projet'!$A$140,'Données projet'!$B$140,CT24+CS25-DB24)))</f>
        <v>114.19999999999999</v>
      </c>
      <c r="CU25" s="17">
        <f>CT25*VLOOKUP('Données projet'!$B$13,Paramètres!$A$1:$I$89,3,0)*VLOOKUP('Données projet'!$B$13,Paramètres!$A$1:$I$89,5,0)</f>
        <v>90.857519999999994</v>
      </c>
      <c r="CV25" s="13">
        <f t="shared" si="41"/>
        <v>24.771923889440387</v>
      </c>
      <c r="CW25" s="20">
        <f t="shared" si="13"/>
        <v>201.38794810744199</v>
      </c>
      <c r="CX25" s="59">
        <f t="shared" si="14"/>
        <v>494.72128144077533</v>
      </c>
      <c r="CY25" s="59">
        <f ca="1">AVERAGE(OFFSET($CX$3,0,0,'Données projet'!$E$13+1,1))-AVERAGE(OFFSET($H$3,0,0,'Données projet'!$E$13+1,1))</f>
        <v>314.94704727988847</v>
      </c>
      <c r="CZ25" s="59">
        <f t="shared" si="42"/>
        <v>366.49199094166454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9.8070371160057572</v>
      </c>
      <c r="DH25" s="21">
        <f>EXP(-LN(2)/2)*DH24+(1-EXP(-LN(2)/2))/(LN(2)/2)*DB25*DE25*VLOOKUP('Données projet'!$B$13,Paramètres!$A$1:$I$89,3,0)*0.475*44/12</f>
        <v>7.9025612724055723</v>
      </c>
      <c r="DI25" s="22">
        <f t="shared" si="15"/>
        <v>17.709598388411329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27.5</v>
      </c>
      <c r="N26" s="13">
        <f>IF('Données projet'!$A$36&gt;35,N25+M26-V25,IF(A26&lt;'Données projet'!$A$36,$K$205^A26,IF(A26='Données projet'!$A$36,'Données projet'!$B$36,N25+M26-V25)))</f>
        <v>206.49999999999997</v>
      </c>
      <c r="O26" s="13">
        <f>N26*VLOOKUP('Données projet'!$B$9,Paramètres!$A$1:$I$89,3,0)*VLOOKUP('Données projet'!$B$9,Paramètres!$A$1:$I$89,5,0)</f>
        <v>115.43349999999998</v>
      </c>
      <c r="P26" s="13">
        <f t="shared" si="33"/>
        <v>30.60754521964256</v>
      </c>
      <c r="Q26" s="20">
        <f t="shared" si="2"/>
        <v>254.35482042421077</v>
      </c>
      <c r="R26" s="59">
        <f t="shared" si="0"/>
        <v>547.68815375754411</v>
      </c>
      <c r="S26" s="59">
        <f ca="1">AVERAGE(OFFSET($R$3,0,0,'Données projet'!$E$9+1,1))-AVERAGE(OFFSET($H$3,0,0,'Données projet'!$E$9+1,1))</f>
        <v>415.91544298418842</v>
      </c>
      <c r="T26" s="59">
        <f t="shared" si="34"/>
        <v>422.79312683312583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19.43879052746415</v>
      </c>
      <c r="AB26" s="21">
        <f>EXP(-LN(2)/2)*AB25+(1-EXP(-LN(2)/2))/(LN(2)/2)*V26*Y26*VLOOKUP('Données projet'!$B$9,Paramètres!$A$1:$I$89,3,0)*0.475*44/12</f>
        <v>11.636053174766758</v>
      </c>
      <c r="AC26" s="22">
        <f t="shared" si="3"/>
        <v>31.074843702230908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18.3</v>
      </c>
      <c r="AI26" s="13">
        <f>IF('Données projet'!$A$62&gt;35,AI25+AH26-AQ25,IF(A26&lt;'Données projet'!$A$62,$AF$205^A26,IF(A26='Données projet'!$A$62,'Données projet'!$B$62,AI25+AH26-AQ25)))</f>
        <v>164.90000000000003</v>
      </c>
      <c r="AJ26" s="13">
        <f>AI26*VLOOKUP('Données projet'!$B$10,Paramètres!$A$1:$I$89,3,0)*VLOOKUP('Données projet'!$B$10,Paramètres!$A$1:$I$89,5,0)</f>
        <v>98.61020000000002</v>
      </c>
      <c r="AK26" s="13">
        <f t="shared" si="35"/>
        <v>26.630627652541417</v>
      </c>
      <c r="AL26" s="20">
        <f t="shared" si="4"/>
        <v>218.12777482817634</v>
      </c>
      <c r="AM26" s="59">
        <f t="shared" si="5"/>
        <v>511.46110816150963</v>
      </c>
      <c r="AN26" s="59">
        <f ca="1">AVERAGE(OFFSET($AM$3,0,0,'Données projet'!$E$10+1,1))-AVERAGE(OFFSET($H$3,0,0,'Données projet'!$E$10+1,1))</f>
        <v>311.06126148520821</v>
      </c>
      <c r="AO26" s="59">
        <f t="shared" si="36"/>
        <v>321.1728368524748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6.8710702897126907</v>
      </c>
      <c r="AW26" s="21">
        <f>EXP(-LN(2)/2)*AW25+(1-EXP(-LN(2)/2))/(LN(2)/2)*AQ26*AT26*VLOOKUP('Données projet'!$B$10,Paramètres!$A$1:$I$89,3,0)*0.475*44/12</f>
        <v>5.0270247615495034</v>
      </c>
      <c r="AX26" s="21">
        <f t="shared" si="6"/>
        <v>11.898095051262194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27.8</v>
      </c>
      <c r="BD26" s="12">
        <f>IF('Données projet'!$A$88&gt;35,BD25+BC26-BL25,IF(A26&lt;'Données projet'!$A$88,$BA$205^A26,IF(A26='Données projet'!$A$88,'Données projet'!$B$88,BD25+BC26-BL25)))</f>
        <v>217.40000000000003</v>
      </c>
      <c r="BE26" s="13">
        <f>BD26*VLOOKUP('Données projet'!$B$11,Paramètres!$A$1:$I$89,3,0)*VLOOKUP('Données projet'!$B$11,Paramètres!$A$1:$I$89,5,0)</f>
        <v>104.56940000000003</v>
      </c>
      <c r="BF26" s="13">
        <f t="shared" si="37"/>
        <v>28.047747154351427</v>
      </c>
      <c r="BG26" s="20">
        <f t="shared" si="7"/>
        <v>230.97486462716213</v>
      </c>
      <c r="BH26" s="59">
        <f t="shared" si="8"/>
        <v>524.30819796049548</v>
      </c>
      <c r="BI26" s="59">
        <f ca="1">AVERAGE(OFFSET($BH$3,0,0,'Données projet'!$E$11+1,1))-AVERAGE(OFFSET($H$3,0,0,'Données projet'!$E$11+1,1))</f>
        <v>371.85813103419366</v>
      </c>
      <c r="BJ26" s="59">
        <f t="shared" si="38"/>
        <v>370.01698880104584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3.5382771666716946</v>
      </c>
      <c r="BR26" s="21">
        <f>EXP(-LN(2)/2)*BR25+(1-EXP(-LN(2)/2))/(LN(2)/2)*BL26*BO26*VLOOKUP('Données projet'!$B$11,Paramètres!$A$1:$I$89,3,0)*0.475*44/12</f>
        <v>2.1180114678578135</v>
      </c>
      <c r="BS26" s="22">
        <f t="shared" si="9"/>
        <v>5.656288634529508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18.5</v>
      </c>
      <c r="BY26" s="12">
        <f>IF('Données projet'!$A$114&gt;35,BY25+BX26-CG25,IF(A26&lt;'Données projet'!$A$114,$BV$205^A26,IF(A26='Données projet'!$A$114,'Données projet'!$B$114,BY25+BX26-CG25)))</f>
        <v>167.49999999999997</v>
      </c>
      <c r="BZ26" s="13">
        <f>BY26*VLOOKUP('Données projet'!$B$12,Paramètres!$A$1:$I$89,3,0)*VLOOKUP('Données projet'!$B$12,Paramètres!$A$1:$I$89,5,0)</f>
        <v>91.454999999999984</v>
      </c>
      <c r="CA26" s="13">
        <f t="shared" si="39"/>
        <v>24.915807755003627</v>
      </c>
      <c r="CB26" s="20">
        <f t="shared" si="10"/>
        <v>202.67915683996458</v>
      </c>
      <c r="CC26" s="59">
        <f t="shared" si="11"/>
        <v>496.01249017329792</v>
      </c>
      <c r="CD26" s="59">
        <f ca="1">AVERAGE(OFFSET($CC$3,0,0,'Données projet'!$E$12+1,1))-AVERAGE(OFFSET($H$3,0,0,'Données projet'!$E$12+1,1))</f>
        <v>248.1486444660062</v>
      </c>
      <c r="CE26" s="59">
        <f t="shared" si="40"/>
        <v>293.34458072322127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20.725312135157768</v>
      </c>
      <c r="CM26" s="21">
        <f>EXP(-LN(2)/2)*CM25+(1-EXP(-LN(2)/2))/(LN(2)/2)*CG26*CJ26*VLOOKUP('Données projet'!$B$12,Paramètres!$A$1:$I$89,3,0)*0.475*44/12</f>
        <v>10.737069191787796</v>
      </c>
      <c r="CN26" s="22">
        <f t="shared" si="12"/>
        <v>31.462381326945565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16.600000000000001</v>
      </c>
      <c r="CT26" s="12">
        <f>IF('Données projet'!$A$140&gt;35,CT25+CS26-DB25,IF(A26&lt;'Données projet'!$A$140,$CQ$205^A26,IF(A26='Données projet'!$A$140,'Données projet'!$B$140,CT25+CS26-DB25)))</f>
        <v>130.79999999999998</v>
      </c>
      <c r="CU26" s="17">
        <f>CT26*VLOOKUP('Données projet'!$B$13,Paramètres!$A$1:$I$89,3,0)*VLOOKUP('Données projet'!$B$13,Paramètres!$A$1:$I$89,5,0)</f>
        <v>104.06448</v>
      </c>
      <c r="CV26" s="13">
        <f t="shared" si="41"/>
        <v>27.928047224076721</v>
      </c>
      <c r="CW26" s="20">
        <f t="shared" si="13"/>
        <v>229.88698491526694</v>
      </c>
      <c r="CX26" s="59">
        <f t="shared" si="14"/>
        <v>523.22031824860028</v>
      </c>
      <c r="CY26" s="59">
        <f ca="1">AVERAGE(OFFSET($CX$3,0,0,'Données projet'!$E$13+1,1))-AVERAGE(OFFSET($H$3,0,0,'Données projet'!$E$13+1,1))</f>
        <v>314.94704727988847</v>
      </c>
      <c r="CZ26" s="59">
        <f t="shared" si="42"/>
        <v>366.49199094166454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9.538863170338912</v>
      </c>
      <c r="DH26" s="21">
        <f>EXP(-LN(2)/2)*DH25+(1-EXP(-LN(2)/2))/(LN(2)/2)*DB26*DE26*VLOOKUP('Données projet'!$B$13,Paramètres!$A$1:$I$89,3,0)*0.475*44/12</f>
        <v>5.5879546644601721</v>
      </c>
      <c r="DI26" s="22">
        <f t="shared" si="15"/>
        <v>15.126817834799084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27.5</v>
      </c>
      <c r="N27" s="13">
        <f>IF('Données projet'!$A$36&gt;35,N26+M27-V26,IF(A27&lt;'Données projet'!$A$36,$K$205^A27,IF(A27='Données projet'!$A$36,'Données projet'!$B$36,N26+M27-V26)))</f>
        <v>233.99999999999997</v>
      </c>
      <c r="O27" s="13">
        <f>N27*VLOOKUP('Données projet'!$B$9,Paramètres!$A$1:$I$89,3,0)*VLOOKUP('Données projet'!$B$9,Paramètres!$A$1:$I$89,5,0)</f>
        <v>130.80599999999998</v>
      </c>
      <c r="P27" s="13">
        <f t="shared" si="33"/>
        <v>34.182535218254536</v>
      </c>
      <c r="Q27" s="20">
        <f t="shared" si="2"/>
        <v>287.35503217179325</v>
      </c>
      <c r="R27" s="59">
        <f t="shared" si="0"/>
        <v>580.68836550512651</v>
      </c>
      <c r="S27" s="59">
        <f ca="1">AVERAGE(OFFSET($R$3,0,0,'Données projet'!$E$9+1,1))-AVERAGE(OFFSET($H$3,0,0,'Données projet'!$E$9+1,1))</f>
        <v>415.91544298418842</v>
      </c>
      <c r="T27" s="59">
        <f t="shared" si="34"/>
        <v>422.79312683312583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18.907235778249078</v>
      </c>
      <c r="AB27" s="21">
        <f>EXP(-LN(2)/2)*AB26+(1-EXP(-LN(2)/2))/(LN(2)/2)*V27*Y27*VLOOKUP('Données projet'!$B$9,Paramètres!$A$1:$I$89,3,0)*0.475*44/12</f>
        <v>8.2279321061248307</v>
      </c>
      <c r="AC27" s="22">
        <f t="shared" si="3"/>
        <v>27.135167884373907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18.3</v>
      </c>
      <c r="AI27" s="13">
        <f>IF('Données projet'!$A$62&gt;35,AI26+AH27-AQ26,IF(A27&lt;'Données projet'!$A$62,$AF$205^A27,IF(A27='Données projet'!$A$62,'Données projet'!$B$62,AI26+AH27-AQ26)))</f>
        <v>183.20000000000005</v>
      </c>
      <c r="AJ27" s="13">
        <f>AI27*VLOOKUP('Données projet'!$B$10,Paramètres!$A$1:$I$89,3,0)*VLOOKUP('Données projet'!$B$10,Paramètres!$A$1:$I$89,5,0)</f>
        <v>109.55360000000003</v>
      </c>
      <c r="AK27" s="13">
        <f t="shared" si="35"/>
        <v>29.225784372214765</v>
      </c>
      <c r="AL27" s="20">
        <f t="shared" si="4"/>
        <v>241.70742778160744</v>
      </c>
      <c r="AM27" s="59">
        <f t="shared" si="5"/>
        <v>535.04076111494078</v>
      </c>
      <c r="AN27" s="59">
        <f ca="1">AVERAGE(OFFSET($AM$3,0,0,'Données projet'!$E$10+1,1))-AVERAGE(OFFSET($H$3,0,0,'Données projet'!$E$10+1,1))</f>
        <v>311.06126148520821</v>
      </c>
      <c r="AO27" s="59">
        <f t="shared" si="36"/>
        <v>321.1728368524748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6.6831805113066149</v>
      </c>
      <c r="AW27" s="21">
        <f>EXP(-LN(2)/2)*AW26+(1-EXP(-LN(2)/2))/(LN(2)/2)*AQ27*AT27*VLOOKUP('Données projet'!$B$10,Paramètres!$A$1:$I$89,3,0)*0.475*44/12</f>
        <v>3.5546432980843412</v>
      </c>
      <c r="AX27" s="21">
        <f t="shared" si="6"/>
        <v>10.237823809390957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27.8</v>
      </c>
      <c r="BD27" s="12">
        <f>IF('Données projet'!$A$88&gt;35,BD26+BC27-BL26,IF(A27&lt;'Données projet'!$A$88,$BA$205^A27,IF(A27='Données projet'!$A$88,'Données projet'!$B$88,BD26+BC27-BL26)))</f>
        <v>245.20000000000005</v>
      </c>
      <c r="BE27" s="13">
        <f>BD27*VLOOKUP('Données projet'!$B$11,Paramètres!$A$1:$I$89,3,0)*VLOOKUP('Données projet'!$B$11,Paramètres!$A$1:$I$89,5,0)</f>
        <v>117.94120000000002</v>
      </c>
      <c r="BF27" s="13">
        <f t="shared" si="37"/>
        <v>31.194335444499696</v>
      </c>
      <c r="BG27" s="20">
        <f t="shared" si="7"/>
        <v>259.7443908991703</v>
      </c>
      <c r="BH27" s="59">
        <f t="shared" si="8"/>
        <v>553.07772423250367</v>
      </c>
      <c r="BI27" s="59">
        <f ca="1">AVERAGE(OFFSET($BH$3,0,0,'Données projet'!$E$11+1,1))-AVERAGE(OFFSET($H$3,0,0,'Données projet'!$E$11+1,1))</f>
        <v>371.85813103419366</v>
      </c>
      <c r="BJ27" s="59">
        <f t="shared" si="38"/>
        <v>370.01698880104584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3.4415227914791475</v>
      </c>
      <c r="BR27" s="21">
        <f>EXP(-LN(2)/2)*BR26+(1-EXP(-LN(2)/2))/(LN(2)/2)*BL27*BO27*VLOOKUP('Données projet'!$B$11,Paramètres!$A$1:$I$89,3,0)*0.475*44/12</f>
        <v>1.4976602715531333</v>
      </c>
      <c r="BS27" s="22">
        <f t="shared" si="9"/>
        <v>4.9391830630322806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18.5</v>
      </c>
      <c r="BY27" s="12">
        <f>IF('Données projet'!$A$114&gt;35,BY26+BX27-CG26,IF(A27&lt;'Données projet'!$A$114,$BV$205^A27,IF(A27='Données projet'!$A$114,'Données projet'!$B$114,BY26+BX27-CG26)))</f>
        <v>185.99999999999997</v>
      </c>
      <c r="BZ27" s="13">
        <f>BY27*VLOOKUP('Données projet'!$B$12,Paramètres!$A$1:$I$89,3,0)*VLOOKUP('Données projet'!$B$12,Paramètres!$A$1:$I$89,5,0)</f>
        <v>101.556</v>
      </c>
      <c r="CA27" s="13">
        <f t="shared" si="39"/>
        <v>27.332359320696909</v>
      </c>
      <c r="CB27" s="20">
        <f t="shared" si="10"/>
        <v>224.48055915021379</v>
      </c>
      <c r="CC27" s="59">
        <f t="shared" si="11"/>
        <v>517.81389248354708</v>
      </c>
      <c r="CD27" s="59">
        <f ca="1">AVERAGE(OFFSET($CC$3,0,0,'Données projet'!$E$12+1,1))-AVERAGE(OFFSET($H$3,0,0,'Données projet'!$E$12+1,1))</f>
        <v>248.1486444660062</v>
      </c>
      <c r="CE27" s="59">
        <f t="shared" si="40"/>
        <v>293.34458072322127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20.158577384925081</v>
      </c>
      <c r="CM27" s="21">
        <f>EXP(-LN(2)/2)*CM26+(1-EXP(-LN(2)/2))/(LN(2)/2)*CG27*CJ27*VLOOKUP('Données projet'!$B$12,Paramètres!$A$1:$I$89,3,0)*0.475*44/12</f>
        <v>7.5922544355823147</v>
      </c>
      <c r="CN27" s="22">
        <f t="shared" si="12"/>
        <v>27.750831820507397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16.600000000000001</v>
      </c>
      <c r="CT27" s="12">
        <f>IF('Données projet'!$A$140&gt;35,CT26+CS27-DB26,IF(A27&lt;'Données projet'!$A$140,$CQ$205^A27,IF(A27='Données projet'!$A$140,'Données projet'!$B$140,CT26+CS27-DB26)))</f>
        <v>147.39999999999998</v>
      </c>
      <c r="CU27" s="17">
        <f>CT27*VLOOKUP('Données projet'!$B$13,Paramètres!$A$1:$I$89,3,0)*VLOOKUP('Données projet'!$B$13,Paramètres!$A$1:$I$89,5,0)</f>
        <v>117.27144</v>
      </c>
      <c r="CV27" s="13">
        <f t="shared" si="41"/>
        <v>31.037758098997106</v>
      </c>
      <c r="CW27" s="20">
        <f t="shared" si="13"/>
        <v>258.30518668908661</v>
      </c>
      <c r="CX27" s="59">
        <f t="shared" si="14"/>
        <v>551.63852002241993</v>
      </c>
      <c r="CY27" s="59">
        <f ca="1">AVERAGE(OFFSET($CX$3,0,0,'Données projet'!$E$13+1,1))-AVERAGE(OFFSET($H$3,0,0,'Données projet'!$E$13+1,1))</f>
        <v>314.94704727988847</v>
      </c>
      <c r="CZ27" s="59">
        <f t="shared" si="42"/>
        <v>366.49199094166454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9.2780224553189825</v>
      </c>
      <c r="DH27" s="21">
        <f>EXP(-LN(2)/2)*DH26+(1-EXP(-LN(2)/2))/(LN(2)/2)*DB27*DE27*VLOOKUP('Données projet'!$B$13,Paramètres!$A$1:$I$89,3,0)*0.475*44/12</f>
        <v>3.9512806362027866</v>
      </c>
      <c r="DI27" s="22">
        <f t="shared" si="15"/>
        <v>13.22930309152177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27.5</v>
      </c>
      <c r="N28" s="13">
        <f>IF('Données projet'!$A$36&gt;35,N27+M28-V27,IF(A28&lt;'Données projet'!$A$36,$K$205^A28,IF(A28='Données projet'!$A$36,'Données projet'!$B$36,N27+M28-V27)))</f>
        <v>261.5</v>
      </c>
      <c r="O28" s="13">
        <f>N28*VLOOKUP('Données projet'!$B$9,Paramètres!$A$1:$I$89,3,0)*VLOOKUP('Données projet'!$B$9,Paramètres!$A$1:$I$89,5,0)</f>
        <v>146.17849999999999</v>
      </c>
      <c r="P28" s="13">
        <f t="shared" si="33"/>
        <v>37.708835970826762</v>
      </c>
      <c r="Q28" s="20">
        <f t="shared" si="2"/>
        <v>320.27044348252321</v>
      </c>
      <c r="R28" s="59">
        <f t="shared" si="0"/>
        <v>613.60377681585646</v>
      </c>
      <c r="S28" s="59">
        <f ca="1">AVERAGE(OFFSET($R$3,0,0,'Données projet'!$E$9+1,1))-AVERAGE(OFFSET($H$3,0,0,'Données projet'!$E$9+1,1))</f>
        <v>415.91544298418842</v>
      </c>
      <c r="T28" s="59">
        <f t="shared" si="34"/>
        <v>422.79312683312583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18.390216421604539</v>
      </c>
      <c r="AB28" s="21">
        <f>EXP(-LN(2)/2)*AB27+(1-EXP(-LN(2)/2))/(LN(2)/2)*V28*Y28*VLOOKUP('Données projet'!$B$9,Paramètres!$A$1:$I$89,3,0)*0.475*44/12</f>
        <v>5.8180265873833799</v>
      </c>
      <c r="AC28" s="22">
        <f t="shared" si="3"/>
        <v>24.208243008987917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18.3</v>
      </c>
      <c r="AI28" s="13">
        <f>IF('Données projet'!$A$62&gt;35,AI27+AH28-AQ27,IF(A28&lt;'Données projet'!$A$62,$AF$205^A28,IF(A28='Données projet'!$A$62,'Données projet'!$B$62,AI27+AH28-AQ27)))</f>
        <v>201.50000000000006</v>
      </c>
      <c r="AJ28" s="13">
        <f>AI28*VLOOKUP('Données projet'!$B$10,Paramètres!$A$1:$I$89,3,0)*VLOOKUP('Données projet'!$B$10,Paramètres!$A$1:$I$89,5,0)</f>
        <v>120.49700000000004</v>
      </c>
      <c r="AK28" s="13">
        <f t="shared" si="35"/>
        <v>31.790888484192322</v>
      </c>
      <c r="AL28" s="20">
        <f t="shared" si="4"/>
        <v>265.23473910996836</v>
      </c>
      <c r="AM28" s="59">
        <f t="shared" si="5"/>
        <v>558.56807244330162</v>
      </c>
      <c r="AN28" s="59">
        <f ca="1">AVERAGE(OFFSET($AM$3,0,0,'Données projet'!$E$10+1,1))-AVERAGE(OFFSET($H$3,0,0,'Données projet'!$E$10+1,1))</f>
        <v>311.06126148520821</v>
      </c>
      <c r="AO28" s="59">
        <f t="shared" si="36"/>
        <v>321.1728368524748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6.5004285887717472</v>
      </c>
      <c r="AW28" s="21">
        <f>EXP(-LN(2)/2)*AW27+(1-EXP(-LN(2)/2))/(LN(2)/2)*AQ28*AT28*VLOOKUP('Données projet'!$B$10,Paramètres!$A$1:$I$89,3,0)*0.475*44/12</f>
        <v>2.5135123807747521</v>
      </c>
      <c r="AX28" s="21">
        <f t="shared" si="6"/>
        <v>9.0139409695464998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27.8</v>
      </c>
      <c r="BD28" s="12">
        <f>IF('Données projet'!$A$88&gt;35,BD27+BC28-BL27,IF(A28&lt;'Données projet'!$A$88,$BA$205^A28,IF(A28='Données projet'!$A$88,'Données projet'!$B$88,BD27+BC28-BL27)))</f>
        <v>273.00000000000006</v>
      </c>
      <c r="BE28" s="13">
        <f>BD28*VLOOKUP('Données projet'!$B$11,Paramètres!$A$1:$I$89,3,0)*VLOOKUP('Données projet'!$B$11,Paramètres!$A$1:$I$89,5,0)</f>
        <v>131.31300000000002</v>
      </c>
      <c r="BF28" s="13">
        <f t="shared" si="37"/>
        <v>34.299577406379022</v>
      </c>
      <c r="BG28" s="20">
        <f t="shared" si="7"/>
        <v>288.44190564944347</v>
      </c>
      <c r="BH28" s="59">
        <f t="shared" si="8"/>
        <v>581.77523898277673</v>
      </c>
      <c r="BI28" s="59">
        <f ca="1">AVERAGE(OFFSET($BH$3,0,0,'Données projet'!$E$11+1,1))-AVERAGE(OFFSET($H$3,0,0,'Données projet'!$E$11+1,1))</f>
        <v>371.85813103419366</v>
      </c>
      <c r="BJ28" s="59">
        <f t="shared" si="38"/>
        <v>370.01698880104584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3.3474141697643325</v>
      </c>
      <c r="BR28" s="21">
        <f>EXP(-LN(2)/2)*BR27+(1-EXP(-LN(2)/2))/(LN(2)/2)*BL28*BO28*VLOOKUP('Données projet'!$B$11,Paramètres!$A$1:$I$89,3,0)*0.475*44/12</f>
        <v>1.059005733928907</v>
      </c>
      <c r="BS28" s="22">
        <f t="shared" si="9"/>
        <v>4.406419903693239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18.5</v>
      </c>
      <c r="BY28" s="12">
        <f>IF('Données projet'!$A$114&gt;35,BY27+BX28-CG27,IF(A28&lt;'Données projet'!$A$114,$BV$205^A28,IF(A28='Données projet'!$A$114,'Données projet'!$B$114,BY27+BX28-CG27)))</f>
        <v>204.49999999999997</v>
      </c>
      <c r="BZ28" s="13">
        <f>BY28*VLOOKUP('Données projet'!$B$12,Paramètres!$A$1:$I$89,3,0)*VLOOKUP('Données projet'!$B$12,Paramètres!$A$1:$I$89,5,0)</f>
        <v>111.65699999999998</v>
      </c>
      <c r="CA28" s="13">
        <f t="shared" si="39"/>
        <v>29.721046333209543</v>
      </c>
      <c r="CB28" s="20">
        <f t="shared" si="10"/>
        <v>246.23343069700653</v>
      </c>
      <c r="CC28" s="59">
        <f t="shared" si="11"/>
        <v>539.56676403033987</v>
      </c>
      <c r="CD28" s="59">
        <f ca="1">AVERAGE(OFFSET($CC$3,0,0,'Données projet'!$E$12+1,1))-AVERAGE(OFFSET($H$3,0,0,'Données projet'!$E$12+1,1))</f>
        <v>248.1486444660062</v>
      </c>
      <c r="CE28" s="59">
        <f t="shared" si="40"/>
        <v>293.34458072322127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19.607340026240795</v>
      </c>
      <c r="CM28" s="21">
        <f>EXP(-LN(2)/2)*CM27+(1-EXP(-LN(2)/2))/(LN(2)/2)*CG28*CJ28*VLOOKUP('Données projet'!$B$12,Paramètres!$A$1:$I$89,3,0)*0.475*44/12</f>
        <v>5.368534595893899</v>
      </c>
      <c r="CN28" s="22">
        <f t="shared" si="12"/>
        <v>24.975874622134693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16.600000000000001</v>
      </c>
      <c r="CT28" s="12">
        <f>IF('Données projet'!$A$140&gt;35,CT27+CS28-DB27,IF(A28&lt;'Données projet'!$A$140,$CQ$205^A28,IF(A28='Données projet'!$A$140,'Données projet'!$B$140,CT27+CS28-DB27)))</f>
        <v>163.99999999999997</v>
      </c>
      <c r="CU28" s="17">
        <f>CT28*VLOOKUP('Données projet'!$B$13,Paramètres!$A$1:$I$89,3,0)*VLOOKUP('Données projet'!$B$13,Paramètres!$A$1:$I$89,5,0)</f>
        <v>130.47839999999999</v>
      </c>
      <c r="CV28" s="13">
        <f t="shared" si="41"/>
        <v>34.106879882626828</v>
      </c>
      <c r="CW28" s="20">
        <f t="shared" si="13"/>
        <v>286.65269579557503</v>
      </c>
      <c r="CX28" s="59">
        <f t="shared" si="14"/>
        <v>579.98602912890829</v>
      </c>
      <c r="CY28" s="59">
        <f ca="1">AVERAGE(OFFSET($CX$3,0,0,'Données projet'!$E$13+1,1))-AVERAGE(OFFSET($H$3,0,0,'Données projet'!$E$13+1,1))</f>
        <v>314.94704727988847</v>
      </c>
      <c r="CZ28" s="59">
        <f t="shared" si="42"/>
        <v>366.49199094166454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9.02431444336829</v>
      </c>
      <c r="DH28" s="21">
        <f>EXP(-LN(2)/2)*DH27+(1-EXP(-LN(2)/2))/(LN(2)/2)*DB28*DE28*VLOOKUP('Données projet'!$B$13,Paramètres!$A$1:$I$89,3,0)*0.475*44/12</f>
        <v>2.7939773322300865</v>
      </c>
      <c r="DI28" s="22">
        <f t="shared" si="15"/>
        <v>11.818291775598377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27.5</v>
      </c>
      <c r="N29" s="13">
        <f>IF('Données projet'!$A$36&gt;35,N28+M29-V28,IF(A29&lt;'Données projet'!$A$36,$K$205^A29,IF(A29='Données projet'!$A$36,'Données projet'!$B$36,N28+M29-V28)))</f>
        <v>289</v>
      </c>
      <c r="O29" s="13">
        <f>N29*VLOOKUP('Données projet'!$B$9,Paramètres!$A$1:$I$89,3,0)*VLOOKUP('Données projet'!$B$9,Paramètres!$A$1:$I$89,5,0)</f>
        <v>161.55099999999999</v>
      </c>
      <c r="P29" s="13">
        <f t="shared" si="33"/>
        <v>41.192151127280063</v>
      </c>
      <c r="Q29" s="20">
        <f t="shared" si="2"/>
        <v>353.11098821334605</v>
      </c>
      <c r="R29" s="59">
        <f t="shared" si="0"/>
        <v>646.44432154667936</v>
      </c>
      <c r="S29" s="59">
        <f ca="1">AVERAGE(OFFSET($R$3,0,0,'Données projet'!$E$9+1,1))-AVERAGE(OFFSET($H$3,0,0,'Données projet'!$E$9+1,1))</f>
        <v>415.91544298418842</v>
      </c>
      <c r="T29" s="59">
        <f t="shared" si="34"/>
        <v>422.79312683312583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17.887334986456313</v>
      </c>
      <c r="AB29" s="21">
        <f>EXP(-LN(2)/2)*AB28+(1-EXP(-LN(2)/2))/(LN(2)/2)*V29*Y29*VLOOKUP('Données projet'!$B$9,Paramètres!$A$1:$I$89,3,0)*0.475*44/12</f>
        <v>4.1139660530624154</v>
      </c>
      <c r="AC29" s="22">
        <f t="shared" si="3"/>
        <v>22.001301039518729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18.3</v>
      </c>
      <c r="AI29" s="13">
        <f>IF('Données projet'!$A$62&gt;35,AI28+AH29-AQ28,IF(A29&lt;'Données projet'!$A$62,$AF$205^A29,IF(A29='Données projet'!$A$62,'Données projet'!$B$62,AI28+AH29-AQ28)))</f>
        <v>219.80000000000007</v>
      </c>
      <c r="AJ29" s="13">
        <f>AI29*VLOOKUP('Données projet'!$B$10,Paramètres!$A$1:$I$89,3,0)*VLOOKUP('Données projet'!$B$10,Paramètres!$A$1:$I$89,5,0)</f>
        <v>131.44040000000004</v>
      </c>
      <c r="AK29" s="13">
        <f t="shared" si="35"/>
        <v>34.328979730885401</v>
      </c>
      <c r="AL29" s="20">
        <f t="shared" si="4"/>
        <v>288.71500303129216</v>
      </c>
      <c r="AM29" s="59">
        <f t="shared" si="5"/>
        <v>582.04833636462547</v>
      </c>
      <c r="AN29" s="59">
        <f ca="1">AVERAGE(OFFSET($AM$3,0,0,'Données projet'!$E$10+1,1))-AVERAGE(OFFSET($H$3,0,0,'Données projet'!$E$10+1,1))</f>
        <v>311.06126148520821</v>
      </c>
      <c r="AO29" s="59">
        <f t="shared" si="36"/>
        <v>321.1728368524748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6.3226740271691009</v>
      </c>
      <c r="AW29" s="21">
        <f>EXP(-LN(2)/2)*AW28+(1-EXP(-LN(2)/2))/(LN(2)/2)*AQ29*AT29*VLOOKUP('Données projet'!$B$10,Paramètres!$A$1:$I$89,3,0)*0.475*44/12</f>
        <v>1.7773216490421708</v>
      </c>
      <c r="AX29" s="21">
        <f t="shared" si="6"/>
        <v>8.0999956762112717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27.8</v>
      </c>
      <c r="BD29" s="12">
        <f>IF('Données projet'!$A$88&gt;35,BD28+BC29-BL28,IF(A29&lt;'Données projet'!$A$88,$BA$205^A29,IF(A29='Données projet'!$A$88,'Données projet'!$B$88,BD28+BC29-BL28)))</f>
        <v>300.80000000000007</v>
      </c>
      <c r="BE29" s="13">
        <f>BD29*VLOOKUP('Données projet'!$B$11,Paramètres!$A$1:$I$89,3,0)*VLOOKUP('Données projet'!$B$11,Paramètres!$A$1:$I$89,5,0)</f>
        <v>144.68480000000002</v>
      </c>
      <c r="BF29" s="13">
        <f t="shared" si="37"/>
        <v>37.36816282450549</v>
      </c>
      <c r="BG29" s="20">
        <f t="shared" si="7"/>
        <v>317.07557691934716</v>
      </c>
      <c r="BH29" s="59">
        <f t="shared" si="8"/>
        <v>610.40891025268047</v>
      </c>
      <c r="BI29" s="59">
        <f ca="1">AVERAGE(OFFSET($BH$3,0,0,'Données projet'!$E$11+1,1))-AVERAGE(OFFSET($H$3,0,0,'Données projet'!$E$11+1,1))</f>
        <v>371.85813103419366</v>
      </c>
      <c r="BJ29" s="59">
        <f t="shared" si="38"/>
        <v>370.01698880104584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3.2558789532592662</v>
      </c>
      <c r="BR29" s="21">
        <f>EXP(-LN(2)/2)*BR28+(1-EXP(-LN(2)/2))/(LN(2)/2)*BL29*BO29*VLOOKUP('Données projet'!$B$11,Paramètres!$A$1:$I$89,3,0)*0.475*44/12</f>
        <v>0.74883013577656687</v>
      </c>
      <c r="BS29" s="22">
        <f t="shared" si="9"/>
        <v>4.004709089035833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18.5</v>
      </c>
      <c r="BY29" s="12">
        <f>IF('Données projet'!$A$114&gt;35,BY28+BX29-CG28,IF(A29&lt;'Données projet'!$A$114,$BV$205^A29,IF(A29='Données projet'!$A$114,'Données projet'!$B$114,BY28+BX29-CG28)))</f>
        <v>222.99999999999997</v>
      </c>
      <c r="BZ29" s="13">
        <f>BY29*VLOOKUP('Données projet'!$B$12,Paramètres!$A$1:$I$89,3,0)*VLOOKUP('Données projet'!$B$12,Paramètres!$A$1:$I$89,5,0)</f>
        <v>121.75799999999998</v>
      </c>
      <c r="CA29" s="13">
        <f t="shared" si="39"/>
        <v>32.084676216474307</v>
      </c>
      <c r="CB29" s="20">
        <f t="shared" si="10"/>
        <v>267.942661077026</v>
      </c>
      <c r="CC29" s="59">
        <f t="shared" si="11"/>
        <v>561.27599441035932</v>
      </c>
      <c r="CD29" s="59">
        <f ca="1">AVERAGE(OFFSET($CC$3,0,0,'Données projet'!$E$12+1,1))-AVERAGE(OFFSET($H$3,0,0,'Données projet'!$E$12+1,1))</f>
        <v>248.1486444660062</v>
      </c>
      <c r="CE29" s="59">
        <f t="shared" si="40"/>
        <v>293.34458072322127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19.071176282118042</v>
      </c>
      <c r="CM29" s="21">
        <f>EXP(-LN(2)/2)*CM28+(1-EXP(-LN(2)/2))/(LN(2)/2)*CG29*CJ29*VLOOKUP('Données projet'!$B$12,Paramètres!$A$1:$I$89,3,0)*0.475*44/12</f>
        <v>3.7961272177911578</v>
      </c>
      <c r="CN29" s="22">
        <f t="shared" si="12"/>
        <v>22.867303499909198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16.600000000000001</v>
      </c>
      <c r="CT29" s="12">
        <f>IF('Données projet'!$A$140&gt;35,CT28+CS29-DB28,IF(A29&lt;'Données projet'!$A$140,$CQ$205^A29,IF(A29='Données projet'!$A$140,'Données projet'!$B$140,CT28+CS29-DB28)))</f>
        <v>180.59999999999997</v>
      </c>
      <c r="CU29" s="17">
        <f>CT29*VLOOKUP('Données projet'!$B$13,Paramètres!$A$1:$I$89,3,0)*VLOOKUP('Données projet'!$B$13,Paramètres!$A$1:$I$89,5,0)</f>
        <v>143.68535999999997</v>
      </c>
      <c r="CV29" s="13">
        <f t="shared" si="41"/>
        <v>37.139988755891473</v>
      </c>
      <c r="CW29" s="20">
        <f t="shared" si="13"/>
        <v>314.93748241651093</v>
      </c>
      <c r="CX29" s="59">
        <f t="shared" si="14"/>
        <v>608.27081574984425</v>
      </c>
      <c r="CY29" s="59">
        <f ca="1">AVERAGE(OFFSET($CX$3,0,0,'Données projet'!$E$13+1,1))-AVERAGE(OFFSET($H$3,0,0,'Données projet'!$E$13+1,1))</f>
        <v>314.94704727988847</v>
      </c>
      <c r="CZ29" s="59">
        <f t="shared" si="42"/>
        <v>366.49199094166454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8.7775440903463124</v>
      </c>
      <c r="DH29" s="21">
        <f>EXP(-LN(2)/2)*DH28+(1-EXP(-LN(2)/2))/(LN(2)/2)*DB29*DE29*VLOOKUP('Données projet'!$B$13,Paramètres!$A$1:$I$89,3,0)*0.475*44/12</f>
        <v>1.9756403181013937</v>
      </c>
      <c r="DI29" s="22">
        <f t="shared" si="15"/>
        <v>10.753184408447707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27.5</v>
      </c>
      <c r="N30" s="13">
        <f>IF('Données projet'!$A$36&gt;35,N29+M30-V29,IF(A30&lt;'Données projet'!$A$36,$K$205^A30,IF(A30='Données projet'!$A$36,'Données projet'!$B$36,N29+M30-V29)))</f>
        <v>316.5</v>
      </c>
      <c r="O30" s="13">
        <f>N30*VLOOKUP('Données projet'!$B$9,Paramètres!$A$1:$I$89,3,0)*VLOOKUP('Données projet'!$B$9,Paramètres!$A$1:$I$89,5,0)</f>
        <v>176.92350000000002</v>
      </c>
      <c r="P30" s="13">
        <f t="shared" si="33"/>
        <v>44.637036366733298</v>
      </c>
      <c r="Q30" s="20">
        <f t="shared" si="2"/>
        <v>385.88460083872718</v>
      </c>
      <c r="R30" s="59">
        <f t="shared" si="0"/>
        <v>679.2179341720605</v>
      </c>
      <c r="S30" s="59">
        <f ca="1">AVERAGE(OFFSET($R$3,0,0,'Données projet'!$E$9+1,1))-AVERAGE(OFFSET($H$3,0,0,'Données projet'!$E$9+1,1))</f>
        <v>415.91544298418842</v>
      </c>
      <c r="T30" s="59">
        <f t="shared" si="34"/>
        <v>422.79312683312583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17.398204870597599</v>
      </c>
      <c r="AB30" s="21">
        <f>EXP(-LN(2)/2)*AB29+(1-EXP(-LN(2)/2))/(LN(2)/2)*V30*Y30*VLOOKUP('Données projet'!$B$9,Paramètres!$A$1:$I$89,3,0)*0.475*44/12</f>
        <v>2.9090132936916899</v>
      </c>
      <c r="AC30" s="22">
        <f t="shared" si="3"/>
        <v>20.307218164289289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18.3</v>
      </c>
      <c r="AI30" s="13">
        <f>IF('Données projet'!$A$62&gt;35,AI29+AH30-AQ29,IF(A30&lt;'Données projet'!$A$62,$AF$205^A30,IF(A30='Données projet'!$A$62,'Données projet'!$B$62,AI29+AH30-AQ29)))</f>
        <v>238.10000000000008</v>
      </c>
      <c r="AJ30" s="13">
        <f>AI30*VLOOKUP('Données projet'!$B$10,Paramètres!$A$1:$I$89,3,0)*VLOOKUP('Données projet'!$B$10,Paramètres!$A$1:$I$89,5,0)</f>
        <v>142.38380000000006</v>
      </c>
      <c r="AK30" s="13">
        <f t="shared" si="35"/>
        <v>36.842562829894852</v>
      </c>
      <c r="AL30" s="20">
        <f t="shared" si="4"/>
        <v>312.15258192873364</v>
      </c>
      <c r="AM30" s="59">
        <f t="shared" si="5"/>
        <v>605.48591526206701</v>
      </c>
      <c r="AN30" s="59">
        <f ca="1">AVERAGE(OFFSET($AM$3,0,0,'Données projet'!$E$10+1,1))-AVERAGE(OFFSET($H$3,0,0,'Données projet'!$E$10+1,1))</f>
        <v>311.06126148520821</v>
      </c>
      <c r="AO30" s="59">
        <f t="shared" si="36"/>
        <v>321.1728368524748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6.1497801734011857</v>
      </c>
      <c r="AW30" s="21">
        <f>EXP(-LN(2)/2)*AW29+(1-EXP(-LN(2)/2))/(LN(2)/2)*AQ30*AT30*VLOOKUP('Données projet'!$B$10,Paramètres!$A$1:$I$89,3,0)*0.475*44/12</f>
        <v>1.2567561903873763</v>
      </c>
      <c r="AX30" s="21">
        <f t="shared" si="6"/>
        <v>7.4065363637885619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27.8</v>
      </c>
      <c r="BD30" s="12">
        <f>IF('Données projet'!$A$88&gt;35,BD29+BC30-BL29,IF(A30&lt;'Données projet'!$A$88,$BA$205^A30,IF(A30='Données projet'!$A$88,'Données projet'!$B$88,BD29+BC30-BL29)))</f>
        <v>328.60000000000008</v>
      </c>
      <c r="BE30" s="13">
        <f>BD30*VLOOKUP('Données projet'!$B$11,Paramètres!$A$1:$I$89,3,0)*VLOOKUP('Données projet'!$B$11,Paramètres!$A$1:$I$89,5,0)</f>
        <v>158.05660000000003</v>
      </c>
      <c r="BF30" s="13">
        <f t="shared" si="37"/>
        <v>40.403864835143331</v>
      </c>
      <c r="BG30" s="20">
        <f t="shared" si="7"/>
        <v>345.65197625454135</v>
      </c>
      <c r="BH30" s="59">
        <f t="shared" si="8"/>
        <v>638.98530958787467</v>
      </c>
      <c r="BI30" s="59">
        <f ca="1">AVERAGE(OFFSET($BH$3,0,0,'Données projet'!$E$11+1,1))-AVERAGE(OFFSET($H$3,0,0,'Données projet'!$E$11+1,1))</f>
        <v>371.85813103419366</v>
      </c>
      <c r="BJ30" s="59">
        <f t="shared" si="38"/>
        <v>370.01698880104584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3.1668467720631588</v>
      </c>
      <c r="BR30" s="21">
        <f>EXP(-LN(2)/2)*BR29+(1-EXP(-LN(2)/2))/(LN(2)/2)*BL30*BO30*VLOOKUP('Données projet'!$B$11,Paramètres!$A$1:$I$89,3,0)*0.475*44/12</f>
        <v>0.52950286696445359</v>
      </c>
      <c r="BS30" s="22">
        <f t="shared" si="9"/>
        <v>3.6963496390276123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18.5</v>
      </c>
      <c r="BY30" s="12">
        <f>IF('Données projet'!$A$114&gt;35,BY29+BX30-CG29,IF(A30&lt;'Données projet'!$A$114,$BV$205^A30,IF(A30='Données projet'!$A$114,'Données projet'!$B$114,BY29+BX30-CG29)))</f>
        <v>241.49999999999997</v>
      </c>
      <c r="BZ30" s="13">
        <f>BY30*VLOOKUP('Données projet'!$B$12,Paramètres!$A$1:$I$89,3,0)*VLOOKUP('Données projet'!$B$12,Paramètres!$A$1:$I$89,5,0)</f>
        <v>131.85899999999998</v>
      </c>
      <c r="CA30" s="13">
        <f t="shared" si="39"/>
        <v>34.425564033098446</v>
      </c>
      <c r="CB30" s="20">
        <f t="shared" si="10"/>
        <v>289.61228235764639</v>
      </c>
      <c r="CC30" s="59">
        <f t="shared" si="11"/>
        <v>582.94561569097971</v>
      </c>
      <c r="CD30" s="59">
        <f ca="1">AVERAGE(OFFSET($CC$3,0,0,'Données projet'!$E$12+1,1))-AVERAGE(OFFSET($H$3,0,0,'Données projet'!$E$12+1,1))</f>
        <v>248.1486444660062</v>
      </c>
      <c r="CE30" s="59">
        <f t="shared" si="40"/>
        <v>293.34458072322127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18.549673963773952</v>
      </c>
      <c r="CM30" s="21">
        <f>EXP(-LN(2)/2)*CM29+(1-EXP(-LN(2)/2))/(LN(2)/2)*CG30*CJ30*VLOOKUP('Données projet'!$B$12,Paramètres!$A$1:$I$89,3,0)*0.475*44/12</f>
        <v>2.68426729794695</v>
      </c>
      <c r="CN30" s="22">
        <f t="shared" si="12"/>
        <v>21.233941261720901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16.600000000000001</v>
      </c>
      <c r="CT30" s="12">
        <f>IF('Données projet'!$A$140&gt;35,CT29+CS30-DB29,IF(A30&lt;'Données projet'!$A$140,$CQ$205^A30,IF(A30='Données projet'!$A$140,'Données projet'!$B$140,CT29+CS30-DB29)))</f>
        <v>197.19999999999996</v>
      </c>
      <c r="CU30" s="17">
        <f>CT30*VLOOKUP('Données projet'!$B$13,Paramètres!$A$1:$I$89,3,0)*VLOOKUP('Données projet'!$B$13,Paramètres!$A$1:$I$89,5,0)</f>
        <v>156.89231999999998</v>
      </c>
      <c r="CV30" s="13">
        <f t="shared" si="41"/>
        <v>40.140771359113288</v>
      </c>
      <c r="CW30" s="20">
        <f t="shared" si="13"/>
        <v>343.16596745045558</v>
      </c>
      <c r="CX30" s="59">
        <f t="shared" si="14"/>
        <v>636.49930078378884</v>
      </c>
      <c r="CY30" s="59">
        <f ca="1">AVERAGE(OFFSET($CX$3,0,0,'Données projet'!$E$13+1,1))-AVERAGE(OFFSET($H$3,0,0,'Données projet'!$E$13+1,1))</f>
        <v>314.94704727988847</v>
      </c>
      <c r="CZ30" s="59">
        <f t="shared" si="42"/>
        <v>366.49199094166454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8.5375216856048102</v>
      </c>
      <c r="DH30" s="21">
        <f>EXP(-LN(2)/2)*DH29+(1-EXP(-LN(2)/2))/(LN(2)/2)*DB30*DE30*VLOOKUP('Données projet'!$B$13,Paramètres!$A$1:$I$89,3,0)*0.475*44/12</f>
        <v>1.3969886661150435</v>
      </c>
      <c r="DI30" s="22">
        <f t="shared" si="15"/>
        <v>9.9345103517198545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27.5</v>
      </c>
      <c r="N31" s="13">
        <f>IF('Données projet'!$A$36&gt;35,N30+M31-V30,IF(A31&lt;'Données projet'!$A$36,$K$205^A31,IF(A31='Données projet'!$A$36,'Données projet'!$B$36,N30+M31-V30)))</f>
        <v>344</v>
      </c>
      <c r="O31" s="13">
        <f>N31*VLOOKUP('Données projet'!$B$9,Paramètres!$A$1:$I$89,3,0)*VLOOKUP('Données projet'!$B$9,Paramètres!$A$1:$I$89,5,0)</f>
        <v>192.29599999999999</v>
      </c>
      <c r="P31" s="13">
        <f t="shared" si="33"/>
        <v>48.047210442610933</v>
      </c>
      <c r="Q31" s="20">
        <f t="shared" si="2"/>
        <v>418.59775818754741</v>
      </c>
      <c r="R31" s="59">
        <f t="shared" si="0"/>
        <v>711.93109152088073</v>
      </c>
      <c r="S31" s="59">
        <f ca="1">AVERAGE(OFFSET($R$3,0,0,'Données projet'!$E$9+1,1))-AVERAGE(OFFSET($H$3,0,0,'Données projet'!$E$9+1,1))</f>
        <v>415.91544298418842</v>
      </c>
      <c r="T31" s="59">
        <f t="shared" si="34"/>
        <v>422.79312683312583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16.922450043479277</v>
      </c>
      <c r="AB31" s="21">
        <f>EXP(-LN(2)/2)*AB30+(1-EXP(-LN(2)/2))/(LN(2)/2)*V31*Y31*VLOOKUP('Données projet'!$B$9,Paramètres!$A$1:$I$89,3,0)*0.475*44/12</f>
        <v>2.0569830265312077</v>
      </c>
      <c r="AC31" s="22">
        <f t="shared" si="3"/>
        <v>18.979433070010483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18.3</v>
      </c>
      <c r="AI31" s="13">
        <f>IF('Données projet'!$A$62&gt;35,AI30+AH31-AQ30,IF(A31&lt;'Données projet'!$A$62,$AF$205^A31,IF(A31='Données projet'!$A$62,'Données projet'!$B$62,AI30+AH31-AQ30)))</f>
        <v>256.40000000000009</v>
      </c>
      <c r="AJ31" s="13">
        <f>AI31*VLOOKUP('Données projet'!$B$10,Paramètres!$A$1:$I$89,3,0)*VLOOKUP('Données projet'!$B$10,Paramètres!$A$1:$I$89,5,0)</f>
        <v>153.32720000000006</v>
      </c>
      <c r="AK31" s="13">
        <f t="shared" si="35"/>
        <v>39.333735610594964</v>
      </c>
      <c r="AL31" s="20">
        <f t="shared" si="4"/>
        <v>335.55112952178632</v>
      </c>
      <c r="AM31" s="59">
        <f t="shared" si="5"/>
        <v>628.88446285511964</v>
      </c>
      <c r="AN31" s="59">
        <f ca="1">AVERAGE(OFFSET($AM$3,0,0,'Données projet'!$E$10+1,1))-AVERAGE(OFFSET($H$3,0,0,'Données projet'!$E$10+1,1))</f>
        <v>311.06126148520821</v>
      </c>
      <c r="AO31" s="59">
        <f t="shared" si="36"/>
        <v>321.1728368524748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5.9816141111566461</v>
      </c>
      <c r="AW31" s="21">
        <f>EXP(-LN(2)/2)*AW30+(1-EXP(-LN(2)/2))/(LN(2)/2)*AQ31*AT31*VLOOKUP('Données projet'!$B$10,Paramètres!$A$1:$I$89,3,0)*0.475*44/12</f>
        <v>0.88866082452108563</v>
      </c>
      <c r="AX31" s="21">
        <f t="shared" si="6"/>
        <v>6.870274935677732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27.8</v>
      </c>
      <c r="BD31" s="12">
        <f>IF('Données projet'!$A$88&gt;35,BD30+BC31-BL30,IF(A31&lt;'Données projet'!$A$88,$BA$205^A31,IF(A31='Données projet'!$A$88,'Données projet'!$B$88,BD30+BC31-BL30)))</f>
        <v>356.40000000000009</v>
      </c>
      <c r="BE31" s="13">
        <f>BD31*VLOOKUP('Données projet'!$B$11,Paramètres!$A$1:$I$89,3,0)*VLOOKUP('Données projet'!$B$11,Paramètres!$A$1:$I$89,5,0)</f>
        <v>171.42840000000004</v>
      </c>
      <c r="BF31" s="13">
        <f t="shared" si="37"/>
        <v>43.409781712258457</v>
      </c>
      <c r="BG31" s="20">
        <f t="shared" si="7"/>
        <v>374.17649981551682</v>
      </c>
      <c r="BH31" s="59">
        <f t="shared" si="8"/>
        <v>667.50983314885013</v>
      </c>
      <c r="BI31" s="59">
        <f ca="1">AVERAGE(OFFSET($BH$3,0,0,'Données projet'!$E$11+1,1))-AVERAGE(OFFSET($H$3,0,0,'Données projet'!$E$11+1,1))</f>
        <v>371.85813103419366</v>
      </c>
      <c r="BJ31" s="59">
        <f t="shared" si="38"/>
        <v>370.01698880104584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3.0802491805438579</v>
      </c>
      <c r="BR31" s="21">
        <f>EXP(-LN(2)/2)*BR30+(1-EXP(-LN(2)/2))/(LN(2)/2)*BL31*BO31*VLOOKUP('Données projet'!$B$11,Paramètres!$A$1:$I$89,3,0)*0.475*44/12</f>
        <v>0.37441506788828349</v>
      </c>
      <c r="BS31" s="22">
        <f t="shared" si="9"/>
        <v>3.4546642484321413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18.5</v>
      </c>
      <c r="BY31" s="12">
        <f>IF('Données projet'!$A$114&gt;35,BY30+BX31-CG30,IF(A31&lt;'Données projet'!$A$114,$BV$205^A31,IF(A31='Données projet'!$A$114,'Données projet'!$B$114,BY30+BX31-CG30)))</f>
        <v>260</v>
      </c>
      <c r="BZ31" s="13">
        <f>BY31*VLOOKUP('Données projet'!$B$12,Paramètres!$A$1:$I$89,3,0)*VLOOKUP('Données projet'!$B$12,Paramètres!$A$1:$I$89,5,0)</f>
        <v>141.96</v>
      </c>
      <c r="CA31" s="13">
        <f t="shared" si="39"/>
        <v>36.745650011720485</v>
      </c>
      <c r="CB31" s="20">
        <f t="shared" si="10"/>
        <v>311.24567377041313</v>
      </c>
      <c r="CC31" s="59">
        <f t="shared" si="11"/>
        <v>604.57900710374645</v>
      </c>
      <c r="CD31" s="59">
        <f ca="1">AVERAGE(OFFSET($CC$3,0,0,'Données projet'!$E$12+1,1))-AVERAGE(OFFSET($H$3,0,0,'Données projet'!$E$12+1,1))</f>
        <v>248.1486444660062</v>
      </c>
      <c r="CE31" s="59">
        <f t="shared" si="40"/>
        <v>293.34458072322127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18.042432153749594</v>
      </c>
      <c r="CM31" s="21">
        <f>EXP(-LN(2)/2)*CM30+(1-EXP(-LN(2)/2))/(LN(2)/2)*CG31*CJ31*VLOOKUP('Données projet'!$B$12,Paramètres!$A$1:$I$89,3,0)*0.475*44/12</f>
        <v>1.8980636088955793</v>
      </c>
      <c r="CN31" s="22">
        <f t="shared" si="12"/>
        <v>19.940495762645174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16.600000000000001</v>
      </c>
      <c r="CT31" s="12">
        <f>IF('Données projet'!$A$140&gt;35,CT30+CS31-DB30,IF(A31&lt;'Données projet'!$A$140,$CQ$205^A31,IF(A31='Données projet'!$A$140,'Données projet'!$B$140,CT30+CS31-DB30)))</f>
        <v>213.79999999999995</v>
      </c>
      <c r="CU31" s="17">
        <f>CT31*VLOOKUP('Données projet'!$B$13,Paramètres!$A$1:$I$89,3,0)*VLOOKUP('Données projet'!$B$13,Paramètres!$A$1:$I$89,5,0)</f>
        <v>170.09927999999996</v>
      </c>
      <c r="CV31" s="13">
        <f t="shared" si="41"/>
        <v>43.112258247107711</v>
      </c>
      <c r="CW31" s="20">
        <f t="shared" si="13"/>
        <v>371.34342911371255</v>
      </c>
      <c r="CX31" s="59">
        <f t="shared" si="14"/>
        <v>664.6767624470458</v>
      </c>
      <c r="CY31" s="59">
        <f ca="1">AVERAGE(OFFSET($CX$3,0,0,'Données projet'!$E$13+1,1))-AVERAGE(OFFSET($H$3,0,0,'Données projet'!$E$13+1,1))</f>
        <v>314.94704727988847</v>
      </c>
      <c r="CZ31" s="59">
        <f t="shared" si="42"/>
        <v>366.49199094166454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8.3040627061431938</v>
      </c>
      <c r="DH31" s="21">
        <f>EXP(-LN(2)/2)*DH30+(1-EXP(-LN(2)/2))/(LN(2)/2)*DB31*DE31*VLOOKUP('Données projet'!$B$13,Paramètres!$A$1:$I$89,3,0)*0.475*44/12</f>
        <v>0.98782015905069698</v>
      </c>
      <c r="DI31" s="22">
        <f t="shared" si="15"/>
        <v>9.291882865193891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27.5</v>
      </c>
      <c r="N32" s="13">
        <f>IF('Données projet'!$A$36&gt;35,N31+M32-V31,IF(A32&lt;'Données projet'!$A$36,$K$205^A32,IF(A32='Données projet'!$A$36,'Données projet'!$B$36,N31+M32-V31)))</f>
        <v>371.5</v>
      </c>
      <c r="O32" s="13">
        <f>N32*VLOOKUP('Données projet'!$B$9,Paramètres!$A$1:$I$89,3,0)*VLOOKUP('Données projet'!$B$9,Paramètres!$A$1:$I$89,5,0)</f>
        <v>207.66850000000002</v>
      </c>
      <c r="P32" s="13">
        <f t="shared" si="33"/>
        <v>51.4257637081664</v>
      </c>
      <c r="Q32" s="20">
        <f t="shared" si="2"/>
        <v>451.25584262505646</v>
      </c>
      <c r="R32" s="59">
        <f t="shared" si="0"/>
        <v>744.58917595838977</v>
      </c>
      <c r="S32" s="59">
        <f ca="1">AVERAGE(OFFSET($R$3,0,0,'Données projet'!$E$9+1,1))-AVERAGE(OFFSET($H$3,0,0,'Données projet'!$E$9+1,1))</f>
        <v>415.91544298418842</v>
      </c>
      <c r="T32" s="59">
        <f t="shared" si="34"/>
        <v>422.79312683312583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16.459704757127366</v>
      </c>
      <c r="AB32" s="21">
        <f>EXP(-LN(2)/2)*AB31+(1-EXP(-LN(2)/2))/(LN(2)/2)*V32*Y32*VLOOKUP('Données projet'!$B$9,Paramètres!$A$1:$I$89,3,0)*0.475*44/12</f>
        <v>1.454506646845845</v>
      </c>
      <c r="AC32" s="22">
        <f t="shared" si="3"/>
        <v>17.914211403973212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18.3</v>
      </c>
      <c r="AI32" s="13">
        <f>IF('Données projet'!$A$62&gt;35,AI31+AH32-AQ31,IF(A32&lt;'Données projet'!$A$62,$AF$205^A32,IF(A32='Données projet'!$A$62,'Données projet'!$B$62,AI31+AH32-AQ31)))</f>
        <v>274.7000000000001</v>
      </c>
      <c r="AJ32" s="13">
        <f>AI32*VLOOKUP('Données projet'!$B$10,Paramètres!$A$1:$I$89,3,0)*VLOOKUP('Données projet'!$B$10,Paramètres!$A$1:$I$89,5,0)</f>
        <v>164.27060000000006</v>
      </c>
      <c r="AK32" s="13">
        <f t="shared" si="35"/>
        <v>41.804279477987336</v>
      </c>
      <c r="AL32" s="20">
        <f t="shared" si="4"/>
        <v>358.91374842416138</v>
      </c>
      <c r="AM32" s="59">
        <f t="shared" si="5"/>
        <v>652.2470817574947</v>
      </c>
      <c r="AN32" s="59">
        <f ca="1">AVERAGE(OFFSET($AM$3,0,0,'Données projet'!$E$10+1,1))-AVERAGE(OFFSET($H$3,0,0,'Données projet'!$E$10+1,1))</f>
        <v>311.06126148520821</v>
      </c>
      <c r="AO32" s="59">
        <f t="shared" si="36"/>
        <v>321.1728368524748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5.8180465587276524</v>
      </c>
      <c r="AW32" s="21">
        <f>EXP(-LN(2)/2)*AW31+(1-EXP(-LN(2)/2))/(LN(2)/2)*AQ32*AT32*VLOOKUP('Données projet'!$B$10,Paramètres!$A$1:$I$89,3,0)*0.475*44/12</f>
        <v>0.62837809519368826</v>
      </c>
      <c r="AX32" s="21">
        <f t="shared" si="6"/>
        <v>6.4464246539213406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27.8</v>
      </c>
      <c r="BD32" s="12">
        <f>IF('Données projet'!$A$88&gt;35,BD31+BC32-BL31,IF(A32&lt;'Données projet'!$A$88,$BA$205^A32,IF(A32='Données projet'!$A$88,'Données projet'!$B$88,BD31+BC32-BL31)))</f>
        <v>384.2000000000001</v>
      </c>
      <c r="BE32" s="13">
        <f>BD32*VLOOKUP('Données projet'!$B$11,Paramètres!$A$1:$I$89,3,0)*VLOOKUP('Données projet'!$B$11,Paramètres!$A$1:$I$89,5,0)</f>
        <v>184.80020000000005</v>
      </c>
      <c r="BF32" s="13">
        <f t="shared" si="37"/>
        <v>46.388500912292088</v>
      </c>
      <c r="BG32" s="20">
        <f t="shared" si="7"/>
        <v>402.65365408890875</v>
      </c>
      <c r="BH32" s="59">
        <f t="shared" si="8"/>
        <v>695.98698742224201</v>
      </c>
      <c r="BI32" s="59">
        <f ca="1">AVERAGE(OFFSET($BH$3,0,0,'Données projet'!$E$11+1,1))-AVERAGE(OFFSET($H$3,0,0,'Données projet'!$E$11+1,1))</f>
        <v>371.85813103419366</v>
      </c>
      <c r="BJ32" s="59">
        <f t="shared" si="38"/>
        <v>370.01698880104584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2.9960196047186218</v>
      </c>
      <c r="BR32" s="21">
        <f>EXP(-LN(2)/2)*BR31+(1-EXP(-LN(2)/2))/(LN(2)/2)*BL32*BO32*VLOOKUP('Données projet'!$B$11,Paramètres!$A$1:$I$89,3,0)*0.475*44/12</f>
        <v>0.26475143348222685</v>
      </c>
      <c r="BS32" s="22">
        <f t="shared" si="9"/>
        <v>3.2607710382008488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18.5</v>
      </c>
      <c r="BY32" s="12">
        <f>IF('Données projet'!$A$114&gt;35,BY31+BX32-CG31,IF(A32&lt;'Données projet'!$A$114,$BV$205^A32,IF(A32='Données projet'!$A$114,'Données projet'!$B$114,BY31+BX32-CG31)))</f>
        <v>278.5</v>
      </c>
      <c r="BZ32" s="13">
        <f>BY32*VLOOKUP('Données projet'!$B$12,Paramètres!$A$1:$I$89,3,0)*VLOOKUP('Données projet'!$B$12,Paramètres!$A$1:$I$89,5,0)</f>
        <v>152.06100000000001</v>
      </c>
      <c r="CA32" s="13">
        <f t="shared" si="39"/>
        <v>39.046582627515924</v>
      </c>
      <c r="CB32" s="20">
        <f t="shared" si="10"/>
        <v>332.84570640959026</v>
      </c>
      <c r="CC32" s="59">
        <f t="shared" si="11"/>
        <v>626.17903974292358</v>
      </c>
      <c r="CD32" s="59">
        <f ca="1">AVERAGE(OFFSET($CC$3,0,0,'Données projet'!$E$12+1,1))-AVERAGE(OFFSET($H$3,0,0,'Données projet'!$E$12+1,1))</f>
        <v>248.1486444660062</v>
      </c>
      <c r="CE32" s="59">
        <f t="shared" si="40"/>
        <v>293.34458072322127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17.549060897695043</v>
      </c>
      <c r="CM32" s="21">
        <f>EXP(-LN(2)/2)*CM31+(1-EXP(-LN(2)/2))/(LN(2)/2)*CG32*CJ32*VLOOKUP('Données projet'!$B$12,Paramètres!$A$1:$I$89,3,0)*0.475*44/12</f>
        <v>1.3421336489734752</v>
      </c>
      <c r="CN32" s="22">
        <f t="shared" si="12"/>
        <v>18.891194546668519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16.600000000000001</v>
      </c>
      <c r="CT32" s="12">
        <f>IF('Données projet'!$A$140&gt;35,CT31+CS32-DB31,IF(A32&lt;'Données projet'!$A$140,$CQ$205^A32,IF(A32='Données projet'!$A$140,'Données projet'!$B$140,CT31+CS32-DB31)))</f>
        <v>230.39999999999995</v>
      </c>
      <c r="CU32" s="17">
        <f>CT32*VLOOKUP('Données projet'!$B$13,Paramètres!$A$1:$I$89,3,0)*VLOOKUP('Données projet'!$B$13,Paramètres!$A$1:$I$89,5,0)</f>
        <v>183.30623999999997</v>
      </c>
      <c r="CV32" s="13">
        <f t="shared" si="41"/>
        <v>46.056982630723049</v>
      </c>
      <c r="CW32" s="20">
        <f t="shared" si="13"/>
        <v>399.47427941517589</v>
      </c>
      <c r="CX32" s="59">
        <f t="shared" si="14"/>
        <v>692.8076127485092</v>
      </c>
      <c r="CY32" s="59">
        <f ca="1">AVERAGE(OFFSET($CX$3,0,0,'Données projet'!$E$13+1,1))-AVERAGE(OFFSET($H$3,0,0,'Données projet'!$E$13+1,1))</f>
        <v>314.94704727988847</v>
      </c>
      <c r="CZ32" s="59">
        <f t="shared" si="42"/>
        <v>366.49199094166454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8.0769876747520293</v>
      </c>
      <c r="DH32" s="21">
        <f>EXP(-LN(2)/2)*DH31+(1-EXP(-LN(2)/2))/(LN(2)/2)*DB32*DE32*VLOOKUP('Données projet'!$B$13,Paramètres!$A$1:$I$89,3,0)*0.475*44/12</f>
        <v>0.69849433305752184</v>
      </c>
      <c r="DI32" s="22">
        <f t="shared" si="15"/>
        <v>8.7754820078095506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399</v>
      </c>
      <c r="L33" s="12">
        <f>VLOOKUP(A33,'Données projet'!$A$35:$I$55,9,0)</f>
        <v>27.5</v>
      </c>
      <c r="M33" s="12">
        <f t="array" ref="M33">INDEX(L:L,MIN(IF(ISNUMBER(L33:L229),ROW(L33:L229),"")))</f>
        <v>27.5</v>
      </c>
      <c r="N33" s="13">
        <f>IF('Données projet'!$A$36&gt;35,N32+M33-V32,IF(A33&lt;'Données projet'!$A$36,$K$205^A33,IF(A33='Données projet'!$A$36,'Données projet'!$B$36,N32+M33-V32)))</f>
        <v>399</v>
      </c>
      <c r="O33" s="13">
        <f>N33*VLOOKUP('Données projet'!$B$9,Paramètres!$A$1:$I$89,3,0)*VLOOKUP('Données projet'!$B$9,Paramètres!$A$1:$I$89,5,0)</f>
        <v>223.041</v>
      </c>
      <c r="P33" s="13">
        <f t="shared" si="33"/>
        <v>54.775303040983225</v>
      </c>
      <c r="Q33" s="20">
        <f t="shared" si="2"/>
        <v>483.86339446304572</v>
      </c>
      <c r="R33" s="59">
        <f t="shared" si="0"/>
        <v>777.19672779637904</v>
      </c>
      <c r="S33" s="59">
        <f ca="1">AVERAGE(OFFSET($R$3,0,0,'Données projet'!$E$9+1,1))-AVERAGE(OFFSET($H$3,0,0,'Données projet'!$E$9+1,1))</f>
        <v>415.91544298418842</v>
      </c>
      <c r="T33" s="59">
        <f t="shared" si="34"/>
        <v>422.79312683312583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140</v>
      </c>
      <c r="W33" s="16">
        <f>IF(ISNA(VLOOKUP(A33,'Données projet'!$A$35:$I$55,5,0)),0%,VLOOKUP(A33,'Données projet'!$A$35:$I$55,5,0)*VLOOKUP('Données projet'!$B$9,Paramètres!$A$1:$I$89,7,0))</f>
        <v>0.11000000000000001</v>
      </c>
      <c r="X33" s="16">
        <f>IF(ISNA(VLOOKUP(A33,'Données projet'!$A$35:$I$55,6,0)),0%,VLOOKUP(A33,'Données projet'!$A$35:$I$55,6,0)*VLOOKUP('Données projet'!$B$9,Paramètres!$A$1:$I$89,7,0))</f>
        <v>0.22000000000000003</v>
      </c>
      <c r="Y33" s="16">
        <f>IF(ISNA(VLOOKUP(A33,'Données projet'!$A$35:$I$55,7,0)),0%,VLOOKUP(A33,'Données projet'!$A$35:$I$55,7,0))</f>
        <v>0.4</v>
      </c>
      <c r="Z33" s="21">
        <f>EXP(-LN(2)/35)*Z32+(1-EXP(-LN(2)/35))/(LN(2)/35)*V33*W33*VLOOKUP('Données projet'!$B$9,Paramètres!$A$1:$I$89,3,0)*0.475*44/12</f>
        <v>11.419862771096829</v>
      </c>
      <c r="AA33" s="21">
        <f>EXP(-LN(2)/25)*AA32+(1-EXP(-LN(2)/25))/(LN(2)/25)*Calculateur!V33*Calculateur!X33*VLOOKUP('Données projet'!$B$9,Paramètres!$A$1:$I$89,3,0)*0.475*44/12</f>
        <v>38.759410105081791</v>
      </c>
      <c r="AB33" s="21">
        <f>EXP(-LN(2)/2)*AB32+(1-EXP(-LN(2)/2))/(LN(2)/2)*V33*Y33*VLOOKUP('Données projet'!$B$9,Paramètres!$A$1:$I$89,3,0)*0.475*44/12</f>
        <v>36.471891355034096</v>
      </c>
      <c r="AC33" s="22">
        <f t="shared" si="3"/>
        <v>86.651164231212718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293</v>
      </c>
      <c r="AG33" s="12">
        <f>VLOOKUP(A33,'Données projet'!$A$61:$I$81,9,0)</f>
        <v>18.3</v>
      </c>
      <c r="AH33" s="12">
        <f t="array" ref="AH33">INDEX(AG:AG,MIN(IF(ISNUMBER(AG33:AG229),ROW(AG33:AG229),"")))</f>
        <v>18.3</v>
      </c>
      <c r="AI33" s="13">
        <f>IF('Données projet'!$A$62&gt;35,AI32+AH33-AQ32,IF(A33&lt;'Données projet'!$A$62,$AF$205^A33,IF(A33='Données projet'!$A$62,'Données projet'!$B$62,AI32+AH33-AQ32)))</f>
        <v>293.00000000000011</v>
      </c>
      <c r="AJ33" s="13">
        <f>AI33*VLOOKUP('Données projet'!$B$10,Paramètres!$A$1:$I$89,3,0)*VLOOKUP('Données projet'!$B$10,Paramètres!$A$1:$I$89,5,0)</f>
        <v>175.21400000000008</v>
      </c>
      <c r="AK33" s="13">
        <f t="shared" si="35"/>
        <v>44.255725061661991</v>
      </c>
      <c r="AL33" s="20">
        <f t="shared" si="4"/>
        <v>382.24310448239476</v>
      </c>
      <c r="AM33" s="59">
        <f t="shared" si="5"/>
        <v>675.57643781572801</v>
      </c>
      <c r="AN33" s="59">
        <f ca="1">AVERAGE(OFFSET($AM$3,0,0,'Données projet'!$E$10+1,1))-AVERAGE(OFFSET($H$3,0,0,'Données projet'!$E$10+1,1))</f>
        <v>311.06126148520821</v>
      </c>
      <c r="AO33" s="59">
        <f t="shared" si="36"/>
        <v>321.1728368524748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98</v>
      </c>
      <c r="AR33" s="16">
        <f>IF(ISNA(VLOOKUP(A33,'Données projet'!$A$61:$I$81,5,0)),0%,VLOOKUP(A33,'Données projet'!$A$61:$I$81,5,0)*VLOOKUP('Données projet'!$B$10,Paramètres!$A$1:$I$89,7,0))</f>
        <v>4.5000000000000005E-2</v>
      </c>
      <c r="AS33" s="16">
        <f>IF(ISNA(VLOOKUP(A33,'Données projet'!$A$61:$I$81,6,0)),0%,VLOOKUP(A33,'Données projet'!$A$61:$I$81,6,0)*VLOOKUP('Données projet'!$B$10,Paramètres!$A$1:$I$89,7,0))</f>
        <v>0.20250000000000001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3.4983892505960466</v>
      </c>
      <c r="AV33" s="21">
        <f>EXP(-LN(2)/25)*AV32+(1-EXP(-LN(2)/25))/(LN(2)/25)*Calculateur!AQ33*Calculateur!AS33*VLOOKUP('Données projet'!$B$10,Paramètres!$A$1:$I$89,3,0)*0.475*44/12</f>
        <v>21.339718185686859</v>
      </c>
      <c r="AW33" s="21">
        <f>EXP(-LN(2)/2)*AW32+(1-EXP(-LN(2)/2))/(LN(2)/2)*AQ33*AT33*VLOOKUP('Données projet'!$B$10,Paramètres!$A$1:$I$89,3,0)*0.475*44/12</f>
        <v>30.303334116168998</v>
      </c>
      <c r="AX33" s="21">
        <f t="shared" si="6"/>
        <v>55.141441552451901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412</v>
      </c>
      <c r="BB33" s="12">
        <f>VLOOKUP(A33,'Données projet'!$A$87:$I$107,9,0)</f>
        <v>27.8</v>
      </c>
      <c r="BC33" s="12">
        <f t="array" ref="BC33">INDEX(BB:BB,MIN(IF(ISNUMBER(BB33:BB229),ROW(BB33:BB229),"")))</f>
        <v>27.8</v>
      </c>
      <c r="BD33" s="12">
        <f>IF('Données projet'!$A$88&gt;35,BD32+BC33-BL32,IF(A33&lt;'Données projet'!$A$88,$BA$205^A33,IF(A33='Données projet'!$A$88,'Données projet'!$B$88,BD32+BC33-BL32)))</f>
        <v>412.00000000000011</v>
      </c>
      <c r="BE33" s="13">
        <f>BD33*VLOOKUP('Données projet'!$B$11,Paramètres!$A$1:$I$89,3,0)*VLOOKUP('Données projet'!$B$11,Paramètres!$A$1:$I$89,5,0)</f>
        <v>198.17200000000005</v>
      </c>
      <c r="BF33" s="13">
        <f t="shared" si="37"/>
        <v>49.342214218736267</v>
      </c>
      <c r="BG33" s="20">
        <f t="shared" si="7"/>
        <v>431.08725643096574</v>
      </c>
      <c r="BH33" s="59">
        <f t="shared" si="8"/>
        <v>724.42058976429905</v>
      </c>
      <c r="BI33" s="59">
        <f ca="1">AVERAGE(OFFSET($BH$3,0,0,'Données projet'!$E$11+1,1))-AVERAGE(OFFSET($H$3,0,0,'Données projet'!$E$11+1,1))</f>
        <v>371.85813103419366</v>
      </c>
      <c r="BJ33" s="59">
        <f t="shared" si="38"/>
        <v>370.01698880104584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140</v>
      </c>
      <c r="BM33" s="16">
        <f>IF(ISNA(VLOOKUP(A33,'Données projet'!$A$87:$I$107,5,0)),0%,VLOOKUP(A33,'Données projet'!$A$87:$I$107,5,0)*VLOOKUP('Données projet'!$B$11,Paramètres!$A$1:$I$89,7,0))</f>
        <v>0.11000000000000001</v>
      </c>
      <c r="BN33" s="16">
        <f>IF(ISNA(VLOOKUP(A33,'Données projet'!$A$87:$I$107,6,0)),0%,VLOOKUP(A33,'Données projet'!$A$87:$I$107,6,0)*VLOOKUP('Données projet'!$B$11,Paramètres!$A$1:$I$89,7,0))</f>
        <v>0.22000000000000003</v>
      </c>
      <c r="BO33" s="16">
        <f>IF(ISNA(VLOOKUP(A33,'Données projet'!$A$87:$I$107,7,0)),0%,VLOOKUP(A33,'Données projet'!$A$87:$I$107,7,0))</f>
        <v>0.4</v>
      </c>
      <c r="BP33" s="21">
        <f>EXP(-LN(2)/35)*BP32+(1-EXP(-LN(2)/35))/(LN(2)/35)*BL33*BM33*VLOOKUP('Données projet'!$B$11,Paramètres!$A$1:$I$89,3,0)*0.475*44/12</f>
        <v>9.8263935472228514</v>
      </c>
      <c r="BQ33" s="21">
        <f>EXP(-LN(2)/25)*BQ32+(1-EXP(-LN(2)/25))/(LN(2)/25)*Calculateur!BL33*Calculateur!BN33*VLOOKUP('Données projet'!$B$11,Paramètres!$A$1:$I$89,3,0)*0.475*44/12</f>
        <v>22.489499874429679</v>
      </c>
      <c r="BR33" s="21">
        <f>EXP(-LN(2)/2)*BR32+(1-EXP(-LN(2)/2))/(LN(2)/2)*BL33*BO33*VLOOKUP('Données projet'!$B$11,Paramètres!$A$1:$I$89,3,0)*0.475*44/12</f>
        <v>30.685016700117032</v>
      </c>
      <c r="BS33" s="22">
        <f t="shared" si="9"/>
        <v>63.000910121769564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297</v>
      </c>
      <c r="BW33" s="12">
        <f>VLOOKUP(A33,'Données projet'!$A$113:$I$133,9,0)</f>
        <v>18.5</v>
      </c>
      <c r="BX33" s="12">
        <f t="array" ref="BX33">INDEX(BW:BW,MIN(IF(ISNUMBER(BW33:BW229),ROW(BW33:BW229),"")))</f>
        <v>18.5</v>
      </c>
      <c r="BY33" s="12">
        <f>IF('Données projet'!$A$114&gt;35,BY32+BX33-CG32,IF(A33&lt;'Données projet'!$A$114,$BV$205^A33,IF(A33='Données projet'!$A$114,'Données projet'!$B$114,BY32+BX33-CG32)))</f>
        <v>297</v>
      </c>
      <c r="BZ33" s="13">
        <f>BY33*VLOOKUP('Données projet'!$B$12,Paramètres!$A$1:$I$89,3,0)*VLOOKUP('Données projet'!$B$12,Paramètres!$A$1:$I$89,5,0)</f>
        <v>162.16200000000001</v>
      </c>
      <c r="CA33" s="13">
        <f t="shared" si="39"/>
        <v>41.3297789587414</v>
      </c>
      <c r="CB33" s="20">
        <f t="shared" si="10"/>
        <v>354.41484835314122</v>
      </c>
      <c r="CC33" s="59">
        <f t="shared" si="11"/>
        <v>647.74818168647448</v>
      </c>
      <c r="CD33" s="59">
        <f ca="1">AVERAGE(OFFSET($CC$3,0,0,'Données projet'!$E$12+1,1))-AVERAGE(OFFSET($H$3,0,0,'Données projet'!$E$12+1,1))</f>
        <v>248.1486444660062</v>
      </c>
      <c r="CE33" s="59">
        <f t="shared" si="40"/>
        <v>293.34458072322127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98</v>
      </c>
      <c r="CH33" s="16">
        <f>IF(ISNA(VLOOKUP(A33,'Données projet'!$A$113:$I$133,5,0)),0%,VLOOKUP(A33,'Données projet'!$A$113:$I$133,5,0)*VLOOKUP('Données projet'!$B$12,Paramètres!$A$1:$I$89,7,0))</f>
        <v>0.12</v>
      </c>
      <c r="CI33" s="16">
        <f>IF(ISNA(VLOOKUP(A33,'Données projet'!$A$113:$I$133,6,0)),0%,VLOOKUP(A33,'Données projet'!$A$113:$I$133,6,0)*VLOOKUP('Données projet'!$B$12,Paramètres!$A$1:$I$89,7,0))</f>
        <v>0.24</v>
      </c>
      <c r="CJ33" s="16">
        <f>IF(ISNA(VLOOKUP(A33,'Données projet'!$A$113:$I$133,7,0)),0%,VLOOKUP(A33,'Données projet'!$A$113:$I$133,7,0))</f>
        <v>0.4</v>
      </c>
      <c r="CK33" s="21">
        <f>EXP(-LN(2)/35)*CK32+(1-EXP(-LN(2)/35))/(LN(2)/35)*CG33*CH33*VLOOKUP('Données projet'!$B$12,Paramètres!$A$1:$I$89,3,0)*0.475*44/12</f>
        <v>8.5178173057990687</v>
      </c>
      <c r="CL33" s="21">
        <f>EXP(-LN(2)/25)*CL32+(1-EXP(-LN(2)/25))/(LN(2)/25)*Calculateur!CG33*Calculateur!CI33*VLOOKUP('Données projet'!$B$12,Paramètres!$A$1:$I$89,3,0)*0.475*44/12</f>
        <v>34.037739731629159</v>
      </c>
      <c r="CM33" s="21">
        <f>EXP(-LN(2)/2)*CM32+(1-EXP(-LN(2)/2))/(LN(2)/2)*CG33*CJ33*VLOOKUP('Données projet'!$B$12,Paramètres!$A$1:$I$89,3,0)*0.475*44/12</f>
        <v>25.182426114866235</v>
      </c>
      <c r="CN33" s="22">
        <f t="shared" si="12"/>
        <v>67.737983152294461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247</v>
      </c>
      <c r="CR33" s="12">
        <f>VLOOKUP(A33,'Données projet'!$A$139:$I$159,9,0)</f>
        <v>16.600000000000001</v>
      </c>
      <c r="CS33" s="12">
        <f t="array" ref="CS33">INDEX(CR:CR,MIN(IF(ISNUMBER(CR33:CR229),ROW(CR33:CR229),"")))</f>
        <v>16.600000000000001</v>
      </c>
      <c r="CT33" s="12">
        <f>IF('Données projet'!$A$140&gt;35,CT32+CS33-DB32,IF(A33&lt;'Données projet'!$A$140,$CQ$205^A33,IF(A33='Données projet'!$A$140,'Données projet'!$B$140,CT32+CS33-DB32)))</f>
        <v>246.99999999999994</v>
      </c>
      <c r="CU33" s="17">
        <f>CT33*VLOOKUP('Données projet'!$B$13,Paramètres!$A$1:$I$89,3,0)*VLOOKUP('Données projet'!$B$13,Paramètres!$A$1:$I$89,5,0)</f>
        <v>196.51319999999996</v>
      </c>
      <c r="CV33" s="13">
        <f t="shared" si="41"/>
        <v>48.977092002823696</v>
      </c>
      <c r="CW33" s="20">
        <f t="shared" si="13"/>
        <v>427.56225857158444</v>
      </c>
      <c r="CX33" s="59">
        <f t="shared" si="14"/>
        <v>720.89559190491775</v>
      </c>
      <c r="CY33" s="59">
        <f ca="1">AVERAGE(OFFSET($CX$3,0,0,'Données projet'!$E$13+1,1))-AVERAGE(OFFSET($H$3,0,0,'Données projet'!$E$13+1,1))</f>
        <v>314.94704727988847</v>
      </c>
      <c r="CZ33" s="59">
        <f t="shared" si="42"/>
        <v>366.49199094166454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84</v>
      </c>
      <c r="DC33" s="16">
        <f>IF(ISNA(VLOOKUP(A33,'Données projet'!$A$139:$I$159,5,0)),0%,VLOOKUP(A33,'Données projet'!$A$139:$I$159,5,0)*VLOOKUP('Données projet'!$B$13,Paramètres!$A$1:$I$89,7,0))</f>
        <v>5.3000000000000005E-2</v>
      </c>
      <c r="DD33" s="16">
        <f>IF(ISNA(VLOOKUP(A33,'Données projet'!$A$139:$I$159,6,0)),0%,VLOOKUP(A33,'Données projet'!$A$139:$I$159,6,0)*VLOOKUP('Données projet'!$B$13,Paramètres!$A$1:$I$89,7,0))</f>
        <v>0.23850000000000002</v>
      </c>
      <c r="DE33" s="16">
        <f>IF(ISNA(VLOOKUP(A33,'Données projet'!$A$139:$I$159,7,0)),0%,VLOOKUP(A33,'Données projet'!$A$139:$I$159,7,0))</f>
        <v>0.45</v>
      </c>
      <c r="DF33" s="21">
        <f>EXP(-LN(2)/35)*DF32+(1-EXP(-LN(2)/35))/(LN(2)/35)*DB33*DC33*VLOOKUP('Données projet'!$B$13,Paramètres!$A$1:$I$89,3,0)*0.475*44/12</f>
        <v>3.9155884655739612</v>
      </c>
      <c r="DG33" s="21">
        <f>EXP(-LN(2)/25)*DG32+(1-EXP(-LN(2)/25))/(LN(2)/25)*Calculateur!DB33*Calculateur!DD33*VLOOKUP('Données projet'!$B$13,Paramètres!$A$1:$I$89,3,0)*0.475*44/12</f>
        <v>25.406892880265318</v>
      </c>
      <c r="DH33" s="21">
        <f>EXP(-LN(2)/2)*DH32+(1-EXP(-LN(2)/2))/(LN(2)/2)*DB33*DE33*VLOOKUP('Données projet'!$B$13,Paramètres!$A$1:$I$89,3,0)*0.475*44/12</f>
        <v>28.869236580755118</v>
      </c>
      <c r="DI33" s="22">
        <f t="shared" si="15"/>
        <v>58.191717926594393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26.8</v>
      </c>
      <c r="N34" s="13">
        <f>IF('Données projet'!$A$36&gt;35,N33+M34-V33,IF(A34&lt;'Données projet'!$A$36,$K$205^A34,IF(A34='Données projet'!$A$36,'Données projet'!$B$36,N33+M34-V33)))</f>
        <v>285.8</v>
      </c>
      <c r="O34" s="13">
        <f>N34*VLOOKUP('Données projet'!$B$9,Paramètres!$A$1:$I$89,3,0)*VLOOKUP('Données projet'!$B$9,Paramètres!$A$1:$I$89,5,0)</f>
        <v>159.76220000000001</v>
      </c>
      <c r="P34" s="13">
        <f t="shared" si="33"/>
        <v>40.788874310808829</v>
      </c>
      <c r="Q34" s="20">
        <f t="shared" si="2"/>
        <v>349.29312109132542</v>
      </c>
      <c r="R34" s="59">
        <f t="shared" si="0"/>
        <v>642.62645442465873</v>
      </c>
      <c r="S34" s="59">
        <f ca="1">AVERAGE(OFFSET($R$3,0,0,'Données projet'!$E$9+1,1))-AVERAGE(OFFSET($H$3,0,0,'Données projet'!$E$9+1,1))</f>
        <v>415.91544298418842</v>
      </c>
      <c r="T34" s="59">
        <f t="shared" si="34"/>
        <v>422.79312683312583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11.195926227584131</v>
      </c>
      <c r="AA34" s="21">
        <f>EXP(-LN(2)/25)*AA33+(1-EXP(-LN(2)/25))/(LN(2)/25)*Calculateur!V34*Calculateur!X34*VLOOKUP('Données projet'!$B$9,Paramètres!$A$1:$I$89,3,0)*0.475*44/12</f>
        <v>37.699531997489537</v>
      </c>
      <c r="AB34" s="21">
        <f>EXP(-LN(2)/2)*AB33+(1-EXP(-LN(2)/2))/(LN(2)/2)*V34*Y34*VLOOKUP('Données projet'!$B$9,Paramètres!$A$1:$I$89,3,0)*0.475*44/12</f>
        <v>25.789521699843629</v>
      </c>
      <c r="AC34" s="22">
        <f t="shared" si="3"/>
        <v>74.6849799249173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18.8</v>
      </c>
      <c r="AI34" s="13">
        <f>IF('Données projet'!$A$62&gt;35,AI33+AH34-AQ33,IF(A34&lt;'Données projet'!$A$62,$AF$205^A34,IF(A34='Données projet'!$A$62,'Données projet'!$B$62,AI33+AH34-AQ33)))</f>
        <v>213.80000000000013</v>
      </c>
      <c r="AJ34" s="13">
        <f>AI34*VLOOKUP('Données projet'!$B$10,Paramètres!$A$1:$I$89,3,0)*VLOOKUP('Données projet'!$B$10,Paramètres!$A$1:$I$89,5,0)</f>
        <v>127.85240000000007</v>
      </c>
      <c r="AK34" s="13">
        <f t="shared" si="35"/>
        <v>33.499631944426262</v>
      </c>
      <c r="AL34" s="20">
        <f t="shared" si="4"/>
        <v>281.0214556365425</v>
      </c>
      <c r="AM34" s="59">
        <f t="shared" si="5"/>
        <v>574.35478896987581</v>
      </c>
      <c r="AN34" s="59">
        <f ca="1">AVERAGE(OFFSET($AM$3,0,0,'Données projet'!$E$10+1,1))-AVERAGE(OFFSET($H$3,0,0,'Données projet'!$E$10+1,1))</f>
        <v>311.06126148520821</v>
      </c>
      <c r="AO34" s="59">
        <f t="shared" si="36"/>
        <v>321.1728368524748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3.4297879711986052</v>
      </c>
      <c r="AV34" s="21">
        <f>EXP(-LN(2)/25)*AV33+(1-EXP(-LN(2)/25))/(LN(2)/25)*Calculateur!AQ34*Calculateur!AS34*VLOOKUP('Données projet'!$B$10,Paramètres!$A$1:$I$89,3,0)*0.475*44/12</f>
        <v>20.756182469692245</v>
      </c>
      <c r="AW34" s="21">
        <f>EXP(-LN(2)/2)*AW33+(1-EXP(-LN(2)/2))/(LN(2)/2)*AQ34*AT34*VLOOKUP('Données projet'!$B$10,Paramètres!$A$1:$I$89,3,0)*0.475*44/12</f>
        <v>21.427693046104753</v>
      </c>
      <c r="AX34" s="21">
        <f t="shared" si="6"/>
        <v>45.613663486995605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27.8</v>
      </c>
      <c r="BD34" s="12">
        <f>IF('Données projet'!$A$88&gt;35,BD33+BC34-BL33,IF(A34&lt;'Données projet'!$A$88,$BA$205^A34,IF(A34='Données projet'!$A$88,'Données projet'!$B$88,BD33+BC34-BL33)))</f>
        <v>299.80000000000013</v>
      </c>
      <c r="BE34" s="13">
        <f>BD34*VLOOKUP('Données projet'!$B$11,Paramètres!$A$1:$I$89,3,0)*VLOOKUP('Données projet'!$B$11,Paramètres!$A$1:$I$89,5,0)</f>
        <v>144.20380000000006</v>
      </c>
      <c r="BF34" s="13">
        <f t="shared" si="37"/>
        <v>37.258372581341362</v>
      </c>
      <c r="BG34" s="20">
        <f t="shared" si="7"/>
        <v>316.04661724583633</v>
      </c>
      <c r="BH34" s="59">
        <f t="shared" si="8"/>
        <v>609.37995057916964</v>
      </c>
      <c r="BI34" s="59">
        <f ca="1">AVERAGE(OFFSET($BH$3,0,0,'Données projet'!$E$11+1,1))-AVERAGE(OFFSET($H$3,0,0,'Données projet'!$E$11+1,1))</f>
        <v>371.85813103419366</v>
      </c>
      <c r="BJ34" s="59">
        <f t="shared" si="38"/>
        <v>370.01698880104584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9.6337039632700652</v>
      </c>
      <c r="BQ34" s="21">
        <f>EXP(-LN(2)/25)*BQ33+(1-EXP(-LN(2)/25))/(LN(2)/25)*Calculateur!BL34*Calculateur!BN34*VLOOKUP('Données projet'!$B$11,Paramètres!$A$1:$I$89,3,0)*0.475*44/12</f>
        <v>21.874523317692002</v>
      </c>
      <c r="BR34" s="21">
        <f>EXP(-LN(2)/2)*BR33+(1-EXP(-LN(2)/2))/(LN(2)/2)*BL34*BO34*VLOOKUP('Données projet'!$B$11,Paramètres!$A$1:$I$89,3,0)*0.475*44/12</f>
        <v>21.697583389475213</v>
      </c>
      <c r="BS34" s="22">
        <f t="shared" si="9"/>
        <v>53.20581067043728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15.7</v>
      </c>
      <c r="BY34" s="12">
        <f>IF('Données projet'!$A$114&gt;35,BY33+BX34-CG33,IF(A34&lt;'Données projet'!$A$114,$BV$205^A34,IF(A34='Données projet'!$A$114,'Données projet'!$B$114,BY33+BX34-CG33)))</f>
        <v>214.7</v>
      </c>
      <c r="BZ34" s="13">
        <f>BY34*VLOOKUP('Données projet'!$B$12,Paramètres!$A$1:$I$89,3,0)*VLOOKUP('Données projet'!$B$12,Paramètres!$A$1:$I$89,5,0)</f>
        <v>117.22619999999999</v>
      </c>
      <c r="CA34" s="13">
        <f t="shared" si="39"/>
        <v>31.027178087454015</v>
      </c>
      <c r="CB34" s="20">
        <f t="shared" si="10"/>
        <v>258.20796683564902</v>
      </c>
      <c r="CC34" s="59">
        <f t="shared" si="11"/>
        <v>551.54130016898239</v>
      </c>
      <c r="CD34" s="59">
        <f ca="1">AVERAGE(OFFSET($CC$3,0,0,'Données projet'!$E$12+1,1))-AVERAGE(OFFSET($H$3,0,0,'Données projet'!$E$12+1,1))</f>
        <v>248.1486444660062</v>
      </c>
      <c r="CE34" s="59">
        <f t="shared" si="40"/>
        <v>293.34458072322127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8.3507881037879059</v>
      </c>
      <c r="CL34" s="21">
        <f>EXP(-LN(2)/25)*CL33+(1-EXP(-LN(2)/25))/(LN(2)/25)*Calculateur!CG34*Calculateur!CI34*VLOOKUP('Données projet'!$B$12,Paramètres!$A$1:$I$89,3,0)*0.475*44/12</f>
        <v>33.106975948700821</v>
      </c>
      <c r="CM34" s="21">
        <f>EXP(-LN(2)/2)*CM33+(1-EXP(-LN(2)/2))/(LN(2)/2)*CG34*CJ34*VLOOKUP('Données projet'!$B$12,Paramètres!$A$1:$I$89,3,0)*0.475*44/12</f>
        <v>17.806664272551121</v>
      </c>
      <c r="CN34" s="22">
        <f t="shared" si="12"/>
        <v>59.264428325039844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14.2</v>
      </c>
      <c r="CT34" s="12">
        <f>IF('Données projet'!$A$140&gt;35,CT33+CS34-DB33,IF(A34&lt;'Données projet'!$A$140,$CQ$205^A34,IF(A34='Données projet'!$A$140,'Données projet'!$B$140,CT33+CS34-DB33)))</f>
        <v>177.19999999999993</v>
      </c>
      <c r="CU34" s="17">
        <f>CT34*VLOOKUP('Données projet'!$B$13,Paramètres!$A$1:$I$89,3,0)*VLOOKUP('Données projet'!$B$13,Paramètres!$A$1:$I$89,5,0)</f>
        <v>140.98031999999995</v>
      </c>
      <c r="CV34" s="13">
        <f t="shared" si="41"/>
        <v>36.521491755743504</v>
      </c>
      <c r="CW34" s="20">
        <f t="shared" si="13"/>
        <v>309.14898880791981</v>
      </c>
      <c r="CX34" s="59">
        <f t="shared" si="14"/>
        <v>602.48232214125312</v>
      </c>
      <c r="CY34" s="59">
        <f ca="1">AVERAGE(OFFSET($CX$3,0,0,'Données projet'!$E$13+1,1))-AVERAGE(OFFSET($H$3,0,0,'Données projet'!$E$13+1,1))</f>
        <v>314.94704727988847</v>
      </c>
      <c r="CZ34" s="59">
        <f t="shared" si="42"/>
        <v>366.49199094166454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3.8388061640371975</v>
      </c>
      <c r="DG34" s="21">
        <f>EXP(-LN(2)/25)*DG33+(1-EXP(-LN(2)/25))/(LN(2)/25)*Calculateur!DB34*Calculateur!DD34*VLOOKUP('Données projet'!$B$13,Paramètres!$A$1:$I$89,3,0)*0.475*44/12</f>
        <v>24.712140058364035</v>
      </c>
      <c r="DH34" s="21">
        <f>EXP(-LN(2)/2)*DH33+(1-EXP(-LN(2)/2))/(LN(2)/2)*DB34*DE34*VLOOKUP('Données projet'!$B$13,Paramètres!$A$1:$I$89,3,0)*0.475*44/12</f>
        <v>20.413632953930684</v>
      </c>
      <c r="DI34" s="22">
        <f t="shared" si="15"/>
        <v>48.964579176331917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26.8</v>
      </c>
      <c r="N35" s="13">
        <f>IF('Données projet'!$A$36&gt;35,N34+M35-V34,IF(A35&lt;'Données projet'!$A$36,$K$205^A35,IF(A35='Données projet'!$A$36,'Données projet'!$B$36,N34+M35-V34)))</f>
        <v>312.60000000000002</v>
      </c>
      <c r="O35" s="13">
        <f>N35*VLOOKUP('Données projet'!$B$9,Paramètres!$A$1:$I$89,3,0)*VLOOKUP('Données projet'!$B$9,Paramètres!$A$1:$I$89,5,0)</f>
        <v>174.74340000000001</v>
      </c>
      <c r="P35" s="13">
        <f t="shared" si="33"/>
        <v>44.150679855848523</v>
      </c>
      <c r="Q35" s="20">
        <f t="shared" ref="Q35:Q66" si="53">(O35+P35)*0.475*44/12</f>
        <v>381.24052241560281</v>
      </c>
      <c r="R35" s="59">
        <f t="shared" si="0"/>
        <v>674.57385574893613</v>
      </c>
      <c r="S35" s="59">
        <f ca="1">AVERAGE(OFFSET($R$3,0,0,'Données projet'!$E$9+1,1))-AVERAGE(OFFSET($H$3,0,0,'Données projet'!$E$9+1,1))</f>
        <v>415.91544298418842</v>
      </c>
      <c r="T35" s="59">
        <f t="shared" si="34"/>
        <v>422.79312683312583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10.976380943101914</v>
      </c>
      <c r="AA35" s="21">
        <f>EXP(-LN(2)/25)*AA34+(1-EXP(-LN(2)/25))/(LN(2)/25)*Calculateur!V35*Calculateur!X35*VLOOKUP('Données projet'!$B$9,Paramètres!$A$1:$I$89,3,0)*0.475*44/12</f>
        <v>36.668636312485958</v>
      </c>
      <c r="AB35" s="21">
        <f>EXP(-LN(2)/2)*AB34+(1-EXP(-LN(2)/2))/(LN(2)/2)*V35*Y35*VLOOKUP('Données projet'!$B$9,Paramètres!$A$1:$I$89,3,0)*0.475*44/12</f>
        <v>18.235945677517048</v>
      </c>
      <c r="AC35" s="22">
        <f t="shared" si="3"/>
        <v>65.880962933104925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18.8</v>
      </c>
      <c r="AI35" s="13">
        <f>IF('Données projet'!$A$62&gt;35,AI34+AH35-AQ34,IF(A35&lt;'Données projet'!$A$62,$AF$205^A35,IF(A35='Données projet'!$A$62,'Données projet'!$B$62,AI34+AH35-AQ34)))</f>
        <v>232.60000000000014</v>
      </c>
      <c r="AJ35" s="13">
        <f>AI35*VLOOKUP('Données projet'!$B$10,Paramètres!$A$1:$I$89,3,0)*VLOOKUP('Données projet'!$B$10,Paramètres!$A$1:$I$89,5,0)</f>
        <v>139.09480000000008</v>
      </c>
      <c r="AK35" s="13">
        <f t="shared" si="35"/>
        <v>36.089558664086184</v>
      </c>
      <c r="AL35" s="20">
        <f t="shared" si="4"/>
        <v>305.11275800661684</v>
      </c>
      <c r="AM35" s="59">
        <f t="shared" si="5"/>
        <v>598.44609133995016</v>
      </c>
      <c r="AN35" s="59">
        <f ca="1">AVERAGE(OFFSET($AM$3,0,0,'Données projet'!$E$10+1,1))-AVERAGE(OFFSET($H$3,0,0,'Données projet'!$E$10+1,1))</f>
        <v>311.06126148520821</v>
      </c>
      <c r="AO35" s="59">
        <f t="shared" si="36"/>
        <v>321.1728368524748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3.3625319210474989</v>
      </c>
      <c r="AV35" s="21">
        <f>EXP(-LN(2)/25)*AV34+(1-EXP(-LN(2)/25))/(LN(2)/25)*Calculateur!AQ35*Calculateur!AS35*VLOOKUP('Données projet'!$B$10,Paramètres!$A$1:$I$89,3,0)*0.475*44/12</f>
        <v>20.188603568538312</v>
      </c>
      <c r="AW35" s="21">
        <f>EXP(-LN(2)/2)*AW34+(1-EXP(-LN(2)/2))/(LN(2)/2)*AQ35*AT35*VLOOKUP('Données projet'!$B$10,Paramètres!$A$1:$I$89,3,0)*0.475*44/12</f>
        <v>15.151667058084501</v>
      </c>
      <c r="AX35" s="21">
        <f t="shared" si="6"/>
        <v>38.702802547670309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27.8</v>
      </c>
      <c r="BD35" s="12">
        <f>IF('Données projet'!$A$88&gt;35,BD34+BC35-BL34,IF(A35&lt;'Données projet'!$A$88,$BA$205^A35,IF(A35='Données projet'!$A$88,'Données projet'!$B$88,BD34+BC35-BL34)))</f>
        <v>327.60000000000014</v>
      </c>
      <c r="BE35" s="13">
        <f>BD35*VLOOKUP('Données projet'!$B$11,Paramètres!$A$1:$I$89,3,0)*VLOOKUP('Données projet'!$B$11,Paramètres!$A$1:$I$89,5,0)</f>
        <v>157.57560000000007</v>
      </c>
      <c r="BF35" s="13">
        <f t="shared" si="37"/>
        <v>40.295200242024428</v>
      </c>
      <c r="BG35" s="20">
        <f t="shared" si="7"/>
        <v>344.62497708819268</v>
      </c>
      <c r="BH35" s="59">
        <f t="shared" si="8"/>
        <v>637.95831042152599</v>
      </c>
      <c r="BI35" s="59">
        <f ca="1">AVERAGE(OFFSET($BH$3,0,0,'Données projet'!$E$11+1,1))-AVERAGE(OFFSET($H$3,0,0,'Données projet'!$E$11+1,1))</f>
        <v>371.85813103419366</v>
      </c>
      <c r="BJ35" s="59">
        <f t="shared" si="38"/>
        <v>370.01698880104584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9.4447929045295513</v>
      </c>
      <c r="BQ35" s="21">
        <f>EXP(-LN(2)/25)*BQ34+(1-EXP(-LN(2)/25))/(LN(2)/25)*Calculateur!BL35*Calculateur!BN35*VLOOKUP('Données projet'!$B$11,Paramètres!$A$1:$I$89,3,0)*0.475*44/12</f>
        <v>21.276363327238528</v>
      </c>
      <c r="BR35" s="21">
        <f>EXP(-LN(2)/2)*BR34+(1-EXP(-LN(2)/2))/(LN(2)/2)*BL35*BO35*VLOOKUP('Données projet'!$B$11,Paramètres!$A$1:$I$89,3,0)*0.475*44/12</f>
        <v>15.342508350058518</v>
      </c>
      <c r="BS35" s="22">
        <f t="shared" si="9"/>
        <v>46.063664581826593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15.7</v>
      </c>
      <c r="BY35" s="12">
        <f>IF('Données projet'!$A$114&gt;35,BY34+BX35-CG34,IF(A35&lt;'Données projet'!$A$114,$BV$205^A35,IF(A35='Données projet'!$A$114,'Données projet'!$B$114,BY34+BX35-CG34)))</f>
        <v>230.39999999999998</v>
      </c>
      <c r="BZ35" s="13">
        <f>BY35*VLOOKUP('Données projet'!$B$12,Paramètres!$A$1:$I$89,3,0)*VLOOKUP('Données projet'!$B$12,Paramètres!$A$1:$I$89,5,0)</f>
        <v>125.79839999999999</v>
      </c>
      <c r="CA35" s="13">
        <f t="shared" si="39"/>
        <v>33.023644363399924</v>
      </c>
      <c r="CB35" s="20">
        <f t="shared" si="10"/>
        <v>276.61506059958816</v>
      </c>
      <c r="CC35" s="59">
        <f t="shared" si="11"/>
        <v>569.94839393292148</v>
      </c>
      <c r="CD35" s="59">
        <f ca="1">AVERAGE(OFFSET($CC$3,0,0,'Données projet'!$E$12+1,1))-AVERAGE(OFFSET($H$3,0,0,'Données projet'!$E$12+1,1))</f>
        <v>248.1486444660062</v>
      </c>
      <c r="CE35" s="59">
        <f t="shared" si="40"/>
        <v>293.34458072322127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8.1870342425504301</v>
      </c>
      <c r="CL35" s="21">
        <f>EXP(-LN(2)/25)*CL34+(1-EXP(-LN(2)/25))/(LN(2)/25)*Calculateur!CG35*Calculateur!CI35*VLOOKUP('Données projet'!$B$12,Paramètres!$A$1:$I$89,3,0)*0.475*44/12</f>
        <v>32.201663950363397</v>
      </c>
      <c r="CM35" s="21">
        <f>EXP(-LN(2)/2)*CM34+(1-EXP(-LN(2)/2))/(LN(2)/2)*CG35*CJ35*VLOOKUP('Données projet'!$B$12,Paramètres!$A$1:$I$89,3,0)*0.475*44/12</f>
        <v>12.591213057433119</v>
      </c>
      <c r="CN35" s="22">
        <f t="shared" si="12"/>
        <v>52.979911250346944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14.2</v>
      </c>
      <c r="CT35" s="12">
        <f>IF('Données projet'!$A$140&gt;35,CT34+CS35-DB34,IF(A35&lt;'Données projet'!$A$140,$CQ$205^A35,IF(A35='Données projet'!$A$140,'Données projet'!$B$140,CT34+CS35-DB34)))</f>
        <v>191.39999999999992</v>
      </c>
      <c r="CU35" s="17">
        <f>CT35*VLOOKUP('Données projet'!$B$13,Paramètres!$A$1:$I$89,3,0)*VLOOKUP('Données projet'!$B$13,Paramètres!$A$1:$I$89,5,0)</f>
        <v>152.27783999999994</v>
      </c>
      <c r="CV35" s="13">
        <f t="shared" si="41"/>
        <v>39.095778001655354</v>
      </c>
      <c r="CW35" s="20">
        <f t="shared" si="13"/>
        <v>333.30905135288299</v>
      </c>
      <c r="CX35" s="59">
        <f t="shared" si="14"/>
        <v>626.64238468621625</v>
      </c>
      <c r="CY35" s="59">
        <f ca="1">AVERAGE(OFFSET($CX$3,0,0,'Données projet'!$E$13+1,1))-AVERAGE(OFFSET($H$3,0,0,'Données projet'!$E$13+1,1))</f>
        <v>314.94704727988847</v>
      </c>
      <c r="CZ35" s="59">
        <f t="shared" si="42"/>
        <v>366.49199094166454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3.7635295166009901</v>
      </c>
      <c r="DG35" s="21">
        <f>EXP(-LN(2)/25)*DG34+(1-EXP(-LN(2)/25))/(LN(2)/25)*Calculateur!DB35*Calculateur!DD35*VLOOKUP('Données projet'!$B$13,Paramètres!$A$1:$I$89,3,0)*0.475*44/12</f>
        <v>24.036385288913106</v>
      </c>
      <c r="DH35" s="21">
        <f>EXP(-LN(2)/2)*DH34+(1-EXP(-LN(2)/2))/(LN(2)/2)*DB35*DE35*VLOOKUP('Données projet'!$B$13,Paramètres!$A$1:$I$89,3,0)*0.475*44/12</f>
        <v>14.434618290377561</v>
      </c>
      <c r="DI35" s="22">
        <f t="shared" si="15"/>
        <v>42.234533095891656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26.8</v>
      </c>
      <c r="N36" s="13">
        <f>IF('Données projet'!$A$36&gt;35,N35+M36-V35,IF(A36&lt;'Données projet'!$A$36,$K$205^A36,IF(A36='Données projet'!$A$36,'Données projet'!$B$36,N35+M36-V35)))</f>
        <v>339.40000000000003</v>
      </c>
      <c r="O36" s="13">
        <f>N36*VLOOKUP('Données projet'!$B$9,Paramètres!$A$1:$I$89,3,0)*VLOOKUP('Données projet'!$B$9,Paramètres!$A$1:$I$89,5,0)</f>
        <v>189.72460000000001</v>
      </c>
      <c r="P36" s="13">
        <f t="shared" si="33"/>
        <v>47.479060682252133</v>
      </c>
      <c r="Q36" s="20">
        <f t="shared" si="53"/>
        <v>413.12970902158912</v>
      </c>
      <c r="R36" s="59">
        <f t="shared" si="0"/>
        <v>706.46304235492244</v>
      </c>
      <c r="S36" s="59">
        <f ca="1">AVERAGE(OFFSET($R$3,0,0,'Données projet'!$E$9+1,1))-AVERAGE(OFFSET($H$3,0,0,'Données projet'!$E$9+1,1))</f>
        <v>415.91544298418842</v>
      </c>
      <c r="T36" s="59">
        <f t="shared" si="34"/>
        <v>422.79312683312583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10.761140807738991</v>
      </c>
      <c r="AA36" s="21">
        <f>EXP(-LN(2)/25)*AA35+(1-EXP(-LN(2)/25))/(LN(2)/25)*Calculateur!V36*Calculateur!X36*VLOOKUP('Données projet'!$B$9,Paramètres!$A$1:$I$89,3,0)*0.475*44/12</f>
        <v>35.665930524201251</v>
      </c>
      <c r="AB36" s="21">
        <f>EXP(-LN(2)/2)*AB35+(1-EXP(-LN(2)/2))/(LN(2)/2)*V36*Y36*VLOOKUP('Données projet'!$B$9,Paramètres!$A$1:$I$89,3,0)*0.475*44/12</f>
        <v>12.894760849921814</v>
      </c>
      <c r="AC36" s="22">
        <f t="shared" si="3"/>
        <v>59.321832181862057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18.8</v>
      </c>
      <c r="AI36" s="13">
        <f>IF('Données projet'!$A$62&gt;35,AI35+AH36-AQ35,IF(A36&lt;'Données projet'!$A$62,$AF$205^A36,IF(A36='Données projet'!$A$62,'Données projet'!$B$62,AI35+AH36-AQ35)))</f>
        <v>251.40000000000015</v>
      </c>
      <c r="AJ36" s="13">
        <f>AI36*VLOOKUP('Données projet'!$B$10,Paramètres!$A$1:$I$89,3,0)*VLOOKUP('Données projet'!$B$10,Paramètres!$A$1:$I$89,5,0)</f>
        <v>150.33720000000011</v>
      </c>
      <c r="AK36" s="13">
        <f t="shared" si="35"/>
        <v>38.655205513460167</v>
      </c>
      <c r="AL36" s="20">
        <f t="shared" si="4"/>
        <v>329.1617729359433</v>
      </c>
      <c r="AM36" s="59">
        <f t="shared" si="5"/>
        <v>622.49510626927668</v>
      </c>
      <c r="AN36" s="59">
        <f ca="1">AVERAGE(OFFSET($AM$3,0,0,'Données projet'!$E$10+1,1))-AVERAGE(OFFSET($H$3,0,0,'Données projet'!$E$10+1,1))</f>
        <v>311.06126148520821</v>
      </c>
      <c r="AO36" s="59">
        <f t="shared" si="36"/>
        <v>321.1728368524748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3.2965947210177156</v>
      </c>
      <c r="AV36" s="21">
        <f>EXP(-LN(2)/25)*AV35+(1-EXP(-LN(2)/25))/(LN(2)/25)*Calculateur!AQ36*Calculateur!AS36*VLOOKUP('Données projet'!$B$10,Paramètres!$A$1:$I$89,3,0)*0.475*44/12</f>
        <v>19.636545142284113</v>
      </c>
      <c r="AW36" s="21">
        <f>EXP(-LN(2)/2)*AW35+(1-EXP(-LN(2)/2))/(LN(2)/2)*AQ36*AT36*VLOOKUP('Données projet'!$B$10,Paramètres!$A$1:$I$89,3,0)*0.475*44/12</f>
        <v>10.713846523052379</v>
      </c>
      <c r="AX36" s="21">
        <f t="shared" si="6"/>
        <v>33.646986386354207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27.8</v>
      </c>
      <c r="BD36" s="12">
        <f>IF('Données projet'!$A$88&gt;35,BD35+BC36-BL35,IF(A36&lt;'Données projet'!$A$88,$BA$205^A36,IF(A36='Données projet'!$A$88,'Données projet'!$B$88,BD35+BC36-BL35)))</f>
        <v>355.40000000000015</v>
      </c>
      <c r="BE36" s="13">
        <f>BD36*VLOOKUP('Données projet'!$B$11,Paramètres!$A$1:$I$89,3,0)*VLOOKUP('Données projet'!$B$11,Paramètres!$A$1:$I$89,5,0)</f>
        <v>170.94740000000007</v>
      </c>
      <c r="BF36" s="13">
        <f t="shared" si="37"/>
        <v>43.302140990213147</v>
      </c>
      <c r="BG36" s="20">
        <f t="shared" si="7"/>
        <v>373.15128389128796</v>
      </c>
      <c r="BH36" s="59">
        <f t="shared" si="8"/>
        <v>666.48461722462127</v>
      </c>
      <c r="BI36" s="59">
        <f ca="1">AVERAGE(OFFSET($BH$3,0,0,'Données projet'!$E$11+1,1))-AVERAGE(OFFSET($H$3,0,0,'Données projet'!$E$11+1,1))</f>
        <v>371.85813103419366</v>
      </c>
      <c r="BJ36" s="59">
        <f t="shared" si="38"/>
        <v>370.01698880104584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9.2595862764265711</v>
      </c>
      <c r="BQ36" s="21">
        <f>EXP(-LN(2)/25)*BQ35+(1-EXP(-LN(2)/25))/(LN(2)/25)*Calculateur!BL36*Calculateur!BN36*VLOOKUP('Données projet'!$B$11,Paramètres!$A$1:$I$89,3,0)*0.475*44/12</f>
        <v>20.69456005317987</v>
      </c>
      <c r="BR36" s="21">
        <f>EXP(-LN(2)/2)*BR35+(1-EXP(-LN(2)/2))/(LN(2)/2)*BL36*BO36*VLOOKUP('Données projet'!$B$11,Paramètres!$A$1:$I$89,3,0)*0.475*44/12</f>
        <v>10.848791694737608</v>
      </c>
      <c r="BS36" s="22">
        <f t="shared" si="9"/>
        <v>40.802938024344051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15.7</v>
      </c>
      <c r="BY36" s="12">
        <f>IF('Données projet'!$A$114&gt;35,BY35+BX36-CG35,IF(A36&lt;'Données projet'!$A$114,$BV$205^A36,IF(A36='Données projet'!$A$114,'Données projet'!$B$114,BY35+BX36-CG35)))</f>
        <v>246.09999999999997</v>
      </c>
      <c r="BZ36" s="13">
        <f>BY36*VLOOKUP('Données projet'!$B$12,Paramètres!$A$1:$I$89,3,0)*VLOOKUP('Données projet'!$B$12,Paramètres!$A$1:$I$89,5,0)</f>
        <v>134.37059999999997</v>
      </c>
      <c r="CA36" s="13">
        <f t="shared" si="39"/>
        <v>35.004324871601163</v>
      </c>
      <c r="CB36" s="20">
        <f t="shared" si="10"/>
        <v>294.99466081803865</v>
      </c>
      <c r="CC36" s="59">
        <f t="shared" si="11"/>
        <v>588.32799415137197</v>
      </c>
      <c r="CD36" s="59">
        <f ca="1">AVERAGE(OFFSET($CC$3,0,0,'Données projet'!$E$12+1,1))-AVERAGE(OFFSET($H$3,0,0,'Données projet'!$E$12+1,1))</f>
        <v>248.1486444660062</v>
      </c>
      <c r="CE36" s="59">
        <f t="shared" si="40"/>
        <v>293.34458072322127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8.0264914946518271</v>
      </c>
      <c r="CL36" s="21">
        <f>EXP(-LN(2)/25)*CL35+(1-EXP(-LN(2)/25))/(LN(2)/25)*Calculateur!CG36*Calculateur!CI36*VLOOKUP('Données projet'!$B$12,Paramètres!$A$1:$I$89,3,0)*0.475*44/12</f>
        <v>31.321107756228802</v>
      </c>
      <c r="CM36" s="21">
        <f>EXP(-LN(2)/2)*CM35+(1-EXP(-LN(2)/2))/(LN(2)/2)*CG36*CJ36*VLOOKUP('Données projet'!$B$12,Paramètres!$A$1:$I$89,3,0)*0.475*44/12</f>
        <v>8.9033321362755622</v>
      </c>
      <c r="CN36" s="22">
        <f t="shared" si="12"/>
        <v>48.250931387156186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14.2</v>
      </c>
      <c r="CT36" s="12">
        <f>IF('Données projet'!$A$140&gt;35,CT35+CS36-DB35,IF(A36&lt;'Données projet'!$A$140,$CQ$205^A36,IF(A36='Données projet'!$A$140,'Données projet'!$B$140,CT35+CS36-DB35)))</f>
        <v>205.59999999999991</v>
      </c>
      <c r="CU36" s="17">
        <f>CT36*VLOOKUP('Données projet'!$B$13,Paramètres!$A$1:$I$89,3,0)*VLOOKUP('Données projet'!$B$13,Paramètres!$A$1:$I$89,5,0)</f>
        <v>163.57535999999993</v>
      </c>
      <c r="CV36" s="13">
        <f t="shared" si="41"/>
        <v>41.647907659103069</v>
      </c>
      <c r="CW36" s="20">
        <f t="shared" si="13"/>
        <v>357.43052450627101</v>
      </c>
      <c r="CX36" s="59">
        <f t="shared" si="14"/>
        <v>650.76385783960427</v>
      </c>
      <c r="CY36" s="59">
        <f ca="1">AVERAGE(OFFSET($CX$3,0,0,'Données projet'!$E$13+1,1))-AVERAGE(OFFSET($H$3,0,0,'Données projet'!$E$13+1,1))</f>
        <v>314.94704727988847</v>
      </c>
      <c r="CZ36" s="59">
        <f t="shared" si="42"/>
        <v>366.49199094166454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3.6897289983067854</v>
      </c>
      <c r="DG36" s="21">
        <f>EXP(-LN(2)/25)*DG35+(1-EXP(-LN(2)/25))/(LN(2)/25)*Calculateur!DB36*Calculateur!DD36*VLOOKUP('Données projet'!$B$13,Paramètres!$A$1:$I$89,3,0)*0.475*44/12</f>
        <v>23.37910906916921</v>
      </c>
      <c r="DH36" s="21">
        <f>EXP(-LN(2)/2)*DH35+(1-EXP(-LN(2)/2))/(LN(2)/2)*DB36*DE36*VLOOKUP('Données projet'!$B$13,Paramètres!$A$1:$I$89,3,0)*0.475*44/12</f>
        <v>10.206816476965344</v>
      </c>
      <c r="DI36" s="22">
        <f t="shared" si="15"/>
        <v>37.275654544441338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26.8</v>
      </c>
      <c r="N37" s="13">
        <f>IF('Données projet'!$A$36&gt;35,N36+M37-V36,IF(A37&lt;'Données projet'!$A$36,$K$205^A37,IF(A37='Données projet'!$A$36,'Données projet'!$B$36,N36+M37-V36)))</f>
        <v>366.20000000000005</v>
      </c>
      <c r="O37" s="13">
        <f>N37*VLOOKUP('Données projet'!$B$9,Paramètres!$A$1:$I$89,3,0)*VLOOKUP('Données projet'!$B$9,Paramètres!$A$1:$I$89,5,0)</f>
        <v>204.70580000000001</v>
      </c>
      <c r="P37" s="13">
        <f t="shared" si="33"/>
        <v>50.776956172604578</v>
      </c>
      <c r="Q37" s="20">
        <f t="shared" si="53"/>
        <v>444.96580033395298</v>
      </c>
      <c r="R37" s="59">
        <f t="shared" si="0"/>
        <v>738.29913366728624</v>
      </c>
      <c r="S37" s="59">
        <f ca="1">AVERAGE(OFFSET($R$3,0,0,'Données projet'!$E$9+1,1))-AVERAGE(OFFSET($H$3,0,0,'Données projet'!$E$9+1,1))</f>
        <v>415.91544298418842</v>
      </c>
      <c r="T37" s="59">
        <f t="shared" si="34"/>
        <v>422.79312683312583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10.550121400147017</v>
      </c>
      <c r="AA37" s="21">
        <f>EXP(-LN(2)/25)*AA36+(1-EXP(-LN(2)/25))/(LN(2)/25)*Calculateur!V37*Calculateur!X37*VLOOKUP('Données projet'!$B$9,Paramètres!$A$1:$I$89,3,0)*0.475*44/12</f>
        <v>34.690643778427194</v>
      </c>
      <c r="AB37" s="21">
        <f>EXP(-LN(2)/2)*AB36+(1-EXP(-LN(2)/2))/(LN(2)/2)*V37*Y37*VLOOKUP('Données projet'!$B$9,Paramètres!$A$1:$I$89,3,0)*0.475*44/12</f>
        <v>9.1179728387585239</v>
      </c>
      <c r="AC37" s="22">
        <f t="shared" si="3"/>
        <v>54.358738017332733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18.8</v>
      </c>
      <c r="AI37" s="13">
        <f>IF('Données projet'!$A$62&gt;35,AI36+AH37-AQ36,IF(A37&lt;'Données projet'!$A$62,$AF$205^A37,IF(A37='Données projet'!$A$62,'Données projet'!$B$62,AI36+AH37-AQ36)))</f>
        <v>270.20000000000016</v>
      </c>
      <c r="AJ37" s="13">
        <f>AI37*VLOOKUP('Données projet'!$B$10,Paramètres!$A$1:$I$89,3,0)*VLOOKUP('Données projet'!$B$10,Paramètres!$A$1:$I$89,5,0)</f>
        <v>161.57960000000011</v>
      </c>
      <c r="AK37" s="13">
        <f t="shared" si="35"/>
        <v>41.198594631057318</v>
      </c>
      <c r="AL37" s="20">
        <f t="shared" si="4"/>
        <v>353.17202231575834</v>
      </c>
      <c r="AM37" s="59">
        <f t="shared" si="5"/>
        <v>646.5053556490916</v>
      </c>
      <c r="AN37" s="59">
        <f ca="1">AVERAGE(OFFSET($AM$3,0,0,'Données projet'!$E$10+1,1))-AVERAGE(OFFSET($H$3,0,0,'Données projet'!$E$10+1,1))</f>
        <v>311.06126148520821</v>
      </c>
      <c r="AO37" s="59">
        <f t="shared" si="36"/>
        <v>321.1728368524748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3.2319505092627954</v>
      </c>
      <c r="AV37" s="21">
        <f>EXP(-LN(2)/25)*AV36+(1-EXP(-LN(2)/25))/(LN(2)/25)*Calculateur!AQ37*Calculateur!AS37*VLOOKUP('Données projet'!$B$10,Paramètres!$A$1:$I$89,3,0)*0.475*44/12</f>
        <v>19.099582782727325</v>
      </c>
      <c r="AW37" s="21">
        <f>EXP(-LN(2)/2)*AW36+(1-EXP(-LN(2)/2))/(LN(2)/2)*AQ37*AT37*VLOOKUP('Données projet'!$B$10,Paramètres!$A$1:$I$89,3,0)*0.475*44/12</f>
        <v>7.575833529042252</v>
      </c>
      <c r="AX37" s="21">
        <f t="shared" si="6"/>
        <v>29.907366821032372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27.8</v>
      </c>
      <c r="BD37" s="12">
        <f>IF('Données projet'!$A$88&gt;35,BD36+BC37-BL36,IF(A37&lt;'Données projet'!$A$88,$BA$205^A37,IF(A37='Données projet'!$A$88,'Données projet'!$B$88,BD36+BC37-BL36)))</f>
        <v>383.20000000000016</v>
      </c>
      <c r="BE37" s="13">
        <f>BD37*VLOOKUP('Données projet'!$B$11,Paramètres!$A$1:$I$89,3,0)*VLOOKUP('Données projet'!$B$11,Paramètres!$A$1:$I$89,5,0)</f>
        <v>184.31920000000008</v>
      </c>
      <c r="BF37" s="13">
        <f t="shared" si="37"/>
        <v>46.281798427722528</v>
      </c>
      <c r="BG37" s="20">
        <f t="shared" si="7"/>
        <v>401.63007226161682</v>
      </c>
      <c r="BH37" s="59">
        <f t="shared" si="8"/>
        <v>694.96340559495013</v>
      </c>
      <c r="BI37" s="59">
        <f ca="1">AVERAGE(OFFSET($BH$3,0,0,'Données projet'!$E$11+1,1))-AVERAGE(OFFSET($H$3,0,0,'Données projet'!$E$11+1,1))</f>
        <v>371.85813103419366</v>
      </c>
      <c r="BJ37" s="59">
        <f t="shared" si="38"/>
        <v>370.01698880104584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9.0780114373358014</v>
      </c>
      <c r="BQ37" s="21">
        <f>EXP(-LN(2)/25)*BQ36+(1-EXP(-LN(2)/25))/(LN(2)/25)*Calculateur!BL37*Calculateur!BN37*VLOOKUP('Données projet'!$B$11,Paramètres!$A$1:$I$89,3,0)*0.475*44/12</f>
        <v>20.128666220246053</v>
      </c>
      <c r="BR37" s="21">
        <f>EXP(-LN(2)/2)*BR36+(1-EXP(-LN(2)/2))/(LN(2)/2)*BL37*BO37*VLOOKUP('Données projet'!$B$11,Paramètres!$A$1:$I$89,3,0)*0.475*44/12</f>
        <v>7.6712541750292607</v>
      </c>
      <c r="BS37" s="22">
        <f t="shared" si="9"/>
        <v>36.877931832611118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15.7</v>
      </c>
      <c r="BY37" s="12">
        <f>IF('Données projet'!$A$114&gt;35,BY36+BX37-CG36,IF(A37&lt;'Données projet'!$A$114,$BV$205^A37,IF(A37='Données projet'!$A$114,'Données projet'!$B$114,BY36+BX37-CG36)))</f>
        <v>261.79999999999995</v>
      </c>
      <c r="BZ37" s="13">
        <f>BY37*VLOOKUP('Données projet'!$B$12,Paramètres!$A$1:$I$89,3,0)*VLOOKUP('Données projet'!$B$12,Paramètres!$A$1:$I$89,5,0)</f>
        <v>142.94279999999998</v>
      </c>
      <c r="CA37" s="13">
        <f t="shared" si="39"/>
        <v>36.97034129538963</v>
      </c>
      <c r="CB37" s="20">
        <f t="shared" si="10"/>
        <v>313.34872108947019</v>
      </c>
      <c r="CC37" s="59">
        <f t="shared" si="11"/>
        <v>606.6820544228035</v>
      </c>
      <c r="CD37" s="59">
        <f ca="1">AVERAGE(OFFSET($CC$3,0,0,'Données projet'!$E$12+1,1))-AVERAGE(OFFSET($H$3,0,0,'Données projet'!$E$12+1,1))</f>
        <v>248.1486444660062</v>
      </c>
      <c r="CE37" s="59">
        <f t="shared" si="40"/>
        <v>293.34458072322127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7.869096892118109</v>
      </c>
      <c r="CL37" s="21">
        <f>EXP(-LN(2)/25)*CL36+(1-EXP(-LN(2)/25))/(LN(2)/25)*Calculateur!CG37*Calculateur!CI37*VLOOKUP('Données projet'!$B$12,Paramètres!$A$1:$I$89,3,0)*0.475*44/12</f>
        <v>30.464630417529253</v>
      </c>
      <c r="CM37" s="21">
        <f>EXP(-LN(2)/2)*CM36+(1-EXP(-LN(2)/2))/(LN(2)/2)*CG37*CJ37*VLOOKUP('Données projet'!$B$12,Paramètres!$A$1:$I$89,3,0)*0.475*44/12</f>
        <v>6.2956065287165615</v>
      </c>
      <c r="CN37" s="22">
        <f t="shared" si="12"/>
        <v>44.629333838363927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14.2</v>
      </c>
      <c r="CT37" s="12">
        <f>IF('Données projet'!$A$140&gt;35,CT36+CS37-DB36,IF(A37&lt;'Données projet'!$A$140,$CQ$205^A37,IF(A37='Données projet'!$A$140,'Données projet'!$B$140,CT36+CS37-DB36)))</f>
        <v>219.7999999999999</v>
      </c>
      <c r="CU37" s="17">
        <f>CT37*VLOOKUP('Données projet'!$B$13,Paramètres!$A$1:$I$89,3,0)*VLOOKUP('Données projet'!$B$13,Paramètres!$A$1:$I$89,5,0)</f>
        <v>174.87287999999992</v>
      </c>
      <c r="CV37" s="13">
        <f t="shared" si="41"/>
        <v>44.179585076423599</v>
      </c>
      <c r="CW37" s="20">
        <f t="shared" si="13"/>
        <v>381.51637667477098</v>
      </c>
      <c r="CX37" s="59">
        <f t="shared" si="14"/>
        <v>674.84971000810424</v>
      </c>
      <c r="CY37" s="59">
        <f ca="1">AVERAGE(OFFSET($CX$3,0,0,'Données projet'!$E$13+1,1))-AVERAGE(OFFSET($H$3,0,0,'Données projet'!$E$13+1,1))</f>
        <v>314.94704727988847</v>
      </c>
      <c r="CZ37" s="59">
        <f t="shared" si="42"/>
        <v>366.49199094166454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3.6173756631624587</v>
      </c>
      <c r="DG37" s="21">
        <f>EXP(-LN(2)/25)*DG36+(1-EXP(-LN(2)/25))/(LN(2)/25)*Calculateur!DB37*Calculateur!DD37*VLOOKUP('Données projet'!$B$13,Paramètres!$A$1:$I$89,3,0)*0.475*44/12</f>
        <v>22.739806102218868</v>
      </c>
      <c r="DH37" s="21">
        <f>EXP(-LN(2)/2)*DH36+(1-EXP(-LN(2)/2))/(LN(2)/2)*DB37*DE37*VLOOKUP('Données projet'!$B$13,Paramètres!$A$1:$I$89,3,0)*0.475*44/12</f>
        <v>7.2173091451887812</v>
      </c>
      <c r="DI37" s="22">
        <f t="shared" si="15"/>
        <v>33.574490910570105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26.8</v>
      </c>
      <c r="N38" s="13">
        <f>IF('Données projet'!$A$36&gt;35,N37+M38-V37,IF(A38&lt;'Données projet'!$A$36,$K$205^A38,IF(A38='Données projet'!$A$36,'Données projet'!$B$36,N37+M38-V37)))</f>
        <v>393.00000000000006</v>
      </c>
      <c r="O38" s="13">
        <f>N38*VLOOKUP('Données projet'!$B$9,Paramètres!$A$1:$I$89,3,0)*VLOOKUP('Données projet'!$B$9,Paramètres!$A$1:$I$89,5,0)</f>
        <v>219.68700000000001</v>
      </c>
      <c r="P38" s="13">
        <f t="shared" si="33"/>
        <v>54.046851081096591</v>
      </c>
      <c r="Q38" s="20">
        <f t="shared" si="53"/>
        <v>476.75312396624321</v>
      </c>
      <c r="R38" s="59">
        <f t="shared" si="0"/>
        <v>770.08645729957652</v>
      </c>
      <c r="S38" s="59">
        <f ca="1">AVERAGE(OFFSET($R$3,0,0,'Données projet'!$E$9+1,1))-AVERAGE(OFFSET($H$3,0,0,'Données projet'!$E$9+1,1))</f>
        <v>415.91544298418842</v>
      </c>
      <c r="T38" s="59">
        <f t="shared" si="34"/>
        <v>422.79312683312583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10.343239954428791</v>
      </c>
      <c r="AA38" s="21">
        <f>EXP(-LN(2)/25)*AA37+(1-EXP(-LN(2)/25))/(LN(2)/25)*Calculateur!V38*Calculateur!X38*VLOOKUP('Données projet'!$B$9,Paramètres!$A$1:$I$89,3,0)*0.475*44/12</f>
        <v>33.742026300004433</v>
      </c>
      <c r="AB38" s="21">
        <f>EXP(-LN(2)/2)*AB37+(1-EXP(-LN(2)/2))/(LN(2)/2)*V38*Y38*VLOOKUP('Données projet'!$B$9,Paramètres!$A$1:$I$89,3,0)*0.475*44/12</f>
        <v>6.4473804249609072</v>
      </c>
      <c r="AC38" s="22">
        <f t="shared" si="3"/>
        <v>50.532646679394126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18.8</v>
      </c>
      <c r="AI38" s="13">
        <f>IF('Données projet'!$A$62&gt;35,AI37+AH38-AQ37,IF(A38&lt;'Données projet'!$A$62,$AF$205^A38,IF(A38='Données projet'!$A$62,'Données projet'!$B$62,AI37+AH38-AQ37)))</f>
        <v>289.00000000000017</v>
      </c>
      <c r="AJ38" s="13">
        <f>AI38*VLOOKUP('Données projet'!$B$10,Paramètres!$A$1:$I$89,3,0)*VLOOKUP('Données projet'!$B$10,Paramètres!$A$1:$I$89,5,0)</f>
        <v>172.82200000000012</v>
      </c>
      <c r="AK38" s="13">
        <f t="shared" si="35"/>
        <v>43.721450828113497</v>
      </c>
      <c r="AL38" s="20">
        <f t="shared" si="4"/>
        <v>377.14651019229785</v>
      </c>
      <c r="AM38" s="59">
        <f t="shared" si="5"/>
        <v>670.47984352563117</v>
      </c>
      <c r="AN38" s="59">
        <f ca="1">AVERAGE(OFFSET($AM$3,0,0,'Données projet'!$E$10+1,1))-AVERAGE(OFFSET($H$3,0,0,'Données projet'!$E$10+1,1))</f>
        <v>311.06126148520821</v>
      </c>
      <c r="AO38" s="59">
        <f t="shared" si="36"/>
        <v>321.1728368524748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3.1685739310713132</v>
      </c>
      <c r="AV38" s="21">
        <f>EXP(-LN(2)/25)*AV37+(1-EXP(-LN(2)/25))/(LN(2)/25)*Calculateur!AQ38*Calculateur!AS38*VLOOKUP('Données projet'!$B$10,Paramètres!$A$1:$I$89,3,0)*0.475*44/12</f>
        <v>18.577303687130239</v>
      </c>
      <c r="AW38" s="21">
        <f>EXP(-LN(2)/2)*AW37+(1-EXP(-LN(2)/2))/(LN(2)/2)*AQ38*AT38*VLOOKUP('Données projet'!$B$10,Paramètres!$A$1:$I$89,3,0)*0.475*44/12</f>
        <v>5.3569232615261901</v>
      </c>
      <c r="AX38" s="21">
        <f t="shared" si="6"/>
        <v>27.102800879727745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27.8</v>
      </c>
      <c r="BD38" s="12">
        <f>IF('Données projet'!$A$88&gt;35,BD37+BC38-BL37,IF(A38&lt;'Données projet'!$A$88,$BA$205^A38,IF(A38='Données projet'!$A$88,'Données projet'!$B$88,BD37+BC38-BL37)))</f>
        <v>411.00000000000017</v>
      </c>
      <c r="BE38" s="13">
        <f>BD38*VLOOKUP('Données projet'!$B$11,Paramètres!$A$1:$I$89,3,0)*VLOOKUP('Données projet'!$B$11,Paramètres!$A$1:$I$89,5,0)</f>
        <v>197.69100000000006</v>
      </c>
      <c r="BF38" s="13">
        <f t="shared" si="37"/>
        <v>49.236376973807687</v>
      </c>
      <c r="BG38" s="20">
        <f t="shared" si="7"/>
        <v>430.06518156271517</v>
      </c>
      <c r="BH38" s="59">
        <f t="shared" si="8"/>
        <v>723.39851489604848</v>
      </c>
      <c r="BI38" s="59">
        <f ca="1">AVERAGE(OFFSET($BH$3,0,0,'Données projet'!$E$11+1,1))-AVERAGE(OFFSET($H$3,0,0,'Données projet'!$E$11+1,1))</f>
        <v>371.85813103419366</v>
      </c>
      <c r="BJ38" s="59">
        <f t="shared" si="38"/>
        <v>370.01698880104584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8.8999971700898861</v>
      </c>
      <c r="BQ38" s="21">
        <f>EXP(-LN(2)/25)*BQ37+(1-EXP(-LN(2)/25))/(LN(2)/25)*Calculateur!BL38*Calculateur!BN38*VLOOKUP('Données projet'!$B$11,Paramètres!$A$1:$I$89,3,0)*0.475*44/12</f>
        <v>19.578246783932872</v>
      </c>
      <c r="BR38" s="21">
        <f>EXP(-LN(2)/2)*BR37+(1-EXP(-LN(2)/2))/(LN(2)/2)*BL38*BO38*VLOOKUP('Données projet'!$B$11,Paramètres!$A$1:$I$89,3,0)*0.475*44/12</f>
        <v>5.424395847368805</v>
      </c>
      <c r="BS38" s="22">
        <f t="shared" si="9"/>
        <v>33.902639801391565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15.7</v>
      </c>
      <c r="BY38" s="12">
        <f>IF('Données projet'!$A$114&gt;35,BY37+BX38-CG37,IF(A38&lt;'Données projet'!$A$114,$BV$205^A38,IF(A38='Données projet'!$A$114,'Données projet'!$B$114,BY37+BX38-CG37)))</f>
        <v>277.49999999999994</v>
      </c>
      <c r="BZ38" s="13">
        <f>BY38*VLOOKUP('Données projet'!$B$12,Paramètres!$A$1:$I$89,3,0)*VLOOKUP('Données projet'!$B$12,Paramètres!$A$1:$I$89,5,0)</f>
        <v>151.51499999999996</v>
      </c>
      <c r="CA38" s="13">
        <f t="shared" si="39"/>
        <v>38.922673183770968</v>
      </c>
      <c r="CB38" s="20">
        <f t="shared" si="10"/>
        <v>331.67894746173437</v>
      </c>
      <c r="CC38" s="59">
        <f t="shared" si="11"/>
        <v>625.01228079506768</v>
      </c>
      <c r="CD38" s="59">
        <f ca="1">AVERAGE(OFFSET($CC$3,0,0,'Données projet'!$E$12+1,1))-AVERAGE(OFFSET($H$3,0,0,'Données projet'!$E$12+1,1))</f>
        <v>248.1486444660062</v>
      </c>
      <c r="CE38" s="59">
        <f t="shared" si="40"/>
        <v>293.34458072322127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7.7147887017388488</v>
      </c>
      <c r="CL38" s="21">
        <f>EXP(-LN(2)/25)*CL37+(1-EXP(-LN(2)/25))/(LN(2)/25)*Calculateur!CG38*Calculateur!CI38*VLOOKUP('Données projet'!$B$12,Paramètres!$A$1:$I$89,3,0)*0.475*44/12</f>
        <v>29.631573496696632</v>
      </c>
      <c r="CM38" s="21">
        <f>EXP(-LN(2)/2)*CM37+(1-EXP(-LN(2)/2))/(LN(2)/2)*CG38*CJ38*VLOOKUP('Données projet'!$B$12,Paramètres!$A$1:$I$89,3,0)*0.475*44/12</f>
        <v>4.451666068137782</v>
      </c>
      <c r="CN38" s="22">
        <f t="shared" si="12"/>
        <v>41.798028266573262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14.2</v>
      </c>
      <c r="CT38" s="12">
        <f>IF('Données projet'!$A$140&gt;35,CT37+CS38-DB37,IF(A38&lt;'Données projet'!$A$140,$CQ$205^A38,IF(A38='Données projet'!$A$140,'Données projet'!$B$140,CT37+CS38-DB37)))</f>
        <v>233.99999999999989</v>
      </c>
      <c r="CU38" s="17">
        <f>CT38*VLOOKUP('Données projet'!$B$13,Paramètres!$A$1:$I$89,3,0)*VLOOKUP('Données projet'!$B$13,Paramètres!$A$1:$I$89,5,0)</f>
        <v>186.17039999999992</v>
      </c>
      <c r="CV38" s="13">
        <f t="shared" si="41"/>
        <v>46.692281933796018</v>
      </c>
      <c r="CW38" s="20">
        <f t="shared" si="13"/>
        <v>405.56917103469459</v>
      </c>
      <c r="CX38" s="59">
        <f t="shared" si="14"/>
        <v>698.90250436802785</v>
      </c>
      <c r="CY38" s="59">
        <f ca="1">AVERAGE(OFFSET($CX$3,0,0,'Données projet'!$E$13+1,1))-AVERAGE(OFFSET($H$3,0,0,'Données projet'!$E$13+1,1))</f>
        <v>314.94704727988847</v>
      </c>
      <c r="CZ38" s="59">
        <f t="shared" si="42"/>
        <v>366.49199094166454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3.5464411327891354</v>
      </c>
      <c r="DG38" s="21">
        <f>EXP(-LN(2)/25)*DG37+(1-EXP(-LN(2)/25))/(LN(2)/25)*Calculateur!DB38*Calculateur!DD38*VLOOKUP('Données projet'!$B$13,Paramètres!$A$1:$I$89,3,0)*0.475*44/12</f>
        <v>22.117984908519261</v>
      </c>
      <c r="DH38" s="21">
        <f>EXP(-LN(2)/2)*DH37+(1-EXP(-LN(2)/2))/(LN(2)/2)*DB38*DE38*VLOOKUP('Données projet'!$B$13,Paramètres!$A$1:$I$89,3,0)*0.475*44/12</f>
        <v>5.1034082384826718</v>
      </c>
      <c r="DI38" s="22">
        <f t="shared" si="15"/>
        <v>30.767834279791067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26.8</v>
      </c>
      <c r="N39" s="13">
        <f>IF('Données projet'!$A$36&gt;35,N38+M39-V38,IF(A39&lt;'Données projet'!$A$36,$K$205^A39,IF(A39='Données projet'!$A$36,'Données projet'!$B$36,N38+M39-V38)))</f>
        <v>419.80000000000007</v>
      </c>
      <c r="O39" s="13">
        <f>N39*VLOOKUP('Données projet'!$B$9,Paramètres!$A$1:$I$89,3,0)*VLOOKUP('Données projet'!$B$9,Paramètres!$A$1:$I$89,5,0)</f>
        <v>234.66820000000007</v>
      </c>
      <c r="P39" s="13">
        <f t="shared" si="33"/>
        <v>57.290872093206247</v>
      </c>
      <c r="Q39" s="20">
        <f t="shared" si="53"/>
        <v>508.4953838956676</v>
      </c>
      <c r="R39" s="59">
        <f t="shared" si="0"/>
        <v>801.82871722900086</v>
      </c>
      <c r="S39" s="59">
        <f ca="1">AVERAGE(OFFSET($R$3,0,0,'Données projet'!$E$9+1,1))-AVERAGE(OFFSET($H$3,0,0,'Données projet'!$E$9+1,1))</f>
        <v>415.91544298418842</v>
      </c>
      <c r="T39" s="59">
        <f t="shared" si="34"/>
        <v>422.79312683312583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10.140415327675877</v>
      </c>
      <c r="AA39" s="21">
        <f>EXP(-LN(2)/25)*AA38+(1-EXP(-LN(2)/25))/(LN(2)/25)*Calculateur!V39*Calculateur!X39*VLOOKUP('Données projet'!$B$9,Paramètres!$A$1:$I$89,3,0)*0.475*44/12</f>
        <v>32.819348816414767</v>
      </c>
      <c r="AB39" s="21">
        <f>EXP(-LN(2)/2)*AB38+(1-EXP(-LN(2)/2))/(LN(2)/2)*V39*Y39*VLOOKUP('Données projet'!$B$9,Paramètres!$A$1:$I$89,3,0)*0.475*44/12</f>
        <v>4.558986419379262</v>
      </c>
      <c r="AC39" s="22">
        <f t="shared" si="3"/>
        <v>47.518750563469901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18.8</v>
      </c>
      <c r="AI39" s="13">
        <f>IF('Données projet'!$A$62&gt;35,AI38+AH39-AQ38,IF(A39&lt;'Données projet'!$A$62,$AF$205^A39,IF(A39='Données projet'!$A$62,'Données projet'!$B$62,AI38+AH39-AQ38)))</f>
        <v>307.80000000000018</v>
      </c>
      <c r="AJ39" s="13">
        <f>AI39*VLOOKUP('Données projet'!$B$10,Paramètres!$A$1:$I$89,3,0)*VLOOKUP('Données projet'!$B$10,Paramètres!$A$1:$I$89,5,0)</f>
        <v>184.06440000000012</v>
      </c>
      <c r="AK39" s="13">
        <f t="shared" si="35"/>
        <v>46.225261821093866</v>
      </c>
      <c r="AL39" s="20">
        <f t="shared" si="4"/>
        <v>401.08782767173875</v>
      </c>
      <c r="AM39" s="59">
        <f t="shared" si="5"/>
        <v>694.42116100507201</v>
      </c>
      <c r="AN39" s="59">
        <f ca="1">AVERAGE(OFFSET($AM$3,0,0,'Données projet'!$E$10+1,1))-AVERAGE(OFFSET($H$3,0,0,'Données projet'!$E$10+1,1))</f>
        <v>311.06126148520821</v>
      </c>
      <c r="AO39" s="59">
        <f t="shared" si="36"/>
        <v>321.1728368524748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3.1064401289222703</v>
      </c>
      <c r="AV39" s="21">
        <f>EXP(-LN(2)/25)*AV38+(1-EXP(-LN(2)/25))/(LN(2)/25)*Calculateur!AQ39*Calculateur!AS39*VLOOKUP('Données projet'!$B$10,Paramètres!$A$1:$I$89,3,0)*0.475*44/12</f>
        <v>18.069306340867723</v>
      </c>
      <c r="AW39" s="21">
        <f>EXP(-LN(2)/2)*AW38+(1-EXP(-LN(2)/2))/(LN(2)/2)*AQ39*AT39*VLOOKUP('Données projet'!$B$10,Paramètres!$A$1:$I$89,3,0)*0.475*44/12</f>
        <v>3.7879167645211265</v>
      </c>
      <c r="AX39" s="21">
        <f t="shared" si="6"/>
        <v>24.96366323431112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27.8</v>
      </c>
      <c r="BD39" s="12">
        <f>IF('Données projet'!$A$88&gt;35,BD38+BC39-BL38,IF(A39&lt;'Données projet'!$A$88,$BA$205^A39,IF(A39='Données projet'!$A$88,'Données projet'!$B$88,BD38+BC39-BL38)))</f>
        <v>438.80000000000018</v>
      </c>
      <c r="BE39" s="13">
        <f>BD39*VLOOKUP('Données projet'!$B$11,Paramètres!$A$1:$I$89,3,0)*VLOOKUP('Données projet'!$B$11,Paramètres!$A$1:$I$89,5,0)</f>
        <v>211.06280000000007</v>
      </c>
      <c r="BF39" s="13">
        <f t="shared" si="37"/>
        <v>52.167765958241851</v>
      </c>
      <c r="BG39" s="20">
        <f t="shared" si="7"/>
        <v>458.45990237727136</v>
      </c>
      <c r="BH39" s="59">
        <f t="shared" si="8"/>
        <v>751.79323571060468</v>
      </c>
      <c r="BI39" s="59">
        <f ca="1">AVERAGE(OFFSET($BH$3,0,0,'Données projet'!$E$11+1,1))-AVERAGE(OFFSET($H$3,0,0,'Données projet'!$E$11+1,1))</f>
        <v>371.85813103419366</v>
      </c>
      <c r="BJ39" s="59">
        <f t="shared" si="38"/>
        <v>370.01698880104584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8.7254736540466808</v>
      </c>
      <c r="BQ39" s="21">
        <f>EXP(-LN(2)/25)*BQ38+(1-EXP(-LN(2)/25))/(LN(2)/25)*Calculateur!BL39*Calculateur!BN39*VLOOKUP('Données projet'!$B$11,Paramètres!$A$1:$I$89,3,0)*0.475*44/12</f>
        <v>19.042878596050976</v>
      </c>
      <c r="BR39" s="21">
        <f>EXP(-LN(2)/2)*BR38+(1-EXP(-LN(2)/2))/(LN(2)/2)*BL39*BO39*VLOOKUP('Données projet'!$B$11,Paramètres!$A$1:$I$89,3,0)*0.475*44/12</f>
        <v>3.8356270875146308</v>
      </c>
      <c r="BS39" s="22">
        <f t="shared" si="9"/>
        <v>31.603979337612287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15.7</v>
      </c>
      <c r="BY39" s="12">
        <f>IF('Données projet'!$A$114&gt;35,BY38+BX39-CG38,IF(A39&lt;'Données projet'!$A$114,$BV$205^A39,IF(A39='Données projet'!$A$114,'Données projet'!$B$114,BY38+BX39-CG38)))</f>
        <v>293.19999999999993</v>
      </c>
      <c r="BZ39" s="13">
        <f>BY39*VLOOKUP('Données projet'!$B$12,Paramètres!$A$1:$I$89,3,0)*VLOOKUP('Données projet'!$B$12,Paramètres!$A$1:$I$89,5,0)</f>
        <v>160.08719999999997</v>
      </c>
      <c r="CA39" s="13">
        <f t="shared" si="39"/>
        <v>40.862182986370868</v>
      </c>
      <c r="CB39" s="20">
        <f t="shared" si="10"/>
        <v>349.98684203459584</v>
      </c>
      <c r="CC39" s="59">
        <f t="shared" si="11"/>
        <v>643.3201753679291</v>
      </c>
      <c r="CD39" s="59">
        <f ca="1">AVERAGE(OFFSET($CC$3,0,0,'Données projet'!$E$12+1,1))-AVERAGE(OFFSET($H$3,0,0,'Données projet'!$E$12+1,1))</f>
        <v>248.1486444660062</v>
      </c>
      <c r="CE39" s="59">
        <f t="shared" si="40"/>
        <v>293.34458072322127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7.563506400854223</v>
      </c>
      <c r="CL39" s="21">
        <f>EXP(-LN(2)/25)*CL38+(1-EXP(-LN(2)/25))/(LN(2)/25)*Calculateur!CG39*Calculateur!CI39*VLOOKUP('Données projet'!$B$12,Paramètres!$A$1:$I$89,3,0)*0.475*44/12</f>
        <v>28.821296561172737</v>
      </c>
      <c r="CM39" s="21">
        <f>EXP(-LN(2)/2)*CM38+(1-EXP(-LN(2)/2))/(LN(2)/2)*CG39*CJ39*VLOOKUP('Données projet'!$B$12,Paramètres!$A$1:$I$89,3,0)*0.475*44/12</f>
        <v>3.1478032643582812</v>
      </c>
      <c r="CN39" s="22">
        <f t="shared" si="12"/>
        <v>39.532606226385241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14.2</v>
      </c>
      <c r="CT39" s="12">
        <f>IF('Données projet'!$A$140&gt;35,CT38+CS39-DB38,IF(A39&lt;'Données projet'!$A$140,$CQ$205^A39,IF(A39='Données projet'!$A$140,'Données projet'!$B$140,CT38+CS39-DB38)))</f>
        <v>248.19999999999987</v>
      </c>
      <c r="CU39" s="17">
        <f>CT39*VLOOKUP('Données projet'!$B$13,Paramètres!$A$1:$I$89,3,0)*VLOOKUP('Données projet'!$B$13,Paramètres!$A$1:$I$89,5,0)</f>
        <v>197.46791999999991</v>
      </c>
      <c r="CV39" s="13">
        <f t="shared" si="41"/>
        <v>49.187281204902298</v>
      </c>
      <c r="CW39" s="20">
        <f t="shared" si="13"/>
        <v>429.591142098538</v>
      </c>
      <c r="CX39" s="59">
        <f t="shared" si="14"/>
        <v>722.92447543187131</v>
      </c>
      <c r="CY39" s="59">
        <f ca="1">AVERAGE(OFFSET($CX$3,0,0,'Données projet'!$E$13+1,1))-AVERAGE(OFFSET($H$3,0,0,'Données projet'!$E$13+1,1))</f>
        <v>314.94704727988847</v>
      </c>
      <c r="CZ39" s="59">
        <f t="shared" si="42"/>
        <v>366.49199094166454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3.4768975852906414</v>
      </c>
      <c r="DG39" s="21">
        <f>EXP(-LN(2)/25)*DG38+(1-EXP(-LN(2)/25))/(LN(2)/25)*Calculateur!DB39*Calculateur!DD39*VLOOKUP('Données projet'!$B$13,Paramètres!$A$1:$I$89,3,0)*0.475*44/12</f>
        <v>21.513167448061527</v>
      </c>
      <c r="DH39" s="21">
        <f>EXP(-LN(2)/2)*DH38+(1-EXP(-LN(2)/2))/(LN(2)/2)*DB39*DE39*VLOOKUP('Données projet'!$B$13,Paramètres!$A$1:$I$89,3,0)*0.475*44/12</f>
        <v>3.6086545725943906</v>
      </c>
      <c r="DI39" s="22">
        <f t="shared" si="15"/>
        <v>28.598719605946556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26.8</v>
      </c>
      <c r="N40" s="13">
        <f>IF('Données projet'!$A$36&gt;35,N39+M40-V39,IF(A40&lt;'Données projet'!$A$36,$K$205^A40,IF(A40='Données projet'!$A$36,'Données projet'!$B$36,N39+M40-V39)))</f>
        <v>446.60000000000008</v>
      </c>
      <c r="O40" s="13">
        <f>N40*VLOOKUP('Données projet'!$B$9,Paramètres!$A$1:$I$89,3,0)*VLOOKUP('Données projet'!$B$9,Paramètres!$A$1:$I$89,5,0)</f>
        <v>249.64940000000007</v>
      </c>
      <c r="P40" s="13">
        <f t="shared" si="33"/>
        <v>60.510859008247188</v>
      </c>
      <c r="Q40" s="20">
        <f t="shared" si="53"/>
        <v>540.19578443936393</v>
      </c>
      <c r="R40" s="59">
        <f t="shared" si="0"/>
        <v>833.52911777269719</v>
      </c>
      <c r="S40" s="59">
        <f ca="1">AVERAGE(OFFSET($R$3,0,0,'Données projet'!$E$9+1,1))-AVERAGE(OFFSET($H$3,0,0,'Données projet'!$E$9+1,1))</f>
        <v>415.91544298418842</v>
      </c>
      <c r="T40" s="59">
        <f t="shared" si="34"/>
        <v>422.79312683312583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9.9415679681427811</v>
      </c>
      <c r="AA40" s="21">
        <f>EXP(-LN(2)/25)*AA39+(1-EXP(-LN(2)/25))/(LN(2)/25)*Calculateur!V40*Calculateur!X40*VLOOKUP('Données projet'!$B$9,Paramètres!$A$1:$I$89,3,0)*0.475*44/12</f>
        <v>31.921901997135361</v>
      </c>
      <c r="AB40" s="21">
        <f>EXP(-LN(2)/2)*AB39+(1-EXP(-LN(2)/2))/(LN(2)/2)*V40*Y40*VLOOKUP('Données projet'!$B$9,Paramètres!$A$1:$I$89,3,0)*0.475*44/12</f>
        <v>3.2236902124804536</v>
      </c>
      <c r="AC40" s="22">
        <f t="shared" si="3"/>
        <v>45.087160177758598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18.8</v>
      </c>
      <c r="AI40" s="13">
        <f>IF('Données projet'!$A$62&gt;35,AI39+AH40-AQ39,IF(A40&lt;'Données projet'!$A$62,$AF$205^A40,IF(A40='Données projet'!$A$62,'Données projet'!$B$62,AI39+AH40-AQ39)))</f>
        <v>326.60000000000019</v>
      </c>
      <c r="AJ40" s="13">
        <f>AI40*VLOOKUP('Données projet'!$B$10,Paramètres!$A$1:$I$89,3,0)*VLOOKUP('Données projet'!$B$10,Paramètres!$A$1:$I$89,5,0)</f>
        <v>195.30680000000015</v>
      </c>
      <c r="AK40" s="13">
        <f t="shared" si="35"/>
        <v>48.711323321845938</v>
      </c>
      <c r="AL40" s="20">
        <f t="shared" si="4"/>
        <v>424.99823145221518</v>
      </c>
      <c r="AM40" s="59">
        <f t="shared" si="5"/>
        <v>718.33156478554849</v>
      </c>
      <c r="AN40" s="59">
        <f ca="1">AVERAGE(OFFSET($AM$3,0,0,'Données projet'!$E$10+1,1))-AVERAGE(OFFSET($H$3,0,0,'Données projet'!$E$10+1,1))</f>
        <v>311.06126148520821</v>
      </c>
      <c r="AO40" s="59">
        <f t="shared" si="36"/>
        <v>321.1728368524748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3.0455247327354931</v>
      </c>
      <c r="AV40" s="21">
        <f>EXP(-LN(2)/25)*AV39+(1-EXP(-LN(2)/25))/(LN(2)/25)*Calculateur!AQ40*Calculateur!AS40*VLOOKUP('Données projet'!$B$10,Paramètres!$A$1:$I$89,3,0)*0.475*44/12</f>
        <v>17.575200208753174</v>
      </c>
      <c r="AW40" s="21">
        <f>EXP(-LN(2)/2)*AW39+(1-EXP(-LN(2)/2))/(LN(2)/2)*AQ40*AT40*VLOOKUP('Données projet'!$B$10,Paramètres!$A$1:$I$89,3,0)*0.475*44/12</f>
        <v>2.6784616307630955</v>
      </c>
      <c r="AX40" s="21">
        <f t="shared" si="6"/>
        <v>23.299186572251763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27.8</v>
      </c>
      <c r="BD40" s="12">
        <f>IF('Données projet'!$A$88&gt;35,BD39+BC40-BL39,IF(A40&lt;'Données projet'!$A$88,$BA$205^A40,IF(A40='Données projet'!$A$88,'Données projet'!$B$88,BD39+BC40-BL39)))</f>
        <v>466.60000000000019</v>
      </c>
      <c r="BE40" s="13">
        <f>BD40*VLOOKUP('Données projet'!$B$11,Paramètres!$A$1:$I$89,3,0)*VLOOKUP('Données projet'!$B$11,Paramètres!$A$1:$I$89,5,0)</f>
        <v>224.4346000000001</v>
      </c>
      <c r="BF40" s="13">
        <f t="shared" si="37"/>
        <v>55.077601782411648</v>
      </c>
      <c r="BG40" s="20">
        <f t="shared" si="7"/>
        <v>486.81708477103376</v>
      </c>
      <c r="BH40" s="59">
        <f t="shared" si="8"/>
        <v>780.15041810436708</v>
      </c>
      <c r="BI40" s="59">
        <f ca="1">AVERAGE(OFFSET($BH$3,0,0,'Données projet'!$E$11+1,1))-AVERAGE(OFFSET($H$3,0,0,'Données projet'!$E$11+1,1))</f>
        <v>371.85813103419366</v>
      </c>
      <c r="BJ40" s="59">
        <f t="shared" si="38"/>
        <v>370.01698880104584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8.5543724377042487</v>
      </c>
      <c r="BQ40" s="21">
        <f>EXP(-LN(2)/25)*BQ39+(1-EXP(-LN(2)/25))/(LN(2)/25)*Calculateur!BL40*Calculateur!BN40*VLOOKUP('Données projet'!$B$11,Paramètres!$A$1:$I$89,3,0)*0.475*44/12</f>
        <v>18.522150079420499</v>
      </c>
      <c r="BR40" s="21">
        <f>EXP(-LN(2)/2)*BR39+(1-EXP(-LN(2)/2))/(LN(2)/2)*BL40*BO40*VLOOKUP('Données projet'!$B$11,Paramètres!$A$1:$I$89,3,0)*0.475*44/12</f>
        <v>2.7121979236844029</v>
      </c>
      <c r="BS40" s="22">
        <f t="shared" si="9"/>
        <v>29.788720440809151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15.7</v>
      </c>
      <c r="BY40" s="12">
        <f>IF('Données projet'!$A$114&gt;35,BY39+BX40-CG39,IF(A40&lt;'Données projet'!$A$114,$BV$205^A40,IF(A40='Données projet'!$A$114,'Données projet'!$B$114,BY39+BX40-CG39)))</f>
        <v>308.89999999999992</v>
      </c>
      <c r="BZ40" s="13">
        <f>BY40*VLOOKUP('Données projet'!$B$12,Paramètres!$A$1:$I$89,3,0)*VLOOKUP('Données projet'!$B$12,Paramètres!$A$1:$I$89,5,0)</f>
        <v>168.65939999999998</v>
      </c>
      <c r="CA40" s="13">
        <f t="shared" si="39"/>
        <v>42.789635572993348</v>
      </c>
      <c r="CB40" s="20">
        <f t="shared" si="10"/>
        <v>368.27373695629672</v>
      </c>
      <c r="CC40" s="59">
        <f t="shared" si="11"/>
        <v>661.60707028962997</v>
      </c>
      <c r="CD40" s="59">
        <f ca="1">AVERAGE(OFFSET($CC$3,0,0,'Données projet'!$E$12+1,1))-AVERAGE(OFFSET($H$3,0,0,'Données projet'!$E$12+1,1))</f>
        <v>248.1486444660062</v>
      </c>
      <c r="CE40" s="59">
        <f t="shared" si="40"/>
        <v>293.34458072322127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7.4151906536168521</v>
      </c>
      <c r="CL40" s="21">
        <f>EXP(-LN(2)/25)*CL39+(1-EXP(-LN(2)/25))/(LN(2)/25)*Calculateur!CG40*Calculateur!CI40*VLOOKUP('Données projet'!$B$12,Paramètres!$A$1:$I$89,3,0)*0.475*44/12</f>
        <v>28.033176691061353</v>
      </c>
      <c r="CM40" s="21">
        <f>EXP(-LN(2)/2)*CM39+(1-EXP(-LN(2)/2))/(LN(2)/2)*CG40*CJ40*VLOOKUP('Données projet'!$B$12,Paramètres!$A$1:$I$89,3,0)*0.475*44/12</f>
        <v>2.2258330340688914</v>
      </c>
      <c r="CN40" s="22">
        <f t="shared" si="12"/>
        <v>37.674200378747095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14.2</v>
      </c>
      <c r="CT40" s="12">
        <f>IF('Données projet'!$A$140&gt;35,CT39+CS40-DB39,IF(A40&lt;'Données projet'!$A$140,$CQ$205^A40,IF(A40='Données projet'!$A$140,'Données projet'!$B$140,CT39+CS40-DB39)))</f>
        <v>262.39999999999986</v>
      </c>
      <c r="CU40" s="17">
        <f>CT40*VLOOKUP('Données projet'!$B$13,Paramètres!$A$1:$I$89,3,0)*VLOOKUP('Données projet'!$B$13,Paramètres!$A$1:$I$89,5,0)</f>
        <v>208.7654399999999</v>
      </c>
      <c r="CV40" s="13">
        <f t="shared" si="41"/>
        <v>51.665710768737398</v>
      </c>
      <c r="CW40" s="20">
        <f t="shared" si="13"/>
        <v>453.58425425555083</v>
      </c>
      <c r="CX40" s="59">
        <f t="shared" si="14"/>
        <v>746.91758758888409</v>
      </c>
      <c r="CY40" s="59">
        <f ca="1">AVERAGE(OFFSET($CX$3,0,0,'Données projet'!$E$13+1,1))-AVERAGE(OFFSET($H$3,0,0,'Données projet'!$E$13+1,1))</f>
        <v>314.94704727988847</v>
      </c>
      <c r="CZ40" s="59">
        <f t="shared" si="42"/>
        <v>366.49199094166454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3.4087177443412173</v>
      </c>
      <c r="DG40" s="21">
        <f>EXP(-LN(2)/25)*DG39+(1-EXP(-LN(2)/25))/(LN(2)/25)*Calculateur!DB40*Calculateur!DD40*VLOOKUP('Données projet'!$B$13,Paramètres!$A$1:$I$89,3,0)*0.475*44/12</f>
        <v>20.924888752865979</v>
      </c>
      <c r="DH40" s="21">
        <f>EXP(-LN(2)/2)*DH39+(1-EXP(-LN(2)/2))/(LN(2)/2)*DB40*DE40*VLOOKUP('Données projet'!$B$13,Paramètres!$A$1:$I$89,3,0)*0.475*44/12</f>
        <v>2.5517041192413359</v>
      </c>
      <c r="DI40" s="22">
        <f t="shared" si="15"/>
        <v>26.885310616448532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26.8</v>
      </c>
      <c r="N41" s="13">
        <f>IF('Données projet'!$A$36&gt;35,N40+M41-V40,IF(A41&lt;'Données projet'!$A$36,$K$205^A41,IF(A41='Données projet'!$A$36,'Données projet'!$B$36,N40+M41-V40)))</f>
        <v>473.40000000000009</v>
      </c>
      <c r="O41" s="13">
        <f>N41*VLOOKUP('Données projet'!$B$9,Paramètres!$A$1:$I$89,3,0)*VLOOKUP('Données projet'!$B$9,Paramètres!$A$1:$I$89,5,0)</f>
        <v>264.63060000000007</v>
      </c>
      <c r="P41" s="13">
        <f t="shared" si="33"/>
        <v>63.708418341323984</v>
      </c>
      <c r="Q41" s="20">
        <f t="shared" si="53"/>
        <v>571.8571236111394</v>
      </c>
      <c r="R41" s="59">
        <f t="shared" si="0"/>
        <v>865.19045694447277</v>
      </c>
      <c r="S41" s="59">
        <f ca="1">AVERAGE(OFFSET($R$3,0,0,'Données projet'!$E$9+1,1))-AVERAGE(OFFSET($H$3,0,0,'Données projet'!$E$9+1,1))</f>
        <v>415.91544298418842</v>
      </c>
      <c r="T41" s="59">
        <f t="shared" si="34"/>
        <v>422.79312683312583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9.7466198840452147</v>
      </c>
      <c r="AA41" s="21">
        <f>EXP(-LN(2)/25)*AA40+(1-EXP(-LN(2)/25))/(LN(2)/25)*Calculateur!V41*Calculateur!X41*VLOOKUP('Données projet'!$B$9,Paramètres!$A$1:$I$89,3,0)*0.475*44/12</f>
        <v>31.048995908323828</v>
      </c>
      <c r="AB41" s="21">
        <f>EXP(-LN(2)/2)*AB40+(1-EXP(-LN(2)/2))/(LN(2)/2)*V41*Y41*VLOOKUP('Données projet'!$B$9,Paramètres!$A$1:$I$89,3,0)*0.475*44/12</f>
        <v>2.279493209689631</v>
      </c>
      <c r="AC41" s="22">
        <f t="shared" si="3"/>
        <v>43.075109002058674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18.8</v>
      </c>
      <c r="AI41" s="13">
        <f>IF('Données projet'!$A$62&gt;35,AI40+AH41-AQ40,IF(A41&lt;'Données projet'!$A$62,$AF$205^A41,IF(A41='Données projet'!$A$62,'Données projet'!$B$62,AI40+AH41-AQ40)))</f>
        <v>345.4000000000002</v>
      </c>
      <c r="AJ41" s="13">
        <f>AI41*VLOOKUP('Données projet'!$B$10,Paramètres!$A$1:$I$89,3,0)*VLOOKUP('Données projet'!$B$10,Paramètres!$A$1:$I$89,5,0)</f>
        <v>206.54920000000013</v>
      </c>
      <c r="AK41" s="13">
        <f t="shared" si="35"/>
        <v>51.180773446917421</v>
      </c>
      <c r="AL41" s="20">
        <f t="shared" si="4"/>
        <v>448.87970375338136</v>
      </c>
      <c r="AM41" s="59">
        <f t="shared" si="5"/>
        <v>742.21303708671462</v>
      </c>
      <c r="AN41" s="59">
        <f ca="1">AVERAGE(OFFSET($AM$3,0,0,'Données projet'!$E$10+1,1))-AVERAGE(OFFSET($H$3,0,0,'Données projet'!$E$10+1,1))</f>
        <v>311.06126148520821</v>
      </c>
      <c r="AO41" s="59">
        <f t="shared" si="36"/>
        <v>321.1728368524748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2.9858038503132156</v>
      </c>
      <c r="AV41" s="21">
        <f>EXP(-LN(2)/25)*AV40+(1-EXP(-LN(2)/25))/(LN(2)/25)*Calculateur!AQ41*Calculateur!AS41*VLOOKUP('Données projet'!$B$10,Paramètres!$A$1:$I$89,3,0)*0.475*44/12</f>
        <v>17.094605434805207</v>
      </c>
      <c r="AW41" s="21">
        <f>EXP(-LN(2)/2)*AW40+(1-EXP(-LN(2)/2))/(LN(2)/2)*AQ41*AT41*VLOOKUP('Données projet'!$B$10,Paramètres!$A$1:$I$89,3,0)*0.475*44/12</f>
        <v>1.8939583822605635</v>
      </c>
      <c r="AX41" s="21">
        <f t="shared" si="6"/>
        <v>21.974367667378985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27.8</v>
      </c>
      <c r="BD41" s="12">
        <f>IF('Données projet'!$A$88&gt;35,BD40+BC41-BL40,IF(A41&lt;'Données projet'!$A$88,$BA$205^A41,IF(A41='Données projet'!$A$88,'Données projet'!$B$88,BD40+BC41-BL40)))</f>
        <v>494.4000000000002</v>
      </c>
      <c r="BE41" s="13">
        <f>BD41*VLOOKUP('Données projet'!$B$11,Paramètres!$A$1:$I$89,3,0)*VLOOKUP('Données projet'!$B$11,Paramètres!$A$1:$I$89,5,0)</f>
        <v>237.80640000000011</v>
      </c>
      <c r="BF41" s="13">
        <f t="shared" si="37"/>
        <v>57.967314838085144</v>
      </c>
      <c r="BG41" s="20">
        <f t="shared" si="7"/>
        <v>515.13922000966511</v>
      </c>
      <c r="BH41" s="59">
        <f t="shared" si="8"/>
        <v>808.47255334299848</v>
      </c>
      <c r="BI41" s="59">
        <f ca="1">AVERAGE(OFFSET($BH$3,0,0,'Données projet'!$E$11+1,1))-AVERAGE(OFFSET($H$3,0,0,'Données projet'!$E$11+1,1))</f>
        <v>371.85813103419366</v>
      </c>
      <c r="BJ41" s="59">
        <f t="shared" si="38"/>
        <v>370.01698880104584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8.3866264118528555</v>
      </c>
      <c r="BQ41" s="21">
        <f>EXP(-LN(2)/25)*BQ40+(1-EXP(-LN(2)/25))/(LN(2)/25)*Calculateur!BL41*Calculateur!BN41*VLOOKUP('Données projet'!$B$11,Paramètres!$A$1:$I$89,3,0)*0.475*44/12</f>
        <v>18.015660911461204</v>
      </c>
      <c r="BR41" s="21">
        <f>EXP(-LN(2)/2)*BR40+(1-EXP(-LN(2)/2))/(LN(2)/2)*BL41*BO41*VLOOKUP('Données projet'!$B$11,Paramètres!$A$1:$I$89,3,0)*0.475*44/12</f>
        <v>1.9178135437573158</v>
      </c>
      <c r="BS41" s="22">
        <f t="shared" si="9"/>
        <v>28.320100867071375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15.7</v>
      </c>
      <c r="BY41" s="12">
        <f>IF('Données projet'!$A$114&gt;35,BY40+BX41-CG40,IF(A41&lt;'Données projet'!$A$114,$BV$205^A41,IF(A41='Données projet'!$A$114,'Données projet'!$B$114,BY40+BX41-CG40)))</f>
        <v>324.59999999999991</v>
      </c>
      <c r="BZ41" s="13">
        <f>BY41*VLOOKUP('Données projet'!$B$12,Paramètres!$A$1:$I$89,3,0)*VLOOKUP('Données projet'!$B$12,Paramètres!$A$1:$I$89,5,0)</f>
        <v>177.23159999999996</v>
      </c>
      <c r="CA41" s="13">
        <f t="shared" si="39"/>
        <v>44.70571367190955</v>
      </c>
      <c r="CB41" s="20">
        <f t="shared" si="10"/>
        <v>386.54082131190904</v>
      </c>
      <c r="CC41" s="59">
        <f t="shared" si="11"/>
        <v>679.87415464524236</v>
      </c>
      <c r="CD41" s="59">
        <f ca="1">AVERAGE(OFFSET($CC$3,0,0,'Données projet'!$E$12+1,1))-AVERAGE(OFFSET($H$3,0,0,'Données projet'!$E$12+1,1))</f>
        <v>248.1486444660062</v>
      </c>
      <c r="CE41" s="59">
        <f t="shared" si="40"/>
        <v>293.34458072322127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7.2697832877191333</v>
      </c>
      <c r="CL41" s="21">
        <f>EXP(-LN(2)/25)*CL40+(1-EXP(-LN(2)/25))/(LN(2)/25)*Calculateur!CG41*Calculateur!CI41*VLOOKUP('Données projet'!$B$12,Paramètres!$A$1:$I$89,3,0)*0.475*44/12</f>
        <v>27.26660800024359</v>
      </c>
      <c r="CM41" s="21">
        <f>EXP(-LN(2)/2)*CM40+(1-EXP(-LN(2)/2))/(LN(2)/2)*CG41*CJ41*VLOOKUP('Données projet'!$B$12,Paramètres!$A$1:$I$89,3,0)*0.475*44/12</f>
        <v>1.5739016321791408</v>
      </c>
      <c r="CN41" s="22">
        <f t="shared" si="12"/>
        <v>36.110292920141866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14.2</v>
      </c>
      <c r="CT41" s="12">
        <f>IF('Données projet'!$A$140&gt;35,CT40+CS41-DB40,IF(A41&lt;'Données projet'!$A$140,$CQ$205^A41,IF(A41='Données projet'!$A$140,'Données projet'!$B$140,CT40+CS41-DB40)))</f>
        <v>276.59999999999985</v>
      </c>
      <c r="CU41" s="17">
        <f>CT41*VLOOKUP('Données projet'!$B$13,Paramètres!$A$1:$I$89,3,0)*VLOOKUP('Données projet'!$B$13,Paramètres!$A$1:$I$89,5,0)</f>
        <v>220.06295999999989</v>
      </c>
      <c r="CV41" s="13">
        <f t="shared" si="41"/>
        <v>54.128569537628671</v>
      </c>
      <c r="CW41" s="20">
        <f t="shared" si="13"/>
        <v>477.55024727803635</v>
      </c>
      <c r="CX41" s="59">
        <f t="shared" si="14"/>
        <v>770.88358061136967</v>
      </c>
      <c r="CY41" s="59">
        <f ca="1">AVERAGE(OFFSET($CX$3,0,0,'Données projet'!$E$13+1,1))-AVERAGE(OFFSET($H$3,0,0,'Données projet'!$E$13+1,1))</f>
        <v>314.94704727988847</v>
      </c>
      <c r="CZ41" s="59">
        <f t="shared" si="42"/>
        <v>366.49199094166454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3.3418748684872148</v>
      </c>
      <c r="DG41" s="21">
        <f>EXP(-LN(2)/25)*DG40+(1-EXP(-LN(2)/25))/(LN(2)/25)*Calculateur!DB41*Calculateur!DD41*VLOOKUP('Données projet'!$B$13,Paramètres!$A$1:$I$89,3,0)*0.475*44/12</f>
        <v>20.352696569526785</v>
      </c>
      <c r="DH41" s="21">
        <f>EXP(-LN(2)/2)*DH40+(1-EXP(-LN(2)/2))/(LN(2)/2)*DB41*DE41*VLOOKUP('Données projet'!$B$13,Paramètres!$A$1:$I$89,3,0)*0.475*44/12</f>
        <v>1.8043272862971953</v>
      </c>
      <c r="DI41" s="22">
        <f t="shared" si="15"/>
        <v>25.498898724311193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26.8</v>
      </c>
      <c r="N42" s="13">
        <f>IF('Données projet'!$A$36&gt;35,N41+M42-V41,IF(A42&lt;'Données projet'!$A$36,$K$205^A42,IF(A42='Données projet'!$A$36,'Données projet'!$B$36,N41+M42-V41)))</f>
        <v>500.2000000000001</v>
      </c>
      <c r="O42" s="13">
        <f>N42*VLOOKUP('Données projet'!$B$9,Paramètres!$A$1:$I$89,3,0)*VLOOKUP('Données projet'!$B$9,Paramètres!$A$1:$I$89,5,0)</f>
        <v>279.61180000000007</v>
      </c>
      <c r="P42" s="13">
        <f t="shared" si="33"/>
        <v>66.884964438617615</v>
      </c>
      <c r="Q42" s="20">
        <f t="shared" si="53"/>
        <v>603.48186473059241</v>
      </c>
      <c r="R42" s="59">
        <f t="shared" si="0"/>
        <v>896.81519806392566</v>
      </c>
      <c r="S42" s="59">
        <f ca="1">AVERAGE(OFFSET($R$3,0,0,'Données projet'!$E$9+1,1))-AVERAGE(OFFSET($H$3,0,0,'Données projet'!$E$9+1,1))</f>
        <v>415.91544298418842</v>
      </c>
      <c r="T42" s="59">
        <f t="shared" si="34"/>
        <v>422.79312683312583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9.5554946129702127</v>
      </c>
      <c r="AA42" s="21">
        <f>EXP(-LN(2)/25)*AA41+(1-EXP(-LN(2)/25))/(LN(2)/25)*Calculateur!V42*Calculateur!X42*VLOOKUP('Données projet'!$B$9,Paramètres!$A$1:$I$89,3,0)*0.475*44/12</f>
        <v>30.199959482414982</v>
      </c>
      <c r="AB42" s="21">
        <f>EXP(-LN(2)/2)*AB41+(1-EXP(-LN(2)/2))/(LN(2)/2)*V42*Y42*VLOOKUP('Données projet'!$B$9,Paramètres!$A$1:$I$89,3,0)*0.475*44/12</f>
        <v>1.6118451062402268</v>
      </c>
      <c r="AC42" s="22">
        <f t="shared" si="3"/>
        <v>41.367299201625421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18.8</v>
      </c>
      <c r="AI42" s="13">
        <f>IF('Données projet'!$A$62&gt;35,AI41+AH42-AQ41,IF(A42&lt;'Données projet'!$A$62,$AF$205^A42,IF(A42='Données projet'!$A$62,'Données projet'!$B$62,AI41+AH42-AQ41)))</f>
        <v>364.20000000000022</v>
      </c>
      <c r="AJ42" s="13">
        <f>AI42*VLOOKUP('Données projet'!$B$10,Paramètres!$A$1:$I$89,3,0)*VLOOKUP('Données projet'!$B$10,Paramètres!$A$1:$I$89,5,0)</f>
        <v>217.79160000000013</v>
      </c>
      <c r="AK42" s="13">
        <f t="shared" si="35"/>
        <v>53.634619420976733</v>
      </c>
      <c r="AL42" s="20">
        <f t="shared" si="4"/>
        <v>472.73399882486802</v>
      </c>
      <c r="AM42" s="59">
        <f t="shared" si="5"/>
        <v>766.06733215820134</v>
      </c>
      <c r="AN42" s="59">
        <f ca="1">AVERAGE(OFFSET($AM$3,0,0,'Données projet'!$E$10+1,1))-AVERAGE(OFFSET($H$3,0,0,'Données projet'!$E$10+1,1))</f>
        <v>311.06126148520821</v>
      </c>
      <c r="AO42" s="59">
        <f t="shared" si="36"/>
        <v>321.1728368524748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2.9272540579690975</v>
      </c>
      <c r="AV42" s="21">
        <f>EXP(-LN(2)/25)*AV41+(1-EXP(-LN(2)/25))/(LN(2)/25)*Calculateur!AQ42*Calculateur!AS42*VLOOKUP('Données projet'!$B$10,Paramètres!$A$1:$I$89,3,0)*0.475*44/12</f>
        <v>16.627152550224228</v>
      </c>
      <c r="AW42" s="21">
        <f>EXP(-LN(2)/2)*AW41+(1-EXP(-LN(2)/2))/(LN(2)/2)*AQ42*AT42*VLOOKUP('Données projet'!$B$10,Paramètres!$A$1:$I$89,3,0)*0.475*44/12</f>
        <v>1.3392308153815478</v>
      </c>
      <c r="AX42" s="21">
        <f t="shared" si="6"/>
        <v>20.893637423574873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27.8</v>
      </c>
      <c r="BD42" s="12">
        <f>IF('Données projet'!$A$88&gt;35,BD41+BC42-BL41,IF(A42&lt;'Données projet'!$A$88,$BA$205^A42,IF(A42='Données projet'!$A$88,'Données projet'!$B$88,BD41+BC42-BL41)))</f>
        <v>522.20000000000016</v>
      </c>
      <c r="BE42" s="13">
        <f>BD42*VLOOKUP('Données projet'!$B$11,Paramètres!$A$1:$I$89,3,0)*VLOOKUP('Données projet'!$B$11,Paramètres!$A$1:$I$89,5,0)</f>
        <v>251.17820000000009</v>
      </c>
      <c r="BF42" s="13">
        <f t="shared" si="37"/>
        <v>60.83816557033434</v>
      </c>
      <c r="BG42" s="20">
        <f t="shared" si="7"/>
        <v>543.42850336833237</v>
      </c>
      <c r="BH42" s="59">
        <f t="shared" si="8"/>
        <v>836.76183670166574</v>
      </c>
      <c r="BI42" s="59">
        <f ca="1">AVERAGE(OFFSET($BH$3,0,0,'Données projet'!$E$11+1,1))-AVERAGE(OFFSET($H$3,0,0,'Données projet'!$E$11+1,1))</f>
        <v>371.85813103419366</v>
      </c>
      <c r="BJ42" s="59">
        <f t="shared" si="38"/>
        <v>370.01698880104584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8.2221697832534346</v>
      </c>
      <c r="BQ42" s="21">
        <f>EXP(-LN(2)/25)*BQ41+(1-EXP(-LN(2)/25))/(LN(2)/25)*Calculateur!BL42*Calculateur!BN42*VLOOKUP('Données projet'!$B$11,Paramètres!$A$1:$I$89,3,0)*0.475*44/12</f>
        <v>17.523021716434865</v>
      </c>
      <c r="BR42" s="21">
        <f>EXP(-LN(2)/2)*BR41+(1-EXP(-LN(2)/2))/(LN(2)/2)*BL42*BO42*VLOOKUP('Données projet'!$B$11,Paramètres!$A$1:$I$89,3,0)*0.475*44/12</f>
        <v>1.3560989618422017</v>
      </c>
      <c r="BS42" s="22">
        <f t="shared" si="9"/>
        <v>27.101290461530503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15.7</v>
      </c>
      <c r="BY42" s="12">
        <f>IF('Données projet'!$A$114&gt;35,BY41+BX42-CG41,IF(A42&lt;'Données projet'!$A$114,$BV$205^A42,IF(A42='Données projet'!$A$114,'Données projet'!$B$114,BY41+BX42-CG41)))</f>
        <v>340.2999999999999</v>
      </c>
      <c r="BZ42" s="13">
        <f>BY42*VLOOKUP('Données projet'!$B$12,Paramètres!$A$1:$I$89,3,0)*VLOOKUP('Données projet'!$B$12,Paramètres!$A$1:$I$89,5,0)</f>
        <v>185.80379999999997</v>
      </c>
      <c r="CA42" s="13">
        <f t="shared" si="39"/>
        <v>46.611030236615356</v>
      </c>
      <c r="CB42" s="20">
        <f t="shared" si="10"/>
        <v>404.78916266210507</v>
      </c>
      <c r="CC42" s="59">
        <f t="shared" si="11"/>
        <v>698.12249599543838</v>
      </c>
      <c r="CD42" s="59">
        <f ca="1">AVERAGE(OFFSET($CC$3,0,0,'Données projet'!$E$12+1,1))-AVERAGE(OFFSET($H$3,0,0,'Données projet'!$E$12+1,1))</f>
        <v>248.1486444660062</v>
      </c>
      <c r="CE42" s="59">
        <f t="shared" si="40"/>
        <v>293.34458072322127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7.1272272715769329</v>
      </c>
      <c r="CL42" s="21">
        <f>EXP(-LN(2)/25)*CL41+(1-EXP(-LN(2)/25))/(LN(2)/25)*Calculateur!CG42*Calculateur!CI42*VLOOKUP('Données projet'!$B$12,Paramètres!$A$1:$I$89,3,0)*0.475*44/12</f>
        <v>26.521001170588331</v>
      </c>
      <c r="CM42" s="21">
        <f>EXP(-LN(2)/2)*CM41+(1-EXP(-LN(2)/2))/(LN(2)/2)*CG42*CJ42*VLOOKUP('Données projet'!$B$12,Paramètres!$A$1:$I$89,3,0)*0.475*44/12</f>
        <v>1.1129165170344457</v>
      </c>
      <c r="CN42" s="22">
        <f t="shared" si="12"/>
        <v>34.761144959199711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14.2</v>
      </c>
      <c r="CT42" s="12">
        <f>IF('Données projet'!$A$140&gt;35,CT41+CS42-DB41,IF(A42&lt;'Données projet'!$A$140,$CQ$205^A42,IF(A42='Données projet'!$A$140,'Données projet'!$B$140,CT41+CS42-DB41)))</f>
        <v>290.79999999999984</v>
      </c>
      <c r="CU42" s="17">
        <f>CT42*VLOOKUP('Données projet'!$B$13,Paramètres!$A$1:$I$89,3,0)*VLOOKUP('Données projet'!$B$13,Paramètres!$A$1:$I$89,5,0)</f>
        <v>231.36047999999985</v>
      </c>
      <c r="CV42" s="13">
        <f t="shared" si="41"/>
        <v>56.576748067085241</v>
      </c>
      <c r="CW42" s="20">
        <f t="shared" si="13"/>
        <v>501.49067221683981</v>
      </c>
      <c r="CX42" s="59">
        <f t="shared" si="14"/>
        <v>794.82400555017307</v>
      </c>
      <c r="CY42" s="59">
        <f ca="1">AVERAGE(OFFSET($CX$3,0,0,'Données projet'!$E$13+1,1))-AVERAGE(OFFSET($H$3,0,0,'Données projet'!$E$13+1,1))</f>
        <v>314.94704727988847</v>
      </c>
      <c r="CZ42" s="59">
        <f t="shared" si="42"/>
        <v>366.49199094166454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3.2763427406585808</v>
      </c>
      <c r="DG42" s="21">
        <f>EXP(-LN(2)/25)*DG41+(1-EXP(-LN(2)/25))/(LN(2)/25)*Calculateur!DB42*Calculateur!DD42*VLOOKUP('Données projet'!$B$13,Paramètres!$A$1:$I$89,3,0)*0.475*44/12</f>
        <v>19.796151011531279</v>
      </c>
      <c r="DH42" s="21">
        <f>EXP(-LN(2)/2)*DH41+(1-EXP(-LN(2)/2))/(LN(2)/2)*DB42*DE42*VLOOKUP('Données projet'!$B$13,Paramètres!$A$1:$I$89,3,0)*0.475*44/12</f>
        <v>1.2758520596206679</v>
      </c>
      <c r="DI42" s="22">
        <f t="shared" si="15"/>
        <v>24.348345811810528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527</v>
      </c>
      <c r="L43" s="12">
        <f>VLOOKUP(A43,'Données projet'!$A$35:$I$55,9,0)</f>
        <v>26.8</v>
      </c>
      <c r="M43" s="12">
        <f t="array" ref="M43">INDEX(L:L,MIN(IF(ISNUMBER(L43:L239),ROW(L43:L239),"")))</f>
        <v>26.8</v>
      </c>
      <c r="N43" s="13">
        <f>IF('Données projet'!$A$36&gt;35,N42+M43-V42,IF(A43&lt;'Données projet'!$A$36,$K$205^A43,IF(A43='Données projet'!$A$36,'Données projet'!$B$36,N42+M43-V42)))</f>
        <v>527.00000000000011</v>
      </c>
      <c r="O43" s="13">
        <f>N43*VLOOKUP('Données projet'!$B$9,Paramètres!$A$1:$I$89,3,0)*VLOOKUP('Données projet'!$B$9,Paramètres!$A$1:$I$89,5,0)</f>
        <v>294.59300000000007</v>
      </c>
      <c r="P43" s="13">
        <f t="shared" si="33"/>
        <v>70.041751529321004</v>
      </c>
      <c r="Q43" s="20">
        <f t="shared" si="53"/>
        <v>635.07219224690084</v>
      </c>
      <c r="R43" s="59">
        <f t="shared" si="0"/>
        <v>928.4055255802341</v>
      </c>
      <c r="S43" s="59">
        <f ca="1">AVERAGE(OFFSET($R$3,0,0,'Données projet'!$E$9+1,1))-AVERAGE(OFFSET($H$3,0,0,'Données projet'!$E$9+1,1))</f>
        <v>415.91544298418842</v>
      </c>
      <c r="T43" s="59">
        <f t="shared" si="34"/>
        <v>422.79312683312583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140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9.3681171918860855</v>
      </c>
      <c r="AA43" s="21">
        <f>EXP(-LN(2)/25)*AA42+(1-EXP(-LN(2)/25))/(LN(2)/25)*Calculateur!V43*Calculateur!X43*VLOOKUP('Données projet'!$B$9,Paramètres!$A$1:$I$89,3,0)*0.475*44/12</f>
        <v>29.374140002221498</v>
      </c>
      <c r="AB43" s="21">
        <f>EXP(-LN(2)/2)*AB42+(1-EXP(-LN(2)/2))/(LN(2)/2)*V43*Y43*VLOOKUP('Données projet'!$B$9,Paramètres!$A$1:$I$89,3,0)*0.475*44/12</f>
        <v>1.1397466048448155</v>
      </c>
      <c r="AC43" s="22">
        <f t="shared" si="3"/>
        <v>39.882003798952397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383</v>
      </c>
      <c r="AG43" s="12">
        <f>VLOOKUP(A43,'Données projet'!$A$61:$I$81,9,0)</f>
        <v>18.8</v>
      </c>
      <c r="AH43" s="12">
        <f t="array" ref="AH43">INDEX(AG:AG,MIN(IF(ISNUMBER(AG43:AG239),ROW(AG43:AG239),"")))</f>
        <v>18.8</v>
      </c>
      <c r="AI43" s="13">
        <f>IF('Données projet'!$A$62&gt;35,AI42+AH43-AQ42,IF(A43&lt;'Données projet'!$A$62,$AF$205^A43,IF(A43='Données projet'!$A$62,'Données projet'!$B$62,AI42+AH43-AQ42)))</f>
        <v>383.00000000000023</v>
      </c>
      <c r="AJ43" s="13">
        <f>AI43*VLOOKUP('Données projet'!$B$10,Paramètres!$A$1:$I$89,3,0)*VLOOKUP('Données projet'!$B$10,Paramètres!$A$1:$I$89,5,0)</f>
        <v>229.03400000000016</v>
      </c>
      <c r="AK43" s="13">
        <f t="shared" si="35"/>
        <v>56.073758609460775</v>
      </c>
      <c r="AL43" s="20">
        <f t="shared" si="4"/>
        <v>496.56267957814447</v>
      </c>
      <c r="AM43" s="59">
        <f t="shared" si="5"/>
        <v>789.89601291147778</v>
      </c>
      <c r="AN43" s="59">
        <f ca="1">AVERAGE(OFFSET($AM$3,0,0,'Données projet'!$E$10+1,1))-AVERAGE(OFFSET($H$3,0,0,'Données projet'!$E$10+1,1))</f>
        <v>311.06126148520821</v>
      </c>
      <c r="AO43" s="59">
        <f t="shared" si="36"/>
        <v>321.1728368524748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98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2.8698523913410003</v>
      </c>
      <c r="AV43" s="21">
        <f>EXP(-LN(2)/25)*AV42+(1-EXP(-LN(2)/25))/(LN(2)/25)*Calculateur!AQ43*Calculateur!AS43*VLOOKUP('Données projet'!$B$10,Paramètres!$A$1:$I$89,3,0)*0.475*44/12</f>
        <v>16.172482189354394</v>
      </c>
      <c r="AW43" s="21">
        <f>EXP(-LN(2)/2)*AW42+(1-EXP(-LN(2)/2))/(LN(2)/2)*AQ43*AT43*VLOOKUP('Données projet'!$B$10,Paramètres!$A$1:$I$89,3,0)*0.475*44/12</f>
        <v>0.94697919113028173</v>
      </c>
      <c r="AX43" s="21">
        <f t="shared" si="6"/>
        <v>19.989313771825678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550</v>
      </c>
      <c r="BB43" s="12">
        <f>VLOOKUP(A43,'Données projet'!$A$87:$I$107,9,0)</f>
        <v>27.8</v>
      </c>
      <c r="BC43" s="12">
        <f t="array" ref="BC43">INDEX(BB:BB,MIN(IF(ISNUMBER(BB43:BB239),ROW(BB43:BB239),"")))</f>
        <v>27.8</v>
      </c>
      <c r="BD43" s="12">
        <f>IF('Données projet'!$A$88&gt;35,BD42+BC43-BL42,IF(A43&lt;'Données projet'!$A$88,$BA$205^A43,IF(A43='Données projet'!$A$88,'Données projet'!$B$88,BD42+BC43-BL42)))</f>
        <v>550.00000000000011</v>
      </c>
      <c r="BE43" s="13">
        <f>BD43*VLOOKUP('Données projet'!$B$11,Paramètres!$A$1:$I$89,3,0)*VLOOKUP('Données projet'!$B$11,Paramètres!$A$1:$I$89,5,0)</f>
        <v>264.55000000000007</v>
      </c>
      <c r="BF43" s="13">
        <f t="shared" si="37"/>
        <v>63.691272641742856</v>
      </c>
      <c r="BG43" s="20">
        <f t="shared" si="7"/>
        <v>571.68688318436887</v>
      </c>
      <c r="BH43" s="59">
        <f t="shared" si="8"/>
        <v>865.02021651770224</v>
      </c>
      <c r="BI43" s="59">
        <f ca="1">AVERAGE(OFFSET($BH$3,0,0,'Données projet'!$E$11+1,1))-AVERAGE(OFFSET($H$3,0,0,'Données projet'!$E$11+1,1))</f>
        <v>371.85813103419366</v>
      </c>
      <c r="BJ43" s="59">
        <f t="shared" si="38"/>
        <v>370.01698880104584</v>
      </c>
      <c r="BK43" s="15">
        <f>IF(ISNA(VLOOKUP(A43,'Données projet'!$A$87:$I$107,3,0)),0,VLOOKUP(A43,'Données projet'!$A$87:$I$107,3,0))</f>
        <v>4</v>
      </c>
      <c r="BL43" s="15">
        <f>IF(ISNA(VLOOKUP(A43,'Données projet'!$A$87:$I$107,4,0)),0,VLOOKUP(A43,'Données projet'!$A$87:$I$107,4,0))</f>
        <v>140</v>
      </c>
      <c r="BM43" s="16">
        <f>IF(ISNA(VLOOKUP(A43,'Données projet'!$A$87:$I$107,5,0)),0%,VLOOKUP(A43,'Données projet'!$A$87:$I$107,5,0)*VLOOKUP('Données projet'!$B$11,Paramètres!$A$1:$I$89,7,0))</f>
        <v>0.16500000000000001</v>
      </c>
      <c r="BN43" s="16">
        <f>IF(ISNA(VLOOKUP(A43,'Données projet'!$A$87:$I$107,6,0)),0%,VLOOKUP(A43,'Données projet'!$A$87:$I$107,6,0)*VLOOKUP('Données projet'!$B$11,Paramètres!$A$1:$I$89,7,0))</f>
        <v>0.1925</v>
      </c>
      <c r="BO43" s="16">
        <f>IF(ISNA(VLOOKUP(A43,'Données projet'!$A$87:$I$107,7,0)),0%,VLOOKUP(A43,'Données projet'!$A$87:$I$107,7,0))</f>
        <v>0.35</v>
      </c>
      <c r="BP43" s="21">
        <f>EXP(-LN(2)/35)*BP42+(1-EXP(-LN(2)/35))/(LN(2)/35)*BL43*BM43*VLOOKUP('Données projet'!$B$11,Paramètres!$A$1:$I$89,3,0)*0.475*44/12</f>
        <v>22.800528369666484</v>
      </c>
      <c r="BQ43" s="21">
        <f>EXP(-LN(2)/25)*BQ42+(1-EXP(-LN(2)/25))/(LN(2)/25)*Calculateur!BL43*Calculateur!BN43*VLOOKUP('Données projet'!$B$11,Paramètres!$A$1:$I$89,3,0)*0.475*44/12</f>
        <v>34.172334526539714</v>
      </c>
      <c r="BR43" s="21">
        <f>EXP(-LN(2)/2)*BR42+(1-EXP(-LN(2)/2))/(LN(2)/2)*BL43*BO43*VLOOKUP('Données projet'!$B$11,Paramètres!$A$1:$I$89,3,0)*0.475*44/12</f>
        <v>27.644489792279931</v>
      </c>
      <c r="BS43" s="22">
        <f t="shared" si="9"/>
        <v>84.617352688486122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356</v>
      </c>
      <c r="BW43" s="12">
        <f>VLOOKUP(A43,'Données projet'!$A$113:$I$133,9,0)</f>
        <v>15.7</v>
      </c>
      <c r="BX43" s="12">
        <f t="array" ref="BX43">INDEX(BW:BW,MIN(IF(ISNUMBER(BW43:BW239),ROW(BW43:BW239),"")))</f>
        <v>15.7</v>
      </c>
      <c r="BY43" s="12">
        <f>IF('Données projet'!$A$114&gt;35,BY42+BX43-CG42,IF(A43&lt;'Données projet'!$A$114,$BV$205^A43,IF(A43='Données projet'!$A$114,'Données projet'!$B$114,BY42+BX43-CG42)))</f>
        <v>355.99999999999989</v>
      </c>
      <c r="BZ43" s="13">
        <f>BY43*VLOOKUP('Données projet'!$B$12,Paramètres!$A$1:$I$89,3,0)*VLOOKUP('Données projet'!$B$12,Paramètres!$A$1:$I$89,5,0)</f>
        <v>194.37599999999995</v>
      </c>
      <c r="CA43" s="13">
        <f t="shared" si="39"/>
        <v>48.506138465833089</v>
      </c>
      <c r="CB43" s="20">
        <f t="shared" si="10"/>
        <v>423.01972449465916</v>
      </c>
      <c r="CC43" s="59">
        <f t="shared" si="11"/>
        <v>716.35305782799242</v>
      </c>
      <c r="CD43" s="59">
        <f ca="1">AVERAGE(OFFSET($CC$3,0,0,'Données projet'!$E$12+1,1))-AVERAGE(OFFSET($H$3,0,0,'Données projet'!$E$12+1,1))</f>
        <v>248.1486444660062</v>
      </c>
      <c r="CE43" s="59">
        <f t="shared" si="40"/>
        <v>293.34458072322127</v>
      </c>
      <c r="CF43" s="15">
        <f>IF(ISNA(VLOOKUP(A43,'Données projet'!$A$113:$I$133,3,0)),0,VLOOKUP(A43,'Données projet'!$A$113:$I$133,3,0))</f>
        <v>4</v>
      </c>
      <c r="CG43" s="15">
        <f>IF(ISNA(VLOOKUP(A43,'Données projet'!$A$113:$I$133,4,0)),0,VLOOKUP(A43,'Données projet'!$A$113:$I$133,4,0))</f>
        <v>92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6.9874666919606963</v>
      </c>
      <c r="CL43" s="21">
        <f>EXP(-LN(2)/25)*CL42+(1-EXP(-LN(2)/25))/(LN(2)/25)*Calculateur!CG43*Calculateur!CI43*VLOOKUP('Données projet'!$B$12,Paramètres!$A$1:$I$89,3,0)*0.475*44/12</f>
        <v>25.795782998899757</v>
      </c>
      <c r="CM43" s="21">
        <f>EXP(-LN(2)/2)*CM42+(1-EXP(-LN(2)/2))/(LN(2)/2)*CG43*CJ43*VLOOKUP('Données projet'!$B$12,Paramètres!$A$1:$I$89,3,0)*0.475*44/12</f>
        <v>0.7869508160895704</v>
      </c>
      <c r="CN43" s="22">
        <f t="shared" si="12"/>
        <v>33.570200506950023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305</v>
      </c>
      <c r="CR43" s="12">
        <f>VLOOKUP(A43,'Données projet'!$A$139:$I$159,9,0)</f>
        <v>14.2</v>
      </c>
      <c r="CS43" s="12">
        <f t="array" ref="CS43">INDEX(CR:CR,MIN(IF(ISNUMBER(CR43:CR239),ROW(CR43:CR239),"")))</f>
        <v>14.2</v>
      </c>
      <c r="CT43" s="12">
        <f>IF('Données projet'!$A$140&gt;35,CT42+CS43-DB42,IF(A43&lt;'Données projet'!$A$140,$CQ$205^A43,IF(A43='Données projet'!$A$140,'Données projet'!$B$140,CT42+CS43-DB42)))</f>
        <v>304.99999999999983</v>
      </c>
      <c r="CU43" s="17">
        <f>CT43*VLOOKUP('Données projet'!$B$13,Paramètres!$A$1:$I$89,3,0)*VLOOKUP('Données projet'!$B$13,Paramètres!$A$1:$I$89,5,0)</f>
        <v>242.6579999999999</v>
      </c>
      <c r="CV43" s="13">
        <f t="shared" si="41"/>
        <v>59.011045025839607</v>
      </c>
      <c r="CW43" s="20">
        <f t="shared" si="13"/>
        <v>525.40692008667054</v>
      </c>
      <c r="CX43" s="59">
        <f t="shared" si="14"/>
        <v>818.74025342000391</v>
      </c>
      <c r="CY43" s="59">
        <f ca="1">AVERAGE(OFFSET($CX$3,0,0,'Données projet'!$E$13+1,1))-AVERAGE(OFFSET($H$3,0,0,'Données projet'!$E$13+1,1))</f>
        <v>314.94704727988847</v>
      </c>
      <c r="CZ43" s="59">
        <f t="shared" si="42"/>
        <v>366.49199094166454</v>
      </c>
      <c r="DA43" s="15">
        <f>IF(ISNA(VLOOKUP(A43,'Données projet'!$A$139:$I$159,3,0)),0,VLOOKUP(A43,'Données projet'!$A$139:$I$159,3,0))</f>
        <v>4</v>
      </c>
      <c r="DB43" s="15">
        <f>IF(ISNA(VLOOKUP(A43,'Données projet'!$A$139:$I$159,4,0)),0,VLOOKUP(A43,'Données projet'!$A$139:$I$159,4,0))</f>
        <v>82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3.2120956578860151</v>
      </c>
      <c r="DG43" s="21">
        <f>EXP(-LN(2)/25)*DG42+(1-EXP(-LN(2)/25))/(LN(2)/25)*Calculateur!DB43*Calculateur!DD43*VLOOKUP('Données projet'!$B$13,Paramètres!$A$1:$I$89,3,0)*0.475*44/12</f>
        <v>19.254824221086619</v>
      </c>
      <c r="DH43" s="21">
        <f>EXP(-LN(2)/2)*DH42+(1-EXP(-LN(2)/2))/(LN(2)/2)*DB43*DE43*VLOOKUP('Données projet'!$B$13,Paramètres!$A$1:$I$89,3,0)*0.475*44/12</f>
        <v>0.90216364314859765</v>
      </c>
      <c r="DI43" s="22">
        <f t="shared" si="15"/>
        <v>23.36908352212123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22.8</v>
      </c>
      <c r="N44" s="13">
        <f>IF('Données projet'!$A$36&gt;35,N43+M44-V43,IF(A44&lt;'Données projet'!$A$36,$K$205^A44,IF(A44='Données projet'!$A$36,'Données projet'!$B$36,N43+M44-V43)))</f>
        <v>409.80000000000007</v>
      </c>
      <c r="O44" s="13">
        <f>N44*VLOOKUP('Données projet'!$B$9,Paramètres!$A$1:$I$89,3,0)*VLOOKUP('Données projet'!$B$9,Paramètres!$A$1:$I$89,5,0)</f>
        <v>229.07820000000004</v>
      </c>
      <c r="P44" s="13">
        <f t="shared" si="33"/>
        <v>56.083320258718402</v>
      </c>
      <c r="Q44" s="20">
        <f t="shared" si="53"/>
        <v>496.65631445060126</v>
      </c>
      <c r="R44" s="59">
        <f t="shared" si="0"/>
        <v>789.98964778393452</v>
      </c>
      <c r="S44" s="59">
        <f ca="1">AVERAGE(OFFSET($R$3,0,0,'Données projet'!$E$9+1,1))-AVERAGE(OFFSET($H$3,0,0,'Données projet'!$E$9+1,1))</f>
        <v>415.91544298418842</v>
      </c>
      <c r="T44" s="59">
        <f t="shared" si="34"/>
        <v>422.79312683312583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9.1844141277404763</v>
      </c>
      <c r="AA44" s="21">
        <f>EXP(-LN(2)/25)*AA43+(1-EXP(-LN(2)/25))/(LN(2)/25)*Calculateur!V44*Calculateur!X44*VLOOKUP('Données projet'!$B$9,Paramètres!$A$1:$I$89,3,0)*0.475*44/12</f>
        <v>28.570902599141863</v>
      </c>
      <c r="AB44" s="21">
        <f>EXP(-LN(2)/2)*AB43+(1-EXP(-LN(2)/2))/(LN(2)/2)*V44*Y44*VLOOKUP('Données projet'!$B$9,Paramètres!$A$1:$I$89,3,0)*0.475*44/12</f>
        <v>0.80592255312011341</v>
      </c>
      <c r="AC44" s="22">
        <f t="shared" si="3"/>
        <v>38.561239280002454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17.100000000000001</v>
      </c>
      <c r="AI44" s="13">
        <f>IF('Données projet'!$A$62&gt;35,AI43+AH44-AQ43,IF(A44&lt;'Données projet'!$A$62,$AF$205^A44,IF(A44='Données projet'!$A$62,'Données projet'!$B$62,AI43+AH44-AQ43)))</f>
        <v>302.10000000000025</v>
      </c>
      <c r="AJ44" s="13">
        <f>AI44*VLOOKUP('Données projet'!$B$10,Paramètres!$A$1:$I$89,3,0)*VLOOKUP('Données projet'!$B$10,Paramètres!$A$1:$I$89,5,0)</f>
        <v>180.65580000000017</v>
      </c>
      <c r="AK44" s="13">
        <f t="shared" si="35"/>
        <v>45.468058688378271</v>
      </c>
      <c r="AL44" s="20">
        <f t="shared" si="4"/>
        <v>393.83238721559246</v>
      </c>
      <c r="AM44" s="59">
        <f t="shared" si="5"/>
        <v>687.16572054892572</v>
      </c>
      <c r="AN44" s="59">
        <f ca="1">AVERAGE(OFFSET($AM$3,0,0,'Données projet'!$E$10+1,1))-AVERAGE(OFFSET($H$3,0,0,'Données projet'!$E$10+1,1))</f>
        <v>311.06126148520821</v>
      </c>
      <c r="AO44" s="59">
        <f t="shared" si="36"/>
        <v>321.1728368524748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2.8135763363839206</v>
      </c>
      <c r="AV44" s="21">
        <f>EXP(-LN(2)/25)*AV43+(1-EXP(-LN(2)/25))/(LN(2)/25)*Calculateur!AQ44*Calculateur!AS44*VLOOKUP('Données projet'!$B$10,Paramètres!$A$1:$I$89,3,0)*0.475*44/12</f>
        <v>15.730244813412622</v>
      </c>
      <c r="AW44" s="21">
        <f>EXP(-LN(2)/2)*AW43+(1-EXP(-LN(2)/2))/(LN(2)/2)*AQ44*AT44*VLOOKUP('Données projet'!$B$10,Paramètres!$A$1:$I$89,3,0)*0.475*44/12</f>
        <v>0.66961540769077388</v>
      </c>
      <c r="AX44" s="21">
        <f t="shared" si="6"/>
        <v>19.213436557487316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25.3</v>
      </c>
      <c r="BD44" s="12">
        <f>IF('Données projet'!$A$88&gt;35,BD43+BC44-BL43,IF(A44&lt;'Données projet'!$A$88,$BA$205^A44,IF(A44='Données projet'!$A$88,'Données projet'!$B$88,BD43+BC44-BL43)))</f>
        <v>435.30000000000007</v>
      </c>
      <c r="BE44" s="13">
        <f>BD44*VLOOKUP('Données projet'!$B$11,Paramètres!$A$1:$I$89,3,0)*VLOOKUP('Données projet'!$B$11,Paramètres!$A$1:$I$89,5,0)</f>
        <v>209.37930000000006</v>
      </c>
      <c r="BF44" s="13">
        <f t="shared" si="37"/>
        <v>51.79992377311698</v>
      </c>
      <c r="BG44" s="20">
        <f t="shared" si="7"/>
        <v>454.88714807151217</v>
      </c>
      <c r="BH44" s="59">
        <f t="shared" si="8"/>
        <v>748.22048140484549</v>
      </c>
      <c r="BI44" s="59">
        <f ca="1">AVERAGE(OFFSET($BH$3,0,0,'Données projet'!$E$11+1,1))-AVERAGE(OFFSET($H$3,0,0,'Données projet'!$E$11+1,1))</f>
        <v>371.85813103419366</v>
      </c>
      <c r="BJ44" s="59">
        <f t="shared" si="38"/>
        <v>370.01698880104584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22.353423915286431</v>
      </c>
      <c r="BQ44" s="21">
        <f>EXP(-LN(2)/25)*BQ43+(1-EXP(-LN(2)/25))/(LN(2)/25)*Calculateur!BL44*Calculateur!BN44*VLOOKUP('Données projet'!$B$11,Paramètres!$A$1:$I$89,3,0)*0.475*44/12</f>
        <v>33.237890241866516</v>
      </c>
      <c r="BR44" s="21">
        <f>EXP(-LN(2)/2)*BR43+(1-EXP(-LN(2)/2))/(LN(2)/2)*BL44*BO44*VLOOKUP('Données projet'!$B$11,Paramètres!$A$1:$I$89,3,0)*0.475*44/12</f>
        <v>19.547606194563432</v>
      </c>
      <c r="BS44" s="22">
        <f t="shared" si="9"/>
        <v>75.138920351716379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13.1</v>
      </c>
      <c r="BY44" s="12">
        <f>IF('Données projet'!$A$114&gt;35,BY43+BX44-CG43,IF(A44&lt;'Données projet'!$A$114,$BV$205^A44,IF(A44='Données projet'!$A$114,'Données projet'!$B$114,BY43+BX44-CG43)))</f>
        <v>277.09999999999991</v>
      </c>
      <c r="BZ44" s="13">
        <f>BY44*VLOOKUP('Données projet'!$B$12,Paramètres!$A$1:$I$89,3,0)*VLOOKUP('Données projet'!$B$12,Paramètres!$A$1:$I$89,5,0)</f>
        <v>151.29659999999996</v>
      </c>
      <c r="CA44" s="13">
        <f t="shared" si="39"/>
        <v>38.87309486191122</v>
      </c>
      <c r="CB44" s="20">
        <f t="shared" si="10"/>
        <v>331.21221855116193</v>
      </c>
      <c r="CC44" s="59">
        <f t="shared" si="11"/>
        <v>624.54555188449524</v>
      </c>
      <c r="CD44" s="59">
        <f ca="1">AVERAGE(OFFSET($CC$3,0,0,'Données projet'!$E$12+1,1))-AVERAGE(OFFSET($H$3,0,0,'Données projet'!$E$12+1,1))</f>
        <v>248.1486444660062</v>
      </c>
      <c r="CE44" s="59">
        <f t="shared" si="40"/>
        <v>293.34458072322127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6.8504467320651985</v>
      </c>
      <c r="CL44" s="21">
        <f>EXP(-LN(2)/25)*CL43+(1-EXP(-LN(2)/25))/(LN(2)/25)*Calculateur!CG44*Calculateur!CI44*VLOOKUP('Données projet'!$B$12,Paramètres!$A$1:$I$89,3,0)*0.475*44/12</f>
        <v>25.090395956253573</v>
      </c>
      <c r="CM44" s="21">
        <f>EXP(-LN(2)/2)*CM43+(1-EXP(-LN(2)/2))/(LN(2)/2)*CG44*CJ44*VLOOKUP('Données projet'!$B$12,Paramètres!$A$1:$I$89,3,0)*0.475*44/12</f>
        <v>0.55645825851722286</v>
      </c>
      <c r="CN44" s="22">
        <f t="shared" si="12"/>
        <v>32.497300946835992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10.6</v>
      </c>
      <c r="CT44" s="12">
        <f>IF('Données projet'!$A$140&gt;35,CT43+CS44-DB43,IF(A44&lt;'Données projet'!$A$140,$CQ$205^A44,IF(A44='Données projet'!$A$140,'Données projet'!$B$140,CT43+CS44-DB43)))</f>
        <v>233.59999999999985</v>
      </c>
      <c r="CU44" s="17">
        <f>CT44*VLOOKUP('Données projet'!$B$13,Paramètres!$A$1:$I$89,3,0)*VLOOKUP('Données projet'!$B$13,Paramètres!$A$1:$I$89,5,0)</f>
        <v>185.85215999999988</v>
      </c>
      <c r="CV44" s="13">
        <f t="shared" si="41"/>
        <v>46.621749613278887</v>
      </c>
      <c r="CW44" s="20">
        <f t="shared" si="13"/>
        <v>404.89205924312722</v>
      </c>
      <c r="CX44" s="59">
        <f t="shared" si="14"/>
        <v>698.22539257646054</v>
      </c>
      <c r="CY44" s="59">
        <f ca="1">AVERAGE(OFFSET($CX$3,0,0,'Données projet'!$E$13+1,1))-AVERAGE(OFFSET($H$3,0,0,'Données projet'!$E$13+1,1))</f>
        <v>314.94704727988847</v>
      </c>
      <c r="CZ44" s="59">
        <f t="shared" si="42"/>
        <v>366.49199094166454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3.1491084212197684</v>
      </c>
      <c r="DG44" s="21">
        <f>EXP(-LN(2)/25)*DG43+(1-EXP(-LN(2)/25))/(LN(2)/25)*Calculateur!DB44*Calculateur!DD44*VLOOKUP('Données projet'!$B$13,Paramètres!$A$1:$I$89,3,0)*0.475*44/12</f>
        <v>18.728300040193808</v>
      </c>
      <c r="DH44" s="21">
        <f>EXP(-LN(2)/2)*DH43+(1-EXP(-LN(2)/2))/(LN(2)/2)*DB44*DE44*VLOOKUP('Données projet'!$B$13,Paramètres!$A$1:$I$89,3,0)*0.475*44/12</f>
        <v>0.63792602981033397</v>
      </c>
      <c r="DI44" s="22">
        <f t="shared" si="15"/>
        <v>22.515334491223911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22.8</v>
      </c>
      <c r="N45" s="13">
        <f>IF('Données projet'!$A$36&gt;35,N44+M45-V44,IF(A45&lt;'Données projet'!$A$36,$K$205^A45,IF(A45='Données projet'!$A$36,'Données projet'!$B$36,N44+M45-V44)))</f>
        <v>432.60000000000008</v>
      </c>
      <c r="O45" s="13">
        <f>N45*VLOOKUP('Données projet'!$B$9,Paramètres!$A$1:$I$89,3,0)*VLOOKUP('Données projet'!$B$9,Paramètres!$A$1:$I$89,5,0)</f>
        <v>241.82340000000005</v>
      </c>
      <c r="P45" s="13">
        <f t="shared" si="33"/>
        <v>58.831670892221915</v>
      </c>
      <c r="Q45" s="20">
        <f t="shared" si="53"/>
        <v>523.64091513728647</v>
      </c>
      <c r="R45" s="59">
        <f t="shared" si="0"/>
        <v>816.97424847061984</v>
      </c>
      <c r="S45" s="59">
        <f ca="1">AVERAGE(OFFSET($R$3,0,0,'Données projet'!$E$9+1,1))-AVERAGE(OFFSET($H$3,0,0,'Données projet'!$E$9+1,1))</f>
        <v>415.91544298418842</v>
      </c>
      <c r="T45" s="59">
        <f t="shared" si="34"/>
        <v>422.79312683312583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9.004313368634957</v>
      </c>
      <c r="AA45" s="21">
        <f>EXP(-LN(2)/25)*AA44+(1-EXP(-LN(2)/25))/(LN(2)/25)*Calculateur!V45*Calculateur!X45*VLOOKUP('Données projet'!$B$9,Paramètres!$A$1:$I$89,3,0)*0.475*44/12</f>
        <v>27.78962976508986</v>
      </c>
      <c r="AB45" s="21">
        <f>EXP(-LN(2)/2)*AB44+(1-EXP(-LN(2)/2))/(LN(2)/2)*V45*Y45*VLOOKUP('Données projet'!$B$9,Paramètres!$A$1:$I$89,3,0)*0.475*44/12</f>
        <v>0.56987330242240775</v>
      </c>
      <c r="AC45" s="22">
        <f t="shared" si="3"/>
        <v>37.363816436147225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17.100000000000001</v>
      </c>
      <c r="AI45" s="13">
        <f>IF('Données projet'!$A$62&gt;35,AI44+AH45-AQ44,IF(A45&lt;'Données projet'!$A$62,$AF$205^A45,IF(A45='Données projet'!$A$62,'Données projet'!$B$62,AI44+AH45-AQ44)))</f>
        <v>319.20000000000027</v>
      </c>
      <c r="AJ45" s="13">
        <f>AI45*VLOOKUP('Données projet'!$B$10,Paramètres!$A$1:$I$89,3,0)*VLOOKUP('Données projet'!$B$10,Paramètres!$A$1:$I$89,5,0)</f>
        <v>190.88160000000019</v>
      </c>
      <c r="AK45" s="13">
        <f t="shared" si="35"/>
        <v>47.73480954989347</v>
      </c>
      <c r="AL45" s="20">
        <f t="shared" si="4"/>
        <v>415.59024663273141</v>
      </c>
      <c r="AM45" s="59">
        <f t="shared" si="5"/>
        <v>708.92357996606472</v>
      </c>
      <c r="AN45" s="59">
        <f ca="1">AVERAGE(OFFSET($AM$3,0,0,'Données projet'!$E$10+1,1))-AVERAGE(OFFSET($H$3,0,0,'Données projet'!$E$10+1,1))</f>
        <v>311.06126148520821</v>
      </c>
      <c r="AO45" s="59">
        <f t="shared" si="36"/>
        <v>321.1728368524748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2.7584038205395451</v>
      </c>
      <c r="AV45" s="21">
        <f>EXP(-LN(2)/25)*AV44+(1-EXP(-LN(2)/25))/(LN(2)/25)*Calculateur!AQ45*Calculateur!AS45*VLOOKUP('Données projet'!$B$10,Paramètres!$A$1:$I$89,3,0)*0.475*44/12</f>
        <v>15.30010044177223</v>
      </c>
      <c r="AW45" s="21">
        <f>EXP(-LN(2)/2)*AW44+(1-EXP(-LN(2)/2))/(LN(2)/2)*AQ45*AT45*VLOOKUP('Données projet'!$B$10,Paramètres!$A$1:$I$89,3,0)*0.475*44/12</f>
        <v>0.47348959556514086</v>
      </c>
      <c r="AX45" s="21">
        <f t="shared" si="6"/>
        <v>18.531993857876916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25.3</v>
      </c>
      <c r="BD45" s="12">
        <f>IF('Données projet'!$A$88&gt;35,BD44+BC45-BL44,IF(A45&lt;'Données projet'!$A$88,$BA$205^A45,IF(A45='Données projet'!$A$88,'Données projet'!$B$88,BD44+BC45-BL44)))</f>
        <v>460.60000000000008</v>
      </c>
      <c r="BE45" s="13">
        <f>BD45*VLOOKUP('Données projet'!$B$11,Paramètres!$A$1:$I$89,3,0)*VLOOKUP('Données projet'!$B$11,Paramètres!$A$1:$I$89,5,0)</f>
        <v>221.54860000000005</v>
      </c>
      <c r="BF45" s="13">
        <f t="shared" si="37"/>
        <v>54.451328750450429</v>
      </c>
      <c r="BG45" s="20">
        <f t="shared" si="7"/>
        <v>480.6998759070346</v>
      </c>
      <c r="BH45" s="59">
        <f t="shared" si="8"/>
        <v>774.03320924036791</v>
      </c>
      <c r="BI45" s="59">
        <f ca="1">AVERAGE(OFFSET($BH$3,0,0,'Données projet'!$E$11+1,1))-AVERAGE(OFFSET($H$3,0,0,'Données projet'!$E$11+1,1))</f>
        <v>371.85813103419366</v>
      </c>
      <c r="BJ45" s="59">
        <f t="shared" si="38"/>
        <v>370.01698880104584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21.915086906549984</v>
      </c>
      <c r="BQ45" s="21">
        <f>EXP(-LN(2)/25)*BQ44+(1-EXP(-LN(2)/25))/(LN(2)/25)*Calculateur!BL45*Calculateur!BN45*VLOOKUP('Données projet'!$B$11,Paramètres!$A$1:$I$89,3,0)*0.475*44/12</f>
        <v>32.328998385297993</v>
      </c>
      <c r="BR45" s="21">
        <f>EXP(-LN(2)/2)*BR44+(1-EXP(-LN(2)/2))/(LN(2)/2)*BL45*BO45*VLOOKUP('Données projet'!$B$11,Paramètres!$A$1:$I$89,3,0)*0.475*44/12</f>
        <v>13.822244896139967</v>
      </c>
      <c r="BS45" s="22">
        <f t="shared" si="9"/>
        <v>68.066330187987944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13.1</v>
      </c>
      <c r="BY45" s="12">
        <f>IF('Données projet'!$A$114&gt;35,BY44+BX45-CG44,IF(A45&lt;'Données projet'!$A$114,$BV$205^A45,IF(A45='Données projet'!$A$114,'Données projet'!$B$114,BY44+BX45-CG44)))</f>
        <v>290.19999999999993</v>
      </c>
      <c r="BZ45" s="13">
        <f>BY45*VLOOKUP('Données projet'!$B$12,Paramètres!$A$1:$I$89,3,0)*VLOOKUP('Données projet'!$B$12,Paramètres!$A$1:$I$89,5,0)</f>
        <v>158.44919999999996</v>
      </c>
      <c r="CA45" s="13">
        <f t="shared" si="39"/>
        <v>40.492530106300926</v>
      </c>
      <c r="CB45" s="20">
        <f t="shared" si="10"/>
        <v>346.49017993514076</v>
      </c>
      <c r="CC45" s="59">
        <f t="shared" si="11"/>
        <v>639.82351326847402</v>
      </c>
      <c r="CD45" s="59">
        <f ca="1">AVERAGE(OFFSET($CC$3,0,0,'Données projet'!$E$12+1,1))-AVERAGE(OFFSET($H$3,0,0,'Données projet'!$E$12+1,1))</f>
        <v>248.1486444660062</v>
      </c>
      <c r="CE45" s="59">
        <f t="shared" si="40"/>
        <v>293.34458072322127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6.7161136500093281</v>
      </c>
      <c r="CL45" s="21">
        <f>EXP(-LN(2)/25)*CL44+(1-EXP(-LN(2)/25))/(LN(2)/25)*Calculateur!CG45*Calculateur!CI45*VLOOKUP('Données projet'!$B$12,Paramètres!$A$1:$I$89,3,0)*0.475*44/12</f>
        <v>24.40429775938324</v>
      </c>
      <c r="CM45" s="21">
        <f>EXP(-LN(2)/2)*CM44+(1-EXP(-LN(2)/2))/(LN(2)/2)*CG45*CJ45*VLOOKUP('Données projet'!$B$12,Paramètres!$A$1:$I$89,3,0)*0.475*44/12</f>
        <v>0.3934754080447852</v>
      </c>
      <c r="CN45" s="22">
        <f t="shared" si="12"/>
        <v>31.513886817437353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10.6</v>
      </c>
      <c r="CT45" s="12">
        <f>IF('Données projet'!$A$140&gt;35,CT44+CS45-DB44,IF(A45&lt;'Données projet'!$A$140,$CQ$205^A45,IF(A45='Données projet'!$A$140,'Données projet'!$B$140,CT44+CS45-DB44)))</f>
        <v>244.19999999999985</v>
      </c>
      <c r="CU45" s="17">
        <f>CT45*VLOOKUP('Données projet'!$B$13,Paramètres!$A$1:$I$89,3,0)*VLOOKUP('Données projet'!$B$13,Paramètres!$A$1:$I$89,5,0)</f>
        <v>194.28551999999991</v>
      </c>
      <c r="CV45" s="13">
        <f t="shared" si="41"/>
        <v>48.486187031267164</v>
      </c>
      <c r="CW45" s="20">
        <f t="shared" si="13"/>
        <v>422.8273897461234</v>
      </c>
      <c r="CX45" s="59">
        <f t="shared" si="14"/>
        <v>716.16072307945672</v>
      </c>
      <c r="CY45" s="59">
        <f ca="1">AVERAGE(OFFSET($CX$3,0,0,'Données projet'!$E$13+1,1))-AVERAGE(OFFSET($H$3,0,0,'Données projet'!$E$13+1,1))</f>
        <v>314.94704727988847</v>
      </c>
      <c r="CZ45" s="59">
        <f t="shared" si="42"/>
        <v>366.49199094166454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3.0873563258461258</v>
      </c>
      <c r="DG45" s="21">
        <f>EXP(-LN(2)/25)*DG44+(1-EXP(-LN(2)/25))/(LN(2)/25)*Calculateur!DB45*Calculateur!DD45*VLOOKUP('Données projet'!$B$13,Paramètres!$A$1:$I$89,3,0)*0.475*44/12</f>
        <v>18.216173690716214</v>
      </c>
      <c r="DH45" s="21">
        <f>EXP(-LN(2)/2)*DH44+(1-EXP(-LN(2)/2))/(LN(2)/2)*DB45*DE45*VLOOKUP('Données projet'!$B$13,Paramètres!$A$1:$I$89,3,0)*0.475*44/12</f>
        <v>0.45108182157429882</v>
      </c>
      <c r="DI45" s="22">
        <f t="shared" si="15"/>
        <v>21.75461183813664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22.8</v>
      </c>
      <c r="N46" s="13">
        <f>IF('Données projet'!$A$36&gt;35,N45+M46-V45,IF(A46&lt;'Données projet'!$A$36,$K$205^A46,IF(A46='Données projet'!$A$36,'Données projet'!$B$36,N45+M46-V45)))</f>
        <v>455.40000000000009</v>
      </c>
      <c r="O46" s="13">
        <f>N46*VLOOKUP('Données projet'!$B$9,Paramètres!$A$1:$I$89,3,0)*VLOOKUP('Données projet'!$B$9,Paramètres!$A$1:$I$89,5,0)</f>
        <v>254.56860000000006</v>
      </c>
      <c r="P46" s="13">
        <f t="shared" si="33"/>
        <v>61.563204302796244</v>
      </c>
      <c r="Q46" s="20">
        <f t="shared" si="53"/>
        <v>550.59622582737018</v>
      </c>
      <c r="R46" s="59">
        <f t="shared" si="0"/>
        <v>843.92955916070355</v>
      </c>
      <c r="S46" s="59">
        <f ca="1">AVERAGE(OFFSET($R$3,0,0,'Données projet'!$E$9+1,1))-AVERAGE(OFFSET($H$3,0,0,'Données projet'!$E$9+1,1))</f>
        <v>415.91544298418842</v>
      </c>
      <c r="T46" s="59">
        <f t="shared" si="34"/>
        <v>422.79312683312583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8.8277442755648821</v>
      </c>
      <c r="AA46" s="21">
        <f>EXP(-LN(2)/25)*AA45+(1-EXP(-LN(2)/25))/(LN(2)/25)*Calculateur!V46*Calculateur!X46*VLOOKUP('Données projet'!$B$9,Paramètres!$A$1:$I$89,3,0)*0.475*44/12</f>
        <v>27.029720877770362</v>
      </c>
      <c r="AB46" s="21">
        <f>EXP(-LN(2)/2)*AB45+(1-EXP(-LN(2)/2))/(LN(2)/2)*V46*Y46*VLOOKUP('Données projet'!$B$9,Paramètres!$A$1:$I$89,3,0)*0.475*44/12</f>
        <v>0.4029612765600567</v>
      </c>
      <c r="AC46" s="22">
        <f t="shared" si="3"/>
        <v>36.260426429895297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17.100000000000001</v>
      </c>
      <c r="AI46" s="13">
        <f>IF('Données projet'!$A$62&gt;35,AI45+AH46-AQ45,IF(A46&lt;'Données projet'!$A$62,$AF$205^A46,IF(A46='Données projet'!$A$62,'Données projet'!$B$62,AI45+AH46-AQ45)))</f>
        <v>336.3000000000003</v>
      </c>
      <c r="AJ46" s="13">
        <f>AI46*VLOOKUP('Données projet'!$B$10,Paramètres!$A$1:$I$89,3,0)*VLOOKUP('Données projet'!$B$10,Paramètres!$A$1:$I$89,5,0)</f>
        <v>201.10740000000021</v>
      </c>
      <c r="AK46" s="13">
        <f t="shared" si="35"/>
        <v>49.987462461070656</v>
      </c>
      <c r="AL46" s="20">
        <f t="shared" si="4"/>
        <v>437.32355211969843</v>
      </c>
      <c r="AM46" s="59">
        <f t="shared" si="5"/>
        <v>730.65688545303169</v>
      </c>
      <c r="AN46" s="59">
        <f ca="1">AVERAGE(OFFSET($AM$3,0,0,'Données projet'!$E$10+1,1))-AVERAGE(OFFSET($H$3,0,0,'Données projet'!$E$10+1,1))</f>
        <v>311.06126148520821</v>
      </c>
      <c r="AO46" s="59">
        <f t="shared" si="36"/>
        <v>321.1728368524748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2.7043132040789661</v>
      </c>
      <c r="AV46" s="21">
        <f>EXP(-LN(2)/25)*AV45+(1-EXP(-LN(2)/25))/(LN(2)/25)*Calculateur!AQ46*Calculateur!AS46*VLOOKUP('Données projet'!$B$10,Paramètres!$A$1:$I$89,3,0)*0.475*44/12</f>
        <v>14.881718390594655</v>
      </c>
      <c r="AW46" s="21">
        <f>EXP(-LN(2)/2)*AW45+(1-EXP(-LN(2)/2))/(LN(2)/2)*AQ46*AT46*VLOOKUP('Données projet'!$B$10,Paramètres!$A$1:$I$89,3,0)*0.475*44/12</f>
        <v>0.33480770384538694</v>
      </c>
      <c r="AX46" s="21">
        <f t="shared" si="6"/>
        <v>17.920839298519006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25.3</v>
      </c>
      <c r="BD46" s="12">
        <f>IF('Données projet'!$A$88&gt;35,BD45+BC46-BL45,IF(A46&lt;'Données projet'!$A$88,$BA$205^A46,IF(A46='Données projet'!$A$88,'Données projet'!$B$88,BD45+BC46-BL45)))</f>
        <v>485.90000000000009</v>
      </c>
      <c r="BE46" s="13">
        <f>BD46*VLOOKUP('Données projet'!$B$11,Paramètres!$A$1:$I$89,3,0)*VLOOKUP('Données projet'!$B$11,Paramètres!$A$1:$I$89,5,0)</f>
        <v>233.71790000000007</v>
      </c>
      <c r="BF46" s="13">
        <f t="shared" si="37"/>
        <v>57.085826648165302</v>
      </c>
      <c r="BG46" s="20">
        <f t="shared" si="7"/>
        <v>506.48315724555465</v>
      </c>
      <c r="BH46" s="59">
        <f t="shared" si="8"/>
        <v>799.81649057888797</v>
      </c>
      <c r="BI46" s="59">
        <f ca="1">AVERAGE(OFFSET($BH$3,0,0,'Données projet'!$E$11+1,1))-AVERAGE(OFFSET($H$3,0,0,'Données projet'!$E$11+1,1))</f>
        <v>371.85813103419366</v>
      </c>
      <c r="BJ46" s="59">
        <f t="shared" si="38"/>
        <v>370.01698880104584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21.485345419195681</v>
      </c>
      <c r="BQ46" s="21">
        <f>EXP(-LN(2)/25)*BQ45+(1-EXP(-LN(2)/25))/(LN(2)/25)*Calculateur!BL46*Calculateur!BN46*VLOOKUP('Données projet'!$B$11,Paramètres!$A$1:$I$89,3,0)*0.475*44/12</f>
        <v>31.444960224343884</v>
      </c>
      <c r="BR46" s="21">
        <f>EXP(-LN(2)/2)*BR45+(1-EXP(-LN(2)/2))/(LN(2)/2)*BL46*BO46*VLOOKUP('Données projet'!$B$11,Paramètres!$A$1:$I$89,3,0)*0.475*44/12</f>
        <v>9.7738030972817178</v>
      </c>
      <c r="BS46" s="22">
        <f t="shared" si="9"/>
        <v>62.704108740821283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13.1</v>
      </c>
      <c r="BY46" s="12">
        <f>IF('Données projet'!$A$114&gt;35,BY45+BX46-CG45,IF(A46&lt;'Données projet'!$A$114,$BV$205^A46,IF(A46='Données projet'!$A$114,'Données projet'!$B$114,BY45+BX46-CG45)))</f>
        <v>303.29999999999995</v>
      </c>
      <c r="BZ46" s="13">
        <f>BY46*VLOOKUP('Données projet'!$B$12,Paramètres!$A$1:$I$89,3,0)*VLOOKUP('Données projet'!$B$12,Paramètres!$A$1:$I$89,5,0)</f>
        <v>165.60179999999997</v>
      </c>
      <c r="CA46" s="13">
        <f t="shared" si="39"/>
        <v>42.103475388783878</v>
      </c>
      <c r="CB46" s="20">
        <f t="shared" si="10"/>
        <v>361.7533546354652</v>
      </c>
      <c r="CC46" s="59">
        <f t="shared" si="11"/>
        <v>655.08668796879851</v>
      </c>
      <c r="CD46" s="59">
        <f ca="1">AVERAGE(OFFSET($CC$3,0,0,'Données projet'!$E$12+1,1))-AVERAGE(OFFSET($H$3,0,0,'Données projet'!$E$12+1,1))</f>
        <v>248.1486444660062</v>
      </c>
      <c r="CE46" s="59">
        <f t="shared" si="40"/>
        <v>293.34458072322127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6.5844147577574832</v>
      </c>
      <c r="CL46" s="21">
        <f>EXP(-LN(2)/25)*CL45+(1-EXP(-LN(2)/25))/(LN(2)/25)*Calculateur!CG46*Calculateur!CI46*VLOOKUP('Données projet'!$B$12,Paramètres!$A$1:$I$89,3,0)*0.475*44/12</f>
        <v>23.736960953786664</v>
      </c>
      <c r="CM46" s="21">
        <f>EXP(-LN(2)/2)*CM45+(1-EXP(-LN(2)/2))/(LN(2)/2)*CG46*CJ46*VLOOKUP('Données projet'!$B$12,Paramètres!$A$1:$I$89,3,0)*0.475*44/12</f>
        <v>0.27822912925861143</v>
      </c>
      <c r="CN46" s="22">
        <f t="shared" si="12"/>
        <v>30.599604840802758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10.6</v>
      </c>
      <c r="CT46" s="12">
        <f>IF('Données projet'!$A$140&gt;35,CT45+CS46-DB45,IF(A46&lt;'Données projet'!$A$140,$CQ$205^A46,IF(A46='Données projet'!$A$140,'Données projet'!$B$140,CT45+CS46-DB45)))</f>
        <v>254.79999999999984</v>
      </c>
      <c r="CU46" s="17">
        <f>CT46*VLOOKUP('Données projet'!$B$13,Paramètres!$A$1:$I$89,3,0)*VLOOKUP('Données projet'!$B$13,Paramètres!$A$1:$I$89,5,0)</f>
        <v>202.7188799999999</v>
      </c>
      <c r="CV46" s="13">
        <f t="shared" si="41"/>
        <v>50.341224871428082</v>
      </c>
      <c r="CW46" s="20">
        <f t="shared" si="13"/>
        <v>440.74634931773704</v>
      </c>
      <c r="CX46" s="59">
        <f t="shared" si="14"/>
        <v>734.07968265107036</v>
      </c>
      <c r="CY46" s="59">
        <f ca="1">AVERAGE(OFFSET($CX$3,0,0,'Données projet'!$E$13+1,1))-AVERAGE(OFFSET($H$3,0,0,'Données projet'!$E$13+1,1))</f>
        <v>314.94704727988847</v>
      </c>
      <c r="CZ46" s="59">
        <f t="shared" si="42"/>
        <v>366.49199094166454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3.0268151513977011</v>
      </c>
      <c r="DG46" s="21">
        <f>EXP(-LN(2)/25)*DG45+(1-EXP(-LN(2)/25))/(LN(2)/25)*Calculateur!DB46*Calculateur!DD46*VLOOKUP('Données projet'!$B$13,Paramètres!$A$1:$I$89,3,0)*0.475*44/12</f>
        <v>17.718051463196637</v>
      </c>
      <c r="DH46" s="21">
        <f>EXP(-LN(2)/2)*DH45+(1-EXP(-LN(2)/2))/(LN(2)/2)*DB46*DE46*VLOOKUP('Données projet'!$B$13,Paramètres!$A$1:$I$89,3,0)*0.475*44/12</f>
        <v>0.31896301490516699</v>
      </c>
      <c r="DI46" s="22">
        <f t="shared" si="15"/>
        <v>21.063829629499509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22.8</v>
      </c>
      <c r="N47" s="13">
        <f>IF('Données projet'!$A$36&gt;35,N46+M47-V46,IF(A47&lt;'Données projet'!$A$36,$K$205^A47,IF(A47='Données projet'!$A$36,'Données projet'!$B$36,N46+M47-V46)))</f>
        <v>478.2000000000001</v>
      </c>
      <c r="O47" s="13">
        <f>N47*VLOOKUP('Données projet'!$B$9,Paramètres!$A$1:$I$89,3,0)*VLOOKUP('Données projet'!$B$9,Paramètres!$A$1:$I$89,5,0)</f>
        <v>267.31380000000007</v>
      </c>
      <c r="P47" s="13">
        <f t="shared" si="33"/>
        <v>64.278858533693665</v>
      </c>
      <c r="Q47" s="20">
        <f t="shared" si="53"/>
        <v>577.52388027951656</v>
      </c>
      <c r="R47" s="59">
        <f t="shared" si="0"/>
        <v>870.85721361284982</v>
      </c>
      <c r="S47" s="59">
        <f ca="1">AVERAGE(OFFSET($R$3,0,0,'Données projet'!$E$9+1,1))-AVERAGE(OFFSET($H$3,0,0,'Données projet'!$E$9+1,1))</f>
        <v>415.91544298418842</v>
      </c>
      <c r="T47" s="59">
        <f t="shared" si="34"/>
        <v>422.79312683312583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8.6546375947133978</v>
      </c>
      <c r="AA47" s="21">
        <f>EXP(-LN(2)/25)*AA46+(1-EXP(-LN(2)/25))/(LN(2)/25)*Calculateur!V47*Calculateur!X47*VLOOKUP('Données projet'!$B$9,Paramètres!$A$1:$I$89,3,0)*0.475*44/12</f>
        <v>26.290591738936488</v>
      </c>
      <c r="AB47" s="21">
        <f>EXP(-LN(2)/2)*AB46+(1-EXP(-LN(2)/2))/(LN(2)/2)*V47*Y47*VLOOKUP('Données projet'!$B$9,Paramètres!$A$1:$I$89,3,0)*0.475*44/12</f>
        <v>0.28493665121120387</v>
      </c>
      <c r="AC47" s="22">
        <f t="shared" si="3"/>
        <v>35.230165984861088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17.100000000000001</v>
      </c>
      <c r="AI47" s="13">
        <f>IF('Données projet'!$A$62&gt;35,AI46+AH47-AQ46,IF(A47&lt;'Données projet'!$A$62,$AF$205^A47,IF(A47='Données projet'!$A$62,'Données projet'!$B$62,AI46+AH47-AQ46)))</f>
        <v>353.40000000000032</v>
      </c>
      <c r="AJ47" s="13">
        <f>AI47*VLOOKUP('Données projet'!$B$10,Paramètres!$A$1:$I$89,3,0)*VLOOKUP('Données projet'!$B$10,Paramètres!$A$1:$I$89,5,0)</f>
        <v>211.33320000000023</v>
      </c>
      <c r="AK47" s="13">
        <f t="shared" si="35"/>
        <v>52.226816049120458</v>
      </c>
      <c r="AL47" s="20">
        <f t="shared" si="4"/>
        <v>459.03369461888519</v>
      </c>
      <c r="AM47" s="59">
        <f t="shared" si="5"/>
        <v>752.36702795221845</v>
      </c>
      <c r="AN47" s="59">
        <f ca="1">AVERAGE(OFFSET($AM$3,0,0,'Données projet'!$E$10+1,1))-AVERAGE(OFFSET($H$3,0,0,'Données projet'!$E$10+1,1))</f>
        <v>311.06126148520821</v>
      </c>
      <c r="AO47" s="59">
        <f t="shared" si="36"/>
        <v>321.1728368524748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2.6512832716151609</v>
      </c>
      <c r="AV47" s="21">
        <f>EXP(-LN(2)/25)*AV46+(1-EXP(-LN(2)/25))/(LN(2)/25)*Calculateur!AQ47*Calculateur!AS47*VLOOKUP('Données projet'!$B$10,Paramètres!$A$1:$I$89,3,0)*0.475*44/12</f>
        <v>14.474777018608286</v>
      </c>
      <c r="AW47" s="21">
        <f>EXP(-LN(2)/2)*AW46+(1-EXP(-LN(2)/2))/(LN(2)/2)*AQ47*AT47*VLOOKUP('Données projet'!$B$10,Paramètres!$A$1:$I$89,3,0)*0.475*44/12</f>
        <v>0.23674479778257043</v>
      </c>
      <c r="AX47" s="21">
        <f t="shared" si="6"/>
        <v>17.362805088006017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25.3</v>
      </c>
      <c r="BD47" s="12">
        <f>IF('Données projet'!$A$88&gt;35,BD46+BC47-BL46,IF(A47&lt;'Données projet'!$A$88,$BA$205^A47,IF(A47='Données projet'!$A$88,'Données projet'!$B$88,BD46+BC47-BL46)))</f>
        <v>511.2000000000001</v>
      </c>
      <c r="BE47" s="13">
        <f>BD47*VLOOKUP('Données projet'!$B$11,Paramètres!$A$1:$I$89,3,0)*VLOOKUP('Données projet'!$B$11,Paramètres!$A$1:$I$89,5,0)</f>
        <v>245.88720000000006</v>
      </c>
      <c r="BF47" s="13">
        <f t="shared" si="37"/>
        <v>59.704398195633559</v>
      </c>
      <c r="BG47" s="20">
        <f t="shared" si="7"/>
        <v>532.23870019072854</v>
      </c>
      <c r="BH47" s="59">
        <f t="shared" si="8"/>
        <v>825.57203352406191</v>
      </c>
      <c r="BI47" s="59">
        <f ca="1">AVERAGE(OFFSET($BH$3,0,0,'Données projet'!$E$11+1,1))-AVERAGE(OFFSET($H$3,0,0,'Données projet'!$E$11+1,1))</f>
        <v>371.85813103419366</v>
      </c>
      <c r="BJ47" s="59">
        <f t="shared" si="38"/>
        <v>370.01698880104584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21.064030900291971</v>
      </c>
      <c r="BQ47" s="21">
        <f>EXP(-LN(2)/25)*BQ46+(1-EXP(-LN(2)/25))/(LN(2)/25)*Calculateur!BL47*Calculateur!BN47*VLOOKUP('Données projet'!$B$11,Paramètres!$A$1:$I$89,3,0)*0.475*44/12</f>
        <v>30.585096133390611</v>
      </c>
      <c r="BR47" s="21">
        <f>EXP(-LN(2)/2)*BR46+(1-EXP(-LN(2)/2))/(LN(2)/2)*BL47*BO47*VLOOKUP('Données projet'!$B$11,Paramètres!$A$1:$I$89,3,0)*0.475*44/12</f>
        <v>6.9111224480699844</v>
      </c>
      <c r="BS47" s="22">
        <f t="shared" si="9"/>
        <v>58.560249481752564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13.1</v>
      </c>
      <c r="BY47" s="12">
        <f>IF('Données projet'!$A$114&gt;35,BY46+BX47-CG46,IF(A47&lt;'Données projet'!$A$114,$BV$205^A47,IF(A47='Données projet'!$A$114,'Données projet'!$B$114,BY46+BX47-CG46)))</f>
        <v>316.39999999999998</v>
      </c>
      <c r="BZ47" s="13">
        <f>BY47*VLOOKUP('Données projet'!$B$12,Paramètres!$A$1:$I$89,3,0)*VLOOKUP('Données projet'!$B$12,Paramètres!$A$1:$I$89,5,0)</f>
        <v>172.75439999999998</v>
      </c>
      <c r="CA47" s="13">
        <f t="shared" si="39"/>
        <v>43.706339319278051</v>
      </c>
      <c r="CB47" s="20">
        <f t="shared" si="10"/>
        <v>377.00245431440914</v>
      </c>
      <c r="CC47" s="59">
        <f t="shared" si="11"/>
        <v>670.33578764774245</v>
      </c>
      <c r="CD47" s="59">
        <f ca="1">AVERAGE(OFFSET($CC$3,0,0,'Données projet'!$E$12+1,1))-AVERAGE(OFFSET($H$3,0,0,'Données projet'!$E$12+1,1))</f>
        <v>248.1486444660062</v>
      </c>
      <c r="CE47" s="59">
        <f t="shared" si="40"/>
        <v>293.34458072322127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6.4552984004543044</v>
      </c>
      <c r="CL47" s="21">
        <f>EXP(-LN(2)/25)*CL46+(1-EXP(-LN(2)/25))/(LN(2)/25)*Calculateur!CG47*Calculateur!CI47*VLOOKUP('Données projet'!$B$12,Paramètres!$A$1:$I$89,3,0)*0.475*44/12</f>
        <v>23.087872508232842</v>
      </c>
      <c r="CM47" s="21">
        <f>EXP(-LN(2)/2)*CM46+(1-EXP(-LN(2)/2))/(LN(2)/2)*CG47*CJ47*VLOOKUP('Données projet'!$B$12,Paramètres!$A$1:$I$89,3,0)*0.475*44/12</f>
        <v>0.1967377040223926</v>
      </c>
      <c r="CN47" s="22">
        <f t="shared" si="12"/>
        <v>29.739908612709538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10.6</v>
      </c>
      <c r="CT47" s="12">
        <f>IF('Données projet'!$A$140&gt;35,CT46+CS47-DB46,IF(A47&lt;'Données projet'!$A$140,$CQ$205^A47,IF(A47='Données projet'!$A$140,'Données projet'!$B$140,CT46+CS47-DB46)))</f>
        <v>265.39999999999986</v>
      </c>
      <c r="CU47" s="17">
        <f>CT47*VLOOKUP('Données projet'!$B$13,Paramètres!$A$1:$I$89,3,0)*VLOOKUP('Données projet'!$B$13,Paramètres!$A$1:$I$89,5,0)</f>
        <v>211.15223999999989</v>
      </c>
      <c r="CV47" s="13">
        <f t="shared" si="41"/>
        <v>52.187298885462759</v>
      </c>
      <c r="CW47" s="20">
        <f t="shared" si="13"/>
        <v>458.64969689218077</v>
      </c>
      <c r="CX47" s="59">
        <f t="shared" si="14"/>
        <v>751.98303022551409</v>
      </c>
      <c r="CY47" s="59">
        <f ca="1">AVERAGE(OFFSET($CX$3,0,0,'Données projet'!$E$13+1,1))-AVERAGE(OFFSET($H$3,0,0,'Données projet'!$E$13+1,1))</f>
        <v>314.94704727988847</v>
      </c>
      <c r="CZ47" s="59">
        <f t="shared" si="42"/>
        <v>366.49199094166454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2.96746115245374</v>
      </c>
      <c r="DG47" s="21">
        <f>EXP(-LN(2)/25)*DG46+(1-EXP(-LN(2)/25))/(LN(2)/25)*Calculateur!DB47*Calculateur!DD47*VLOOKUP('Données projet'!$B$13,Paramètres!$A$1:$I$89,3,0)*0.475*44/12</f>
        <v>17.233550414183693</v>
      </c>
      <c r="DH47" s="21">
        <f>EXP(-LN(2)/2)*DH46+(1-EXP(-LN(2)/2))/(LN(2)/2)*DB47*DE47*VLOOKUP('Données projet'!$B$13,Paramètres!$A$1:$I$89,3,0)*0.475*44/12</f>
        <v>0.22554091078714941</v>
      </c>
      <c r="DI47" s="22">
        <f t="shared" si="15"/>
        <v>20.426552477424583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22.8</v>
      </c>
      <c r="N48" s="13">
        <f>IF('Données projet'!$A$36&gt;35,N47+M48-V47,IF(A48&lt;'Données projet'!$A$36,$K$205^A48,IF(A48='Données projet'!$A$36,'Données projet'!$B$36,N47+M48-V47)))</f>
        <v>501.00000000000011</v>
      </c>
      <c r="O48" s="13">
        <f>N48*VLOOKUP('Données projet'!$B$9,Paramètres!$A$1:$I$89,3,0)*VLOOKUP('Données projet'!$B$9,Paramètres!$A$1:$I$89,5,0)</f>
        <v>280.05900000000008</v>
      </c>
      <c r="P48" s="13">
        <f t="shared" si="33"/>
        <v>66.979477124262175</v>
      </c>
      <c r="Q48" s="20">
        <f t="shared" si="53"/>
        <v>604.42534765809012</v>
      </c>
      <c r="R48" s="59">
        <f t="shared" si="0"/>
        <v>897.75868099142349</v>
      </c>
      <c r="S48" s="59">
        <f ca="1">AVERAGE(OFFSET($R$3,0,0,'Données projet'!$E$9+1,1))-AVERAGE(OFFSET($H$3,0,0,'Données projet'!$E$9+1,1))</f>
        <v>415.91544298418842</v>
      </c>
      <c r="T48" s="59">
        <f t="shared" si="34"/>
        <v>422.79312683312583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8.4849254302887616</v>
      </c>
      <c r="AA48" s="21">
        <f>EXP(-LN(2)/25)*AA47+(1-EXP(-LN(2)/25))/(LN(2)/25)*Calculateur!V48*Calculateur!X48*VLOOKUP('Données projet'!$B$9,Paramètres!$A$1:$I$89,3,0)*0.475*44/12</f>
        <v>25.571674125273137</v>
      </c>
      <c r="AB48" s="21">
        <f>EXP(-LN(2)/2)*AB47+(1-EXP(-LN(2)/2))/(LN(2)/2)*V48*Y48*VLOOKUP('Données projet'!$B$9,Paramètres!$A$1:$I$89,3,0)*0.475*44/12</f>
        <v>0.20148063828002835</v>
      </c>
      <c r="AC48" s="22">
        <f t="shared" si="3"/>
        <v>34.258080193841934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17.100000000000001</v>
      </c>
      <c r="AI48" s="13">
        <f>IF('Données projet'!$A$62&gt;35,AI47+AH48-AQ47,IF(A48&lt;'Données projet'!$A$62,$AF$205^A48,IF(A48='Données projet'!$A$62,'Données projet'!$B$62,AI47+AH48-AQ47)))</f>
        <v>370.50000000000034</v>
      </c>
      <c r="AJ48" s="13">
        <f>AI48*VLOOKUP('Données projet'!$B$10,Paramètres!$A$1:$I$89,3,0)*VLOOKUP('Données projet'!$B$10,Paramètres!$A$1:$I$89,5,0)</f>
        <v>221.55900000000022</v>
      </c>
      <c r="AK48" s="13">
        <f t="shared" si="35"/>
        <v>54.453587288087114</v>
      </c>
      <c r="AL48" s="20">
        <f t="shared" si="4"/>
        <v>480.72192286008544</v>
      </c>
      <c r="AM48" s="59">
        <f t="shared" si="5"/>
        <v>774.0552561934187</v>
      </c>
      <c r="AN48" s="59">
        <f ca="1">AVERAGE(OFFSET($AM$3,0,0,'Données projet'!$E$10+1,1))-AVERAGE(OFFSET($H$3,0,0,'Données projet'!$E$10+1,1))</f>
        <v>311.06126148520821</v>
      </c>
      <c r="AO48" s="59">
        <f t="shared" si="36"/>
        <v>321.1728368524748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2.5992932237819057</v>
      </c>
      <c r="AV48" s="21">
        <f>EXP(-LN(2)/25)*AV47+(1-EXP(-LN(2)/25))/(LN(2)/25)*Calculateur!AQ48*Calculateur!AS48*VLOOKUP('Données projet'!$B$10,Paramètres!$A$1:$I$89,3,0)*0.475*44/12</f>
        <v>14.078963479839002</v>
      </c>
      <c r="AW48" s="21">
        <f>EXP(-LN(2)/2)*AW47+(1-EXP(-LN(2)/2))/(LN(2)/2)*AQ48*AT48*VLOOKUP('Données projet'!$B$10,Paramètres!$A$1:$I$89,3,0)*0.475*44/12</f>
        <v>0.16740385192269347</v>
      </c>
      <c r="AX48" s="21">
        <f t="shared" si="6"/>
        <v>16.845660555543599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25.3</v>
      </c>
      <c r="BD48" s="12">
        <f>IF('Données projet'!$A$88&gt;35,BD47+BC48-BL47,IF(A48&lt;'Données projet'!$A$88,$BA$205^A48,IF(A48='Données projet'!$A$88,'Données projet'!$B$88,BD47+BC48-BL47)))</f>
        <v>536.50000000000011</v>
      </c>
      <c r="BE48" s="13">
        <f>BD48*VLOOKUP('Données projet'!$B$11,Paramètres!$A$1:$I$89,3,0)*VLOOKUP('Données projet'!$B$11,Paramètres!$A$1:$I$89,5,0)</f>
        <v>258.05650000000009</v>
      </c>
      <c r="BF48" s="13">
        <f t="shared" si="37"/>
        <v>62.307921562887884</v>
      </c>
      <c r="BG48" s="20">
        <f t="shared" si="7"/>
        <v>557.96803422202993</v>
      </c>
      <c r="BH48" s="59">
        <f t="shared" si="8"/>
        <v>851.30136755536319</v>
      </c>
      <c r="BI48" s="59">
        <f ca="1">AVERAGE(OFFSET($BH$3,0,0,'Données projet'!$E$11+1,1))-AVERAGE(OFFSET($H$3,0,0,'Données projet'!$E$11+1,1))</f>
        <v>371.85813103419366</v>
      </c>
      <c r="BJ48" s="59">
        <f t="shared" si="38"/>
        <v>370.01698880104584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20.650978102127482</v>
      </c>
      <c r="BQ48" s="21">
        <f>EXP(-LN(2)/25)*BQ47+(1-EXP(-LN(2)/25))/(LN(2)/25)*Calculateur!BL48*Calculateur!BN48*VLOOKUP('Données projet'!$B$11,Paramètres!$A$1:$I$89,3,0)*0.475*44/12</f>
        <v>29.748745071222743</v>
      </c>
      <c r="BR48" s="21">
        <f>EXP(-LN(2)/2)*BR47+(1-EXP(-LN(2)/2))/(LN(2)/2)*BL48*BO48*VLOOKUP('Données projet'!$B$11,Paramètres!$A$1:$I$89,3,0)*0.475*44/12</f>
        <v>4.8869015486408598</v>
      </c>
      <c r="BS48" s="22">
        <f t="shared" si="9"/>
        <v>55.286624721991082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13.1</v>
      </c>
      <c r="BY48" s="12">
        <f>IF('Données projet'!$A$114&gt;35,BY47+BX48-CG47,IF(A48&lt;'Données projet'!$A$114,$BV$205^A48,IF(A48='Données projet'!$A$114,'Données projet'!$B$114,BY47+BX48-CG47)))</f>
        <v>329.5</v>
      </c>
      <c r="BZ48" s="13">
        <f>BY48*VLOOKUP('Données projet'!$B$12,Paramètres!$A$1:$I$89,3,0)*VLOOKUP('Données projet'!$B$12,Paramètres!$A$1:$I$89,5,0)</f>
        <v>179.90699999999998</v>
      </c>
      <c r="CA48" s="13">
        <f t="shared" si="39"/>
        <v>45.301494757695771</v>
      </c>
      <c r="CB48" s="20">
        <f t="shared" si="10"/>
        <v>392.2381283696534</v>
      </c>
      <c r="CC48" s="59">
        <f t="shared" si="11"/>
        <v>685.57146170298665</v>
      </c>
      <c r="CD48" s="59">
        <f ca="1">AVERAGE(OFFSET($CC$3,0,0,'Données projet'!$E$12+1,1))-AVERAGE(OFFSET($H$3,0,0,'Données projet'!$E$12+1,1))</f>
        <v>248.1486444660062</v>
      </c>
      <c r="CE48" s="59">
        <f t="shared" si="40"/>
        <v>293.34458072322127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6.3287139361646396</v>
      </c>
      <c r="CL48" s="21">
        <f>EXP(-LN(2)/25)*CL47+(1-EXP(-LN(2)/25))/(LN(2)/25)*Calculateur!CG48*Calculateur!CI48*VLOOKUP('Données projet'!$B$12,Paramètres!$A$1:$I$89,3,0)*0.475*44/12</f>
        <v>22.456533420356767</v>
      </c>
      <c r="CM48" s="21">
        <f>EXP(-LN(2)/2)*CM47+(1-EXP(-LN(2)/2))/(LN(2)/2)*CG48*CJ48*VLOOKUP('Données projet'!$B$12,Paramètres!$A$1:$I$89,3,0)*0.475*44/12</f>
        <v>0.13911456462930571</v>
      </c>
      <c r="CN48" s="22">
        <f t="shared" si="12"/>
        <v>28.924361921150712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10.6</v>
      </c>
      <c r="CT48" s="12">
        <f>IF('Données projet'!$A$140&gt;35,CT47+CS48-DB47,IF(A48&lt;'Données projet'!$A$140,$CQ$205^A48,IF(A48='Données projet'!$A$140,'Données projet'!$B$140,CT47+CS48-DB47)))</f>
        <v>275.99999999999989</v>
      </c>
      <c r="CU48" s="17">
        <f>CT48*VLOOKUP('Données projet'!$B$13,Paramètres!$A$1:$I$89,3,0)*VLOOKUP('Données projet'!$B$13,Paramètres!$A$1:$I$89,5,0)</f>
        <v>219.58559999999991</v>
      </c>
      <c r="CV48" s="13">
        <f t="shared" si="41"/>
        <v>54.024808047218549</v>
      </c>
      <c r="CW48" s="20">
        <f t="shared" si="13"/>
        <v>476.53812734890556</v>
      </c>
      <c r="CX48" s="59">
        <f t="shared" si="14"/>
        <v>769.87146068223888</v>
      </c>
      <c r="CY48" s="59">
        <f ca="1">AVERAGE(OFFSET($CX$3,0,0,'Données projet'!$E$13+1,1))-AVERAGE(OFFSET($H$3,0,0,'Données projet'!$E$13+1,1))</f>
        <v>314.94704727988847</v>
      </c>
      <c r="CZ48" s="59">
        <f t="shared" si="42"/>
        <v>366.49199094166454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2.9092710492267053</v>
      </c>
      <c r="DG48" s="21">
        <f>EXP(-LN(2)/25)*DG47+(1-EXP(-LN(2)/25))/(LN(2)/25)*Calculateur!DB48*Calculateur!DD48*VLOOKUP('Données projet'!$B$13,Paramètres!$A$1:$I$89,3,0)*0.475*44/12</f>
        <v>16.76229807183481</v>
      </c>
      <c r="DH48" s="21">
        <f>EXP(-LN(2)/2)*DH47+(1-EXP(-LN(2)/2))/(LN(2)/2)*DB48*DE48*VLOOKUP('Données projet'!$B$13,Paramètres!$A$1:$I$89,3,0)*0.475*44/12</f>
        <v>0.15948150745258349</v>
      </c>
      <c r="DI48" s="22">
        <f t="shared" si="15"/>
        <v>19.831050628514099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22.8</v>
      </c>
      <c r="N49" s="13">
        <f>IF('Données projet'!$A$36&gt;35,N48+M49-V48,IF(A49&lt;'Données projet'!$A$36,$K$205^A49,IF(A49='Données projet'!$A$36,'Données projet'!$B$36,N48+M49-V48)))</f>
        <v>523.80000000000007</v>
      </c>
      <c r="O49" s="13">
        <f>N49*VLOOKUP('Données projet'!$B$9,Paramètres!$A$1:$I$89,3,0)*VLOOKUP('Données projet'!$B$9,Paramètres!$A$1:$I$89,5,0)</f>
        <v>292.80420000000004</v>
      </c>
      <c r="P49" s="13">
        <f t="shared" si="33"/>
        <v>69.665822496730271</v>
      </c>
      <c r="Q49" s="20">
        <f t="shared" si="53"/>
        <v>631.30195584847183</v>
      </c>
      <c r="R49" s="59">
        <f t="shared" si="0"/>
        <v>924.63528918180509</v>
      </c>
      <c r="S49" s="59">
        <f ca="1">AVERAGE(OFFSET($R$3,0,0,'Données projet'!$E$9+1,1))-AVERAGE(OFFSET($H$3,0,0,'Données projet'!$E$9+1,1))</f>
        <v>415.91544298418842</v>
      </c>
      <c r="T49" s="59">
        <f t="shared" si="34"/>
        <v>422.79312683312583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8.3185412178942943</v>
      </c>
      <c r="AA49" s="21">
        <f>EXP(-LN(2)/25)*AA48+(1-EXP(-LN(2)/25))/(LN(2)/25)*Calculateur!V49*Calculateur!X49*VLOOKUP('Données projet'!$B$9,Paramètres!$A$1:$I$89,3,0)*0.475*44/12</f>
        <v>24.872415351561646</v>
      </c>
      <c r="AB49" s="21">
        <f>EXP(-LN(2)/2)*AB48+(1-EXP(-LN(2)/2))/(LN(2)/2)*V49*Y49*VLOOKUP('Données projet'!$B$9,Paramètres!$A$1:$I$89,3,0)*0.475*44/12</f>
        <v>0.14246832560560194</v>
      </c>
      <c r="AC49" s="22">
        <f t="shared" si="3"/>
        <v>33.33342489506154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17.100000000000001</v>
      </c>
      <c r="AI49" s="13">
        <f>IF('Données projet'!$A$62&gt;35,AI48+AH49-AQ48,IF(A49&lt;'Données projet'!$A$62,$AF$205^A49,IF(A49='Données projet'!$A$62,'Données projet'!$B$62,AI48+AH49-AQ48)))</f>
        <v>387.60000000000036</v>
      </c>
      <c r="AJ49" s="13">
        <f>AI49*VLOOKUP('Données projet'!$B$10,Paramètres!$A$1:$I$89,3,0)*VLOOKUP('Données projet'!$B$10,Paramètres!$A$1:$I$89,5,0)</f>
        <v>231.78480000000022</v>
      </c>
      <c r="AK49" s="13">
        <f t="shared" si="35"/>
        <v>56.668423229243544</v>
      </c>
      <c r="AL49" s="20">
        <f t="shared" si="4"/>
        <v>502.3893637909328</v>
      </c>
      <c r="AM49" s="59">
        <f t="shared" si="5"/>
        <v>795.72269712426612</v>
      </c>
      <c r="AN49" s="59">
        <f ca="1">AVERAGE(OFFSET($AM$3,0,0,'Données projet'!$E$10+1,1))-AVERAGE(OFFSET($H$3,0,0,'Données projet'!$E$10+1,1))</f>
        <v>311.06126148520821</v>
      </c>
      <c r="AO49" s="59">
        <f t="shared" si="36"/>
        <v>321.1728368524748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2.5483226690758625</v>
      </c>
      <c r="AV49" s="21">
        <f>EXP(-LN(2)/25)*AV48+(1-EXP(-LN(2)/25))/(LN(2)/25)*Calculateur!AQ49*Calculateur!AS49*VLOOKUP('Données projet'!$B$10,Paramètres!$A$1:$I$89,3,0)*0.475*44/12</f>
        <v>13.693973483102294</v>
      </c>
      <c r="AW49" s="21">
        <f>EXP(-LN(2)/2)*AW48+(1-EXP(-LN(2)/2))/(LN(2)/2)*AQ49*AT49*VLOOKUP('Données projet'!$B$10,Paramètres!$A$1:$I$89,3,0)*0.475*44/12</f>
        <v>0.11837239889128522</v>
      </c>
      <c r="AX49" s="21">
        <f t="shared" si="6"/>
        <v>16.360668551069441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25.3</v>
      </c>
      <c r="BD49" s="12">
        <f>IF('Données projet'!$A$88&gt;35,BD48+BC49-BL48,IF(A49&lt;'Données projet'!$A$88,$BA$205^A49,IF(A49='Données projet'!$A$88,'Données projet'!$B$88,BD48+BC49-BL48)))</f>
        <v>561.80000000000007</v>
      </c>
      <c r="BE49" s="13">
        <f>BD49*VLOOKUP('Données projet'!$B$11,Paramètres!$A$1:$I$89,3,0)*VLOOKUP('Données projet'!$B$11,Paramètres!$A$1:$I$89,5,0)</f>
        <v>270.22580000000005</v>
      </c>
      <c r="BF49" s="13">
        <f t="shared" si="37"/>
        <v>64.89718741496803</v>
      </c>
      <c r="BG49" s="20">
        <f t="shared" si="7"/>
        <v>583.67253641440277</v>
      </c>
      <c r="BH49" s="59">
        <f t="shared" si="8"/>
        <v>877.00586974773614</v>
      </c>
      <c r="BI49" s="59">
        <f ca="1">AVERAGE(OFFSET($BH$3,0,0,'Données projet'!$E$11+1,1))-AVERAGE(OFFSET($H$3,0,0,'Données projet'!$E$11+1,1))</f>
        <v>371.85813103419366</v>
      </c>
      <c r="BJ49" s="59">
        <f t="shared" si="38"/>
        <v>370.01698880104584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20.246025017397667</v>
      </c>
      <c r="BQ49" s="21">
        <f>EXP(-LN(2)/25)*BQ48+(1-EXP(-LN(2)/25))/(LN(2)/25)*Calculateur!BL49*Calculateur!BN49*VLOOKUP('Données projet'!$B$11,Paramètres!$A$1:$I$89,3,0)*0.475*44/12</f>
        <v>28.935264072831647</v>
      </c>
      <c r="BR49" s="21">
        <f>EXP(-LN(2)/2)*BR48+(1-EXP(-LN(2)/2))/(LN(2)/2)*BL49*BO49*VLOOKUP('Données projet'!$B$11,Paramètres!$A$1:$I$89,3,0)*0.475*44/12</f>
        <v>3.4555612240349931</v>
      </c>
      <c r="BS49" s="22">
        <f t="shared" si="9"/>
        <v>52.636850314264308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13.1</v>
      </c>
      <c r="BY49" s="12">
        <f>IF('Données projet'!$A$114&gt;35,BY48+BX49-CG48,IF(A49&lt;'Données projet'!$A$114,$BV$205^A49,IF(A49='Données projet'!$A$114,'Données projet'!$B$114,BY48+BX49-CG48)))</f>
        <v>342.6</v>
      </c>
      <c r="BZ49" s="13">
        <f>BY49*VLOOKUP('Données projet'!$B$12,Paramètres!$A$1:$I$89,3,0)*VLOOKUP('Données projet'!$B$12,Paramètres!$A$1:$I$89,5,0)</f>
        <v>187.05959999999999</v>
      </c>
      <c r="CA49" s="13">
        <f t="shared" si="39"/>
        <v>46.889283237928609</v>
      </c>
      <c r="CB49" s="20">
        <f t="shared" si="10"/>
        <v>407.46097163939231</v>
      </c>
      <c r="CC49" s="59">
        <f t="shared" si="11"/>
        <v>700.79430497272563</v>
      </c>
      <c r="CD49" s="59">
        <f ca="1">AVERAGE(OFFSET($CC$3,0,0,'Données projet'!$E$12+1,1))-AVERAGE(OFFSET($H$3,0,0,'Données projet'!$E$12+1,1))</f>
        <v>248.1486444660062</v>
      </c>
      <c r="CE49" s="59">
        <f t="shared" si="40"/>
        <v>293.34458072322127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6.2046117160107954</v>
      </c>
      <c r="CL49" s="21">
        <f>EXP(-LN(2)/25)*CL48+(1-EXP(-LN(2)/25))/(LN(2)/25)*Calculateur!CG49*Calculateur!CI49*VLOOKUP('Données projet'!$B$12,Paramètres!$A$1:$I$89,3,0)*0.475*44/12</f>
        <v>21.842458333039342</v>
      </c>
      <c r="CM49" s="21">
        <f>EXP(-LN(2)/2)*CM48+(1-EXP(-LN(2)/2))/(LN(2)/2)*CG49*CJ49*VLOOKUP('Données projet'!$B$12,Paramètres!$A$1:$I$89,3,0)*0.475*44/12</f>
        <v>9.8368852011196301E-2</v>
      </c>
      <c r="CN49" s="22">
        <f t="shared" si="12"/>
        <v>28.145438901061333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10.6</v>
      </c>
      <c r="CT49" s="12">
        <f>IF('Données projet'!$A$140&gt;35,CT48+CS49-DB48,IF(A49&lt;'Données projet'!$A$140,$CQ$205^A49,IF(A49='Données projet'!$A$140,'Données projet'!$B$140,CT48+CS49-DB48)))</f>
        <v>286.59999999999991</v>
      </c>
      <c r="CU49" s="17">
        <f>CT49*VLOOKUP('Données projet'!$B$13,Paramètres!$A$1:$I$89,3,0)*VLOOKUP('Données projet'!$B$13,Paramètres!$A$1:$I$89,5,0)</f>
        <v>228.01895999999996</v>
      </c>
      <c r="CV49" s="13">
        <f t="shared" si="41"/>
        <v>55.854118949181277</v>
      </c>
      <c r="CW49" s="20">
        <f t="shared" si="13"/>
        <v>494.41227916982399</v>
      </c>
      <c r="CX49" s="59">
        <f t="shared" si="14"/>
        <v>787.7456125031573</v>
      </c>
      <c r="CY49" s="59">
        <f ca="1">AVERAGE(OFFSET($CX$3,0,0,'Données projet'!$E$13+1,1))-AVERAGE(OFFSET($H$3,0,0,'Données projet'!$E$13+1,1))</f>
        <v>314.94704727988847</v>
      </c>
      <c r="CZ49" s="59">
        <f t="shared" si="42"/>
        <v>366.49199094166454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2.8522220184314944</v>
      </c>
      <c r="DG49" s="21">
        <f>EXP(-LN(2)/25)*DG48+(1-EXP(-LN(2)/25))/(LN(2)/25)*Calculateur!DB49*Calculateur!DD49*VLOOKUP('Données projet'!$B$13,Paramètres!$A$1:$I$89,3,0)*0.475*44/12</f>
        <v>16.30393214956954</v>
      </c>
      <c r="DH49" s="21">
        <f>EXP(-LN(2)/2)*DH48+(1-EXP(-LN(2)/2))/(LN(2)/2)*DB49*DE49*VLOOKUP('Données projet'!$B$13,Paramètres!$A$1:$I$89,3,0)*0.475*44/12</f>
        <v>0.11277045539357471</v>
      </c>
      <c r="DI49" s="22">
        <f t="shared" si="15"/>
        <v>19.268924623394611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22.8</v>
      </c>
      <c r="N50" s="13">
        <f>IF('Données projet'!$A$36&gt;35,N49+M50-V49,IF(A50&lt;'Données projet'!$A$36,$K$205^A50,IF(A50='Données projet'!$A$36,'Données projet'!$B$36,N49+M50-V49)))</f>
        <v>546.6</v>
      </c>
      <c r="O50" s="13">
        <f>N50*VLOOKUP('Données projet'!$B$9,Paramètres!$A$1:$I$89,3,0)*VLOOKUP('Données projet'!$B$9,Paramètres!$A$1:$I$89,5,0)</f>
        <v>305.54940000000005</v>
      </c>
      <c r="P50" s="13">
        <f t="shared" si="33"/>
        <v>72.338586946416783</v>
      </c>
      <c r="Q50" s="20">
        <f t="shared" si="53"/>
        <v>658.15491059834255</v>
      </c>
      <c r="R50" s="59">
        <f t="shared" si="0"/>
        <v>951.48824393167592</v>
      </c>
      <c r="S50" s="59">
        <f ca="1">AVERAGE(OFFSET($R$3,0,0,'Données projet'!$E$9+1,1))-AVERAGE(OFFSET($H$3,0,0,'Données projet'!$E$9+1,1))</f>
        <v>415.91544298418842</v>
      </c>
      <c r="T50" s="59">
        <f t="shared" si="34"/>
        <v>422.79312683312583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8.1554196984205323</v>
      </c>
      <c r="AA50" s="21">
        <f>EXP(-LN(2)/25)*AA49+(1-EXP(-LN(2)/25))/(LN(2)/25)*Calculateur!V50*Calculateur!X50*VLOOKUP('Données projet'!$B$9,Paramètres!$A$1:$I$89,3,0)*0.475*44/12</f>
        <v>24.192277845789715</v>
      </c>
      <c r="AB50" s="21">
        <f>EXP(-LN(2)/2)*AB49+(1-EXP(-LN(2)/2))/(LN(2)/2)*V50*Y50*VLOOKUP('Données projet'!$B$9,Paramètres!$A$1:$I$89,3,0)*0.475*44/12</f>
        <v>0.10074031914001418</v>
      </c>
      <c r="AC50" s="22">
        <f t="shared" si="3"/>
        <v>32.448437863350264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17.100000000000001</v>
      </c>
      <c r="AI50" s="13">
        <f>IF('Données projet'!$A$62&gt;35,AI49+AH50-AQ49,IF(A50&lt;'Données projet'!$A$62,$AF$205^A50,IF(A50='Données projet'!$A$62,'Données projet'!$B$62,AI49+AH50-AQ49)))</f>
        <v>404.70000000000039</v>
      </c>
      <c r="AJ50" s="13">
        <f>AI50*VLOOKUP('Données projet'!$B$10,Paramètres!$A$1:$I$89,3,0)*VLOOKUP('Données projet'!$B$10,Paramètres!$A$1:$I$89,5,0)</f>
        <v>242.01060000000024</v>
      </c>
      <c r="AK50" s="13">
        <f t="shared" si="35"/>
        <v>58.871910602973614</v>
      </c>
      <c r="AL50" s="20">
        <f t="shared" si="4"/>
        <v>524.03703930017934</v>
      </c>
      <c r="AM50" s="59">
        <f t="shared" si="5"/>
        <v>817.37037263351272</v>
      </c>
      <c r="AN50" s="59">
        <f ca="1">AVERAGE(OFFSET($AM$3,0,0,'Données projet'!$E$10+1,1))-AVERAGE(OFFSET($H$3,0,0,'Données projet'!$E$10+1,1))</f>
        <v>311.06126148520821</v>
      </c>
      <c r="AO50" s="59">
        <f t="shared" si="36"/>
        <v>321.1728368524748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2.4983516158586361</v>
      </c>
      <c r="AV50" s="21">
        <f>EXP(-LN(2)/25)*AV49+(1-EXP(-LN(2)/25))/(LN(2)/25)*Calculateur!AQ50*Calculateur!AS50*VLOOKUP('Données projet'!$B$10,Paramètres!$A$1:$I$89,3,0)*0.475*44/12</f>
        <v>13.319511058072095</v>
      </c>
      <c r="AW50" s="21">
        <f>EXP(-LN(2)/2)*AW49+(1-EXP(-LN(2)/2))/(LN(2)/2)*AQ50*AT50*VLOOKUP('Données projet'!$B$10,Paramètres!$A$1:$I$89,3,0)*0.475*44/12</f>
        <v>8.3701925961346735E-2</v>
      </c>
      <c r="AX50" s="21">
        <f t="shared" si="6"/>
        <v>15.901564599892078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25.3</v>
      </c>
      <c r="BD50" s="12">
        <f>IF('Données projet'!$A$88&gt;35,BD49+BC50-BL49,IF(A50&lt;'Données projet'!$A$88,$BA$205^A50,IF(A50='Données projet'!$A$88,'Données projet'!$B$88,BD49+BC50-BL49)))</f>
        <v>587.1</v>
      </c>
      <c r="BE50" s="13">
        <f>BD50*VLOOKUP('Données projet'!$B$11,Paramètres!$A$1:$I$89,3,0)*VLOOKUP('Données projet'!$B$11,Paramètres!$A$1:$I$89,5,0)</f>
        <v>282.39510000000001</v>
      </c>
      <c r="BF50" s="13">
        <f t="shared" si="37"/>
        <v>67.472911177823008</v>
      </c>
      <c r="BG50" s="20">
        <f t="shared" si="7"/>
        <v>609.35345280137506</v>
      </c>
      <c r="BH50" s="59">
        <f t="shared" si="8"/>
        <v>902.68678613470843</v>
      </c>
      <c r="BI50" s="59">
        <f ca="1">AVERAGE(OFFSET($BH$3,0,0,'Données projet'!$E$11+1,1))-AVERAGE(OFFSET($H$3,0,0,'Données projet'!$E$11+1,1))</f>
        <v>371.85813103419366</v>
      </c>
      <c r="BJ50" s="59">
        <f t="shared" si="38"/>
        <v>370.01698880104584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19.849012815662412</v>
      </c>
      <c r="BQ50" s="21">
        <f>EXP(-LN(2)/25)*BQ49+(1-EXP(-LN(2)/25))/(LN(2)/25)*Calculateur!BL50*Calculateur!BN50*VLOOKUP('Données projet'!$B$11,Paramètres!$A$1:$I$89,3,0)*0.475*44/12</f>
        <v>28.144027755120661</v>
      </c>
      <c r="BR50" s="21">
        <f>EXP(-LN(2)/2)*BR49+(1-EXP(-LN(2)/2))/(LN(2)/2)*BL50*BO50*VLOOKUP('Données projet'!$B$11,Paramètres!$A$1:$I$89,3,0)*0.475*44/12</f>
        <v>2.4434507743204303</v>
      </c>
      <c r="BS50" s="22">
        <f t="shared" si="9"/>
        <v>50.436491345103505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13.1</v>
      </c>
      <c r="BY50" s="12">
        <f>IF('Données projet'!$A$114&gt;35,BY49+BX50-CG49,IF(A50&lt;'Données projet'!$A$114,$BV$205^A50,IF(A50='Données projet'!$A$114,'Données projet'!$B$114,BY49+BX50-CG49)))</f>
        <v>355.70000000000005</v>
      </c>
      <c r="BZ50" s="13">
        <f>BY50*VLOOKUP('Données projet'!$B$12,Paramètres!$A$1:$I$89,3,0)*VLOOKUP('Données projet'!$B$12,Paramètres!$A$1:$I$89,5,0)</f>
        <v>194.21220000000002</v>
      </c>
      <c r="CA50" s="13">
        <f t="shared" si="39"/>
        <v>48.470018696162889</v>
      </c>
      <c r="CB50" s="20">
        <f t="shared" si="10"/>
        <v>422.67153089581711</v>
      </c>
      <c r="CC50" s="59">
        <f t="shared" si="11"/>
        <v>716.00486422915037</v>
      </c>
      <c r="CD50" s="59">
        <f ca="1">AVERAGE(OFFSET($CC$3,0,0,'Données projet'!$E$12+1,1))-AVERAGE(OFFSET($H$3,0,0,'Données projet'!$E$12+1,1))</f>
        <v>248.1486444660062</v>
      </c>
      <c r="CE50" s="59">
        <f t="shared" si="40"/>
        <v>293.34458072322127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6.0829430646992879</v>
      </c>
      <c r="CL50" s="21">
        <f>EXP(-LN(2)/25)*CL49+(1-EXP(-LN(2)/25))/(LN(2)/25)*Calculateur!CG50*Calculateur!CI50*VLOOKUP('Données projet'!$B$12,Paramètres!$A$1:$I$89,3,0)*0.475*44/12</f>
        <v>21.24517516127742</v>
      </c>
      <c r="CM50" s="21">
        <f>EXP(-LN(2)/2)*CM49+(1-EXP(-LN(2)/2))/(LN(2)/2)*CG50*CJ50*VLOOKUP('Données projet'!$B$12,Paramètres!$A$1:$I$89,3,0)*0.475*44/12</f>
        <v>6.9557282314652857E-2</v>
      </c>
      <c r="CN50" s="22">
        <f t="shared" si="12"/>
        <v>27.397675508291361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10.6</v>
      </c>
      <c r="CT50" s="12">
        <f>IF('Données projet'!$A$140&gt;35,CT49+CS50-DB49,IF(A50&lt;'Données projet'!$A$140,$CQ$205^A50,IF(A50='Données projet'!$A$140,'Données projet'!$B$140,CT49+CS50-DB49)))</f>
        <v>297.19999999999993</v>
      </c>
      <c r="CU50" s="17">
        <f>CT50*VLOOKUP('Données projet'!$B$13,Paramètres!$A$1:$I$89,3,0)*VLOOKUP('Données projet'!$B$13,Paramètres!$A$1:$I$89,5,0)</f>
        <v>236.45231999999996</v>
      </c>
      <c r="CV50" s="13">
        <f t="shared" si="41"/>
        <v>57.675569530260624</v>
      </c>
      <c r="CW50" s="20">
        <f t="shared" si="13"/>
        <v>512.27274093187054</v>
      </c>
      <c r="CX50" s="59">
        <f t="shared" si="14"/>
        <v>805.60607426520392</v>
      </c>
      <c r="CY50" s="59">
        <f ca="1">AVERAGE(OFFSET($CX$3,0,0,'Données projet'!$E$13+1,1))-AVERAGE(OFFSET($H$3,0,0,'Données projet'!$E$13+1,1))</f>
        <v>314.94704727988847</v>
      </c>
      <c r="CZ50" s="59">
        <f t="shared" si="42"/>
        <v>366.49199094166454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2.7962916843337045</v>
      </c>
      <c r="DG50" s="21">
        <f>EXP(-LN(2)/25)*DG49+(1-EXP(-LN(2)/25))/(LN(2)/25)*Calculateur!DB50*Calculateur!DD50*VLOOKUP('Données projet'!$B$13,Paramètres!$A$1:$I$89,3,0)*0.475*44/12</f>
        <v>15.858100267553032</v>
      </c>
      <c r="DH50" s="21">
        <f>EXP(-LN(2)/2)*DH49+(1-EXP(-LN(2)/2))/(LN(2)/2)*DB50*DE50*VLOOKUP('Données projet'!$B$13,Paramètres!$A$1:$I$89,3,0)*0.475*44/12</f>
        <v>7.9740753726291747E-2</v>
      </c>
      <c r="DI50" s="22">
        <f t="shared" si="15"/>
        <v>18.734132705613028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22.8</v>
      </c>
      <c r="N51" s="13">
        <f>IF('Données projet'!$A$36&gt;35,N50+M51-V50,IF(A51&lt;'Données projet'!$A$36,$K$205^A51,IF(A51='Données projet'!$A$36,'Données projet'!$B$36,N50+M51-V50)))</f>
        <v>569.4</v>
      </c>
      <c r="O51" s="13">
        <f>N51*VLOOKUP('Données projet'!$B$9,Paramètres!$A$1:$I$89,3,0)*VLOOKUP('Données projet'!$B$9,Paramètres!$A$1:$I$89,5,0)</f>
        <v>318.2946</v>
      </c>
      <c r="P51" s="13">
        <f t="shared" si="33"/>
        <v>74.998401746556283</v>
      </c>
      <c r="Q51" s="20">
        <f t="shared" si="53"/>
        <v>684.98531137525208</v>
      </c>
      <c r="R51" s="59">
        <f t="shared" si="0"/>
        <v>978.31864470858545</v>
      </c>
      <c r="S51" s="59">
        <f ca="1">AVERAGE(OFFSET($R$3,0,0,'Données projet'!$E$9+1,1))-AVERAGE(OFFSET($H$3,0,0,'Données projet'!$E$9+1,1))</f>
        <v>415.91544298418842</v>
      </c>
      <c r="T51" s="59">
        <f t="shared" si="34"/>
        <v>422.79312683312583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7.9954968924493492</v>
      </c>
      <c r="AA51" s="21">
        <f>EXP(-LN(2)/25)*AA50+(1-EXP(-LN(2)/25))/(LN(2)/25)*Calculateur!V51*Calculateur!X51*VLOOKUP('Données projet'!$B$9,Paramètres!$A$1:$I$89,3,0)*0.475*44/12</f>
        <v>23.530738735879996</v>
      </c>
      <c r="AB51" s="21">
        <f>EXP(-LN(2)/2)*AB50+(1-EXP(-LN(2)/2))/(LN(2)/2)*V51*Y51*VLOOKUP('Données projet'!$B$9,Paramètres!$A$1:$I$89,3,0)*0.475*44/12</f>
        <v>7.1234162802800968E-2</v>
      </c>
      <c r="AC51" s="22">
        <f t="shared" si="3"/>
        <v>31.597469791132145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17.100000000000001</v>
      </c>
      <c r="AI51" s="13">
        <f>IF('Données projet'!$A$62&gt;35,AI50+AH51-AQ50,IF(A51&lt;'Données projet'!$A$62,$AF$205^A51,IF(A51='Données projet'!$A$62,'Données projet'!$B$62,AI50+AH51-AQ50)))</f>
        <v>421.80000000000041</v>
      </c>
      <c r="AJ51" s="13">
        <f>AI51*VLOOKUP('Données projet'!$B$10,Paramètres!$A$1:$I$89,3,0)*VLOOKUP('Données projet'!$B$10,Paramètres!$A$1:$I$89,5,0)</f>
        <v>252.23640000000026</v>
      </c>
      <c r="AK51" s="13">
        <f t="shared" si="35"/>
        <v>61.064583752052897</v>
      </c>
      <c r="AL51" s="20">
        <f t="shared" si="4"/>
        <v>545.66588003482593</v>
      </c>
      <c r="AM51" s="59">
        <f t="shared" si="5"/>
        <v>838.99921336815919</v>
      </c>
      <c r="AN51" s="59">
        <f ca="1">AVERAGE(OFFSET($AM$3,0,0,'Données projet'!$E$10+1,1))-AVERAGE(OFFSET($H$3,0,0,'Données projet'!$E$10+1,1))</f>
        <v>311.06126148520821</v>
      </c>
      <c r="AO51" s="59">
        <f t="shared" si="36"/>
        <v>321.1728368524748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2.4493604645156668</v>
      </c>
      <c r="AV51" s="21">
        <f>EXP(-LN(2)/25)*AV50+(1-EXP(-LN(2)/25))/(LN(2)/25)*Calculateur!AQ51*Calculateur!AS51*VLOOKUP('Données projet'!$B$10,Paramètres!$A$1:$I$89,3,0)*0.475*44/12</f>
        <v>12.955288327746469</v>
      </c>
      <c r="AW51" s="21">
        <f>EXP(-LN(2)/2)*AW50+(1-EXP(-LN(2)/2))/(LN(2)/2)*AQ51*AT51*VLOOKUP('Données projet'!$B$10,Paramètres!$A$1:$I$89,3,0)*0.475*44/12</f>
        <v>5.9186199445642608E-2</v>
      </c>
      <c r="AX51" s="21">
        <f t="shared" si="6"/>
        <v>15.463834991707779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25.3</v>
      </c>
      <c r="BD51" s="12">
        <f>IF('Données projet'!$A$88&gt;35,BD50+BC51-BL50,IF(A51&lt;'Données projet'!$A$88,$BA$205^A51,IF(A51='Données projet'!$A$88,'Données projet'!$B$88,BD50+BC51-BL50)))</f>
        <v>612.4</v>
      </c>
      <c r="BE51" s="13">
        <f>BD51*VLOOKUP('Données projet'!$B$11,Paramètres!$A$1:$I$89,3,0)*VLOOKUP('Données projet'!$B$11,Paramètres!$A$1:$I$89,5,0)</f>
        <v>294.56439999999998</v>
      </c>
      <c r="BF51" s="13">
        <f t="shared" si="37"/>
        <v>70.035743130266553</v>
      </c>
      <c r="BG51" s="20">
        <f t="shared" si="7"/>
        <v>635.01191595188084</v>
      </c>
      <c r="BH51" s="59">
        <f t="shared" si="8"/>
        <v>928.34524928521409</v>
      </c>
      <c r="BI51" s="59">
        <f ca="1">AVERAGE(OFFSET($BH$3,0,0,'Données projet'!$E$11+1,1))-AVERAGE(OFFSET($H$3,0,0,'Données projet'!$E$11+1,1))</f>
        <v>371.85813103419366</v>
      </c>
      <c r="BJ51" s="59">
        <f t="shared" si="38"/>
        <v>370.01698880104584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19.459785781049654</v>
      </c>
      <c r="BQ51" s="21">
        <f>EXP(-LN(2)/25)*BQ50+(1-EXP(-LN(2)/25))/(LN(2)/25)*Calculateur!BL51*Calculateur!BN51*VLOOKUP('Données projet'!$B$11,Paramètres!$A$1:$I$89,3,0)*0.475*44/12</f>
        <v>27.374427836126792</v>
      </c>
      <c r="BR51" s="21">
        <f>EXP(-LN(2)/2)*BR50+(1-EXP(-LN(2)/2))/(LN(2)/2)*BL51*BO51*VLOOKUP('Données projet'!$B$11,Paramètres!$A$1:$I$89,3,0)*0.475*44/12</f>
        <v>1.7277806120174968</v>
      </c>
      <c r="BS51" s="22">
        <f t="shared" si="9"/>
        <v>48.561994229193942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13.1</v>
      </c>
      <c r="BY51" s="12">
        <f>IF('Données projet'!$A$114&gt;35,BY50+BX51-CG50,IF(A51&lt;'Données projet'!$A$114,$BV$205^A51,IF(A51='Données projet'!$A$114,'Données projet'!$B$114,BY50+BX51-CG50)))</f>
        <v>368.80000000000007</v>
      </c>
      <c r="BZ51" s="13">
        <f>BY51*VLOOKUP('Données projet'!$B$12,Paramètres!$A$1:$I$89,3,0)*VLOOKUP('Données projet'!$B$12,Paramètres!$A$1:$I$89,5,0)</f>
        <v>201.36480000000003</v>
      </c>
      <c r="CA51" s="13">
        <f t="shared" si="39"/>
        <v>50.04399063451806</v>
      </c>
      <c r="CB51" s="20">
        <f t="shared" si="10"/>
        <v>437.87031035511899</v>
      </c>
      <c r="CC51" s="59">
        <f t="shared" si="11"/>
        <v>731.2036436884523</v>
      </c>
      <c r="CD51" s="59">
        <f ca="1">AVERAGE(OFFSET($CC$3,0,0,'Données projet'!$E$12+1,1))-AVERAGE(OFFSET($H$3,0,0,'Données projet'!$E$12+1,1))</f>
        <v>248.1486444660062</v>
      </c>
      <c r="CE51" s="59">
        <f t="shared" si="40"/>
        <v>293.34458072322127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5.9636602614294496</v>
      </c>
      <c r="CL51" s="21">
        <f>EXP(-LN(2)/25)*CL50+(1-EXP(-LN(2)/25))/(LN(2)/25)*Calculateur!CG51*Calculateur!CI51*VLOOKUP('Données projet'!$B$12,Paramètres!$A$1:$I$89,3,0)*0.475*44/12</f>
        <v>20.664224729257082</v>
      </c>
      <c r="CM51" s="21">
        <f>EXP(-LN(2)/2)*CM50+(1-EXP(-LN(2)/2))/(LN(2)/2)*CG51*CJ51*VLOOKUP('Données projet'!$B$12,Paramètres!$A$1:$I$89,3,0)*0.475*44/12</f>
        <v>4.918442600559815E-2</v>
      </c>
      <c r="CN51" s="22">
        <f t="shared" si="12"/>
        <v>26.677069416692131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10.6</v>
      </c>
      <c r="CT51" s="12">
        <f>IF('Données projet'!$A$140&gt;35,CT50+CS51-DB50,IF(A51&lt;'Données projet'!$A$140,$CQ$205^A51,IF(A51='Données projet'!$A$140,'Données projet'!$B$140,CT50+CS51-DB50)))</f>
        <v>307.79999999999995</v>
      </c>
      <c r="CU51" s="17">
        <f>CT51*VLOOKUP('Données projet'!$B$13,Paramètres!$A$1:$I$89,3,0)*VLOOKUP('Données projet'!$B$13,Paramètres!$A$1:$I$89,5,0)</f>
        <v>244.88567999999998</v>
      </c>
      <c r="CV51" s="13">
        <f t="shared" si="41"/>
        <v>59.489472256806273</v>
      </c>
      <c r="CW51" s="20">
        <f t="shared" si="13"/>
        <v>530.12005684727092</v>
      </c>
      <c r="CX51" s="59">
        <f t="shared" si="14"/>
        <v>823.45339018060417</v>
      </c>
      <c r="CY51" s="59">
        <f ca="1">AVERAGE(OFFSET($CX$3,0,0,'Données projet'!$E$13+1,1))-AVERAGE(OFFSET($H$3,0,0,'Données projet'!$E$13+1,1))</f>
        <v>314.94704727988847</v>
      </c>
      <c r="CZ51" s="59">
        <f t="shared" si="42"/>
        <v>366.49199094166454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2.7414581099734368</v>
      </c>
      <c r="DG51" s="21">
        <f>EXP(-LN(2)/25)*DG50+(1-EXP(-LN(2)/25))/(LN(2)/25)*Calculateur!DB51*Calculateur!DD51*VLOOKUP('Données projet'!$B$13,Paramètres!$A$1:$I$89,3,0)*0.475*44/12</f>
        <v>15.424459681795545</v>
      </c>
      <c r="DH51" s="21">
        <f>EXP(-LN(2)/2)*DH50+(1-EXP(-LN(2)/2))/(LN(2)/2)*DB51*DE51*VLOOKUP('Données projet'!$B$13,Paramètres!$A$1:$I$89,3,0)*0.475*44/12</f>
        <v>5.6385227696787353E-2</v>
      </c>
      <c r="DI51" s="22">
        <f t="shared" si="15"/>
        <v>18.22230301946577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22.8</v>
      </c>
      <c r="N52" s="13">
        <f>IF('Données projet'!$A$36&gt;35,N51+M52-V51,IF(A52&lt;'Données projet'!$A$36,$K$205^A52,IF(A52='Données projet'!$A$36,'Données projet'!$B$36,N51+M52-V51)))</f>
        <v>592.19999999999993</v>
      </c>
      <c r="O52" s="13">
        <f>N52*VLOOKUP('Données projet'!$B$9,Paramètres!$A$1:$I$89,3,0)*VLOOKUP('Données projet'!$B$9,Paramètres!$A$1:$I$89,5,0)</f>
        <v>331.03979999999996</v>
      </c>
      <c r="P52" s="13">
        <f t="shared" si="33"/>
        <v>77.64584475376725</v>
      </c>
      <c r="Q52" s="20">
        <f t="shared" si="53"/>
        <v>711.79416461281119</v>
      </c>
      <c r="R52" s="59">
        <f t="shared" si="0"/>
        <v>1005.1274979461446</v>
      </c>
      <c r="S52" s="59">
        <f ca="1">AVERAGE(OFFSET($R$3,0,0,'Données projet'!$E$9+1,1))-AVERAGE(OFFSET($H$3,0,0,'Données projet'!$E$9+1,1))</f>
        <v>415.91544298418842</v>
      </c>
      <c r="T52" s="59">
        <f t="shared" si="34"/>
        <v>422.79312683312583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7.8387100751599803</v>
      </c>
      <c r="AA52" s="21">
        <f>EXP(-LN(2)/25)*AA51+(1-EXP(-LN(2)/25))/(LN(2)/25)*Calculateur!V52*Calculateur!X52*VLOOKUP('Données projet'!$B$9,Paramètres!$A$1:$I$89,3,0)*0.475*44/12</f>
        <v>22.887289447719589</v>
      </c>
      <c r="AB52" s="21">
        <f>EXP(-LN(2)/2)*AB51+(1-EXP(-LN(2)/2))/(LN(2)/2)*V52*Y52*VLOOKUP('Données projet'!$B$9,Paramètres!$A$1:$I$89,3,0)*0.475*44/12</f>
        <v>5.0370159570007088E-2</v>
      </c>
      <c r="AC52" s="22">
        <f t="shared" si="3"/>
        <v>30.776369682449577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17.100000000000001</v>
      </c>
      <c r="AI52" s="13">
        <f>IF('Données projet'!$A$62&gt;35,AI51+AH52-AQ51,IF(A52&lt;'Données projet'!$A$62,$AF$205^A52,IF(A52='Données projet'!$A$62,'Données projet'!$B$62,AI51+AH52-AQ51)))</f>
        <v>438.90000000000043</v>
      </c>
      <c r="AJ52" s="13">
        <f>AI52*VLOOKUP('Données projet'!$B$10,Paramètres!$A$1:$I$89,3,0)*VLOOKUP('Données projet'!$B$10,Paramètres!$A$1:$I$89,5,0)</f>
        <v>262.46220000000028</v>
      </c>
      <c r="AK52" s="13">
        <f t="shared" si="35"/>
        <v>63.246931242227284</v>
      </c>
      <c r="AL52" s="20">
        <f t="shared" si="4"/>
        <v>567.2767369135463</v>
      </c>
      <c r="AM52" s="59">
        <f t="shared" si="5"/>
        <v>860.61007024687956</v>
      </c>
      <c r="AN52" s="59">
        <f ca="1">AVERAGE(OFFSET($AM$3,0,0,'Données projet'!$E$10+1,1))-AVERAGE(OFFSET($H$3,0,0,'Données projet'!$E$10+1,1))</f>
        <v>311.06126148520821</v>
      </c>
      <c r="AO52" s="59">
        <f t="shared" si="36"/>
        <v>321.1728368524748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2.4013299997688815</v>
      </c>
      <c r="AV52" s="21">
        <f>EXP(-LN(2)/25)*AV51+(1-EXP(-LN(2)/25))/(LN(2)/25)*Calculateur!AQ52*Calculateur!AS52*VLOOKUP('Données projet'!$B$10,Paramètres!$A$1:$I$89,3,0)*0.475*44/12</f>
        <v>12.601025287135238</v>
      </c>
      <c r="AW52" s="21">
        <f>EXP(-LN(2)/2)*AW51+(1-EXP(-LN(2)/2))/(LN(2)/2)*AQ52*AT52*VLOOKUP('Données projet'!$B$10,Paramètres!$A$1:$I$89,3,0)*0.475*44/12</f>
        <v>4.1850962980673367E-2</v>
      </c>
      <c r="AX52" s="21">
        <f t="shared" si="6"/>
        <v>15.044206249884793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25.3</v>
      </c>
      <c r="BD52" s="12">
        <f>IF('Données projet'!$A$88&gt;35,BD51+BC52-BL51,IF(A52&lt;'Données projet'!$A$88,$BA$205^A52,IF(A52='Données projet'!$A$88,'Données projet'!$B$88,BD51+BC52-BL51)))</f>
        <v>637.69999999999993</v>
      </c>
      <c r="BE52" s="13">
        <f>BD52*VLOOKUP('Données projet'!$B$11,Paramètres!$A$1:$I$89,3,0)*VLOOKUP('Données projet'!$B$11,Paramètres!$A$1:$I$89,5,0)</f>
        <v>306.7337</v>
      </c>
      <c r="BF52" s="13">
        <f t="shared" si="37"/>
        <v>72.586276781239746</v>
      </c>
      <c r="BG52" s="20">
        <f t="shared" si="7"/>
        <v>660.64895956065914</v>
      </c>
      <c r="BH52" s="59">
        <f t="shared" si="8"/>
        <v>953.98229289399251</v>
      </c>
      <c r="BI52" s="59">
        <f ca="1">AVERAGE(OFFSET($BH$3,0,0,'Données projet'!$E$11+1,1))-AVERAGE(OFFSET($H$3,0,0,'Données projet'!$E$11+1,1))</f>
        <v>371.85813103419366</v>
      </c>
      <c r="BJ52" s="59">
        <f t="shared" si="38"/>
        <v>370.01698880104584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19.078191251180602</v>
      </c>
      <c r="BQ52" s="21">
        <f>EXP(-LN(2)/25)*BQ51+(1-EXP(-LN(2)/25))/(LN(2)/25)*Calculateur!BL52*Calculateur!BN52*VLOOKUP('Données projet'!$B$11,Paramètres!$A$1:$I$89,3,0)*0.475*44/12</f>
        <v>26.625872667389309</v>
      </c>
      <c r="BR52" s="21">
        <f>EXP(-LN(2)/2)*BR51+(1-EXP(-LN(2)/2))/(LN(2)/2)*BL52*BO52*VLOOKUP('Données projet'!$B$11,Paramètres!$A$1:$I$89,3,0)*0.475*44/12</f>
        <v>1.2217253871602154</v>
      </c>
      <c r="BS52" s="22">
        <f t="shared" si="9"/>
        <v>46.925789305730127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13.1</v>
      </c>
      <c r="BY52" s="12">
        <f>IF('Données projet'!$A$114&gt;35,BY51+BX52-CG51,IF(A52&lt;'Données projet'!$A$114,$BV$205^A52,IF(A52='Données projet'!$A$114,'Données projet'!$B$114,BY51+BX52-CG51)))</f>
        <v>381.90000000000009</v>
      </c>
      <c r="BZ52" s="13">
        <f>BY52*VLOOKUP('Données projet'!$B$12,Paramètres!$A$1:$I$89,3,0)*VLOOKUP('Données projet'!$B$12,Paramètres!$A$1:$I$89,5,0)</f>
        <v>208.51740000000004</v>
      </c>
      <c r="CA52" s="13">
        <f t="shared" si="39"/>
        <v>51.611466822557574</v>
      </c>
      <c r="CB52" s="20">
        <f t="shared" si="10"/>
        <v>453.05777638262111</v>
      </c>
      <c r="CC52" s="59">
        <f t="shared" si="11"/>
        <v>746.39110971595437</v>
      </c>
      <c r="CD52" s="59">
        <f ca="1">AVERAGE(OFFSET($CC$3,0,0,'Données projet'!$E$12+1,1))-AVERAGE(OFFSET($H$3,0,0,'Données projet'!$E$12+1,1))</f>
        <v>248.1486444660062</v>
      </c>
      <c r="CE52" s="59">
        <f t="shared" si="40"/>
        <v>293.34458072322127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5.8467165211764067</v>
      </c>
      <c r="CL52" s="21">
        <f>EXP(-LN(2)/25)*CL51+(1-EXP(-LN(2)/25))/(LN(2)/25)*Calculateur!CG52*Calculateur!CI52*VLOOKUP('Données projet'!$B$12,Paramètres!$A$1:$I$89,3,0)*0.475*44/12</f>
        <v>20.099160417351197</v>
      </c>
      <c r="CM52" s="21">
        <f>EXP(-LN(2)/2)*CM51+(1-EXP(-LN(2)/2))/(LN(2)/2)*CG52*CJ52*VLOOKUP('Données projet'!$B$12,Paramètres!$A$1:$I$89,3,0)*0.475*44/12</f>
        <v>3.4778641157326429E-2</v>
      </c>
      <c r="CN52" s="22">
        <f t="shared" si="12"/>
        <v>25.980655579684932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10.6</v>
      </c>
      <c r="CT52" s="12">
        <f>IF('Données projet'!$A$140&gt;35,CT51+CS52-DB51,IF(A52&lt;'Données projet'!$A$140,$CQ$205^A52,IF(A52='Données projet'!$A$140,'Données projet'!$B$140,CT51+CS52-DB51)))</f>
        <v>318.39999999999998</v>
      </c>
      <c r="CU52" s="17">
        <f>CT52*VLOOKUP('Données projet'!$B$13,Paramètres!$A$1:$I$89,3,0)*VLOOKUP('Données projet'!$B$13,Paramètres!$A$1:$I$89,5,0)</f>
        <v>253.31904</v>
      </c>
      <c r="CV52" s="13">
        <f t="shared" si="41"/>
        <v>61.296116853123188</v>
      </c>
      <c r="CW52" s="20">
        <f t="shared" si="13"/>
        <v>547.95473151918964</v>
      </c>
      <c r="CX52" s="59">
        <f t="shared" si="14"/>
        <v>841.28806485252289</v>
      </c>
      <c r="CY52" s="59">
        <f ca="1">AVERAGE(OFFSET($CX$3,0,0,'Données projet'!$E$13+1,1))-AVERAGE(OFFSET($H$3,0,0,'Données projet'!$E$13+1,1))</f>
        <v>314.94704727988847</v>
      </c>
      <c r="CZ52" s="59">
        <f t="shared" si="42"/>
        <v>366.49199094166454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2.6876997885611962</v>
      </c>
      <c r="DG52" s="21">
        <f>EXP(-LN(2)/25)*DG51+(1-EXP(-LN(2)/25))/(LN(2)/25)*Calculateur!DB52*Calculateur!DD52*VLOOKUP('Données projet'!$B$13,Paramètres!$A$1:$I$89,3,0)*0.475*44/12</f>
        <v>15.002677020659764</v>
      </c>
      <c r="DH52" s="21">
        <f>EXP(-LN(2)/2)*DH51+(1-EXP(-LN(2)/2))/(LN(2)/2)*DB52*DE52*VLOOKUP('Données projet'!$B$13,Paramètres!$A$1:$I$89,3,0)*0.475*44/12</f>
        <v>3.9870376863145873E-2</v>
      </c>
      <c r="DI52" s="22">
        <f t="shared" si="15"/>
        <v>17.730247186084107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615</v>
      </c>
      <c r="L53" s="12">
        <f>VLOOKUP(A53,'Données projet'!$A$35:$I$55,9,0)</f>
        <v>22.8</v>
      </c>
      <c r="M53" s="12">
        <f t="array" ref="M53">INDEX(L:L,MIN(IF(ISNUMBER(L53:L249),ROW(L53:L249),"")))</f>
        <v>22.8</v>
      </c>
      <c r="N53" s="13">
        <f>IF('Données projet'!$A$36&gt;35,N52+M53-V52,IF(A53&lt;'Données projet'!$A$36,$K$205^A53,IF(A53='Données projet'!$A$36,'Données projet'!$B$36,N52+M53-V52)))</f>
        <v>614.99999999999989</v>
      </c>
      <c r="O53" s="13">
        <f>N53*VLOOKUP('Données projet'!$B$9,Paramètres!$A$1:$I$89,3,0)*VLOOKUP('Données projet'!$B$9,Paramètres!$A$1:$I$89,5,0)</f>
        <v>343.78499999999991</v>
      </c>
      <c r="P53" s="13">
        <f t="shared" si="33"/>
        <v>80.281446809317075</v>
      </c>
      <c r="Q53" s="20">
        <f t="shared" si="53"/>
        <v>738.58239485956028</v>
      </c>
      <c r="R53" s="59">
        <f t="shared" si="0"/>
        <v>1031.9157281928935</v>
      </c>
      <c r="S53" s="59">
        <f ca="1">AVERAGE(OFFSET($R$3,0,0,'Données projet'!$E$9+1,1))-AVERAGE(OFFSET($H$3,0,0,'Données projet'!$E$9+1,1))</f>
        <v>415.91544298418842</v>
      </c>
      <c r="T53" s="59">
        <f t="shared" si="34"/>
        <v>422.79312683312583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129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7.6849977517271402</v>
      </c>
      <c r="AA53" s="21">
        <f>EXP(-LN(2)/25)*AA52+(1-EXP(-LN(2)/25))/(LN(2)/25)*Calculateur!V53*Calculateur!X53*VLOOKUP('Données projet'!$B$9,Paramètres!$A$1:$I$89,3,0)*0.475*44/12</f>
        <v>22.261435314181455</v>
      </c>
      <c r="AB53" s="21">
        <f>EXP(-LN(2)/2)*AB52+(1-EXP(-LN(2)/2))/(LN(2)/2)*V53*Y53*VLOOKUP('Données projet'!$B$9,Paramètres!$A$1:$I$89,3,0)*0.475*44/12</f>
        <v>3.5617081401400484E-2</v>
      </c>
      <c r="AC53" s="22">
        <f t="shared" si="3"/>
        <v>29.982050147309995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456</v>
      </c>
      <c r="AG53" s="12">
        <f>VLOOKUP(A53,'Données projet'!$A$61:$I$81,9,0)</f>
        <v>17.100000000000001</v>
      </c>
      <c r="AH53" s="12">
        <f t="array" ref="AH53">INDEX(AG:AG,MIN(IF(ISNUMBER(AG53:AG249),ROW(AG53:AG249),"")))</f>
        <v>17.100000000000001</v>
      </c>
      <c r="AI53" s="13">
        <f>IF('Données projet'!$A$62&gt;35,AI52+AH53-AQ52,IF(A53&lt;'Données projet'!$A$62,$AF$205^A53,IF(A53='Données projet'!$A$62,'Données projet'!$B$62,AI52+AH53-AQ52)))</f>
        <v>456.00000000000045</v>
      </c>
      <c r="AJ53" s="13">
        <f>AI53*VLOOKUP('Données projet'!$B$10,Paramètres!$A$1:$I$89,3,0)*VLOOKUP('Données projet'!$B$10,Paramètres!$A$1:$I$89,5,0)</f>
        <v>272.68800000000027</v>
      </c>
      <c r="AK53" s="13">
        <f t="shared" si="35"/>
        <v>65.419401413587593</v>
      </c>
      <c r="AL53" s="20">
        <f t="shared" si="4"/>
        <v>588.87039079533213</v>
      </c>
      <c r="AM53" s="59">
        <f t="shared" si="5"/>
        <v>882.2037241286655</v>
      </c>
      <c r="AN53" s="59">
        <f ca="1">AVERAGE(OFFSET($AM$3,0,0,'Données projet'!$E$10+1,1))-AVERAGE(OFFSET($H$3,0,0,'Données projet'!$E$10+1,1))</f>
        <v>311.06126148520821</v>
      </c>
      <c r="AO53" s="59">
        <f t="shared" si="36"/>
        <v>321.1728368524748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94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2.3542413831400899</v>
      </c>
      <c r="AV53" s="21">
        <f>EXP(-LN(2)/25)*AV52+(1-EXP(-LN(2)/25))/(LN(2)/25)*Calculateur!AQ53*Calculateur!AS53*VLOOKUP('Données projet'!$B$10,Paramètres!$A$1:$I$89,3,0)*0.475*44/12</f>
        <v>12.256449587999406</v>
      </c>
      <c r="AW53" s="21">
        <f>EXP(-LN(2)/2)*AW52+(1-EXP(-LN(2)/2))/(LN(2)/2)*AQ53*AT53*VLOOKUP('Données projet'!$B$10,Paramètres!$A$1:$I$89,3,0)*0.475*44/12</f>
        <v>2.9593099722821304E-2</v>
      </c>
      <c r="AX53" s="21">
        <f t="shared" si="6"/>
        <v>14.640284070862316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663</v>
      </c>
      <c r="BB53" s="12">
        <f>VLOOKUP(A53,'Données projet'!$A$87:$I$107,9,0)</f>
        <v>25.3</v>
      </c>
      <c r="BC53" s="12">
        <f t="array" ref="BC53">INDEX(BB:BB,MIN(IF(ISNUMBER(BB53:BB249),ROW(BB53:BB249),"")))</f>
        <v>25.3</v>
      </c>
      <c r="BD53" s="12">
        <f>IF('Données projet'!$A$88&gt;35,BD52+BC53-BL52,IF(A53&lt;'Données projet'!$A$88,$BA$205^A53,IF(A53='Données projet'!$A$88,'Données projet'!$B$88,BD52+BC53-BL52)))</f>
        <v>662.99999999999989</v>
      </c>
      <c r="BE53" s="13">
        <f>BD53*VLOOKUP('Données projet'!$B$11,Paramètres!$A$1:$I$89,3,0)*VLOOKUP('Données projet'!$B$11,Paramètres!$A$1:$I$89,5,0)</f>
        <v>318.90299999999996</v>
      </c>
      <c r="BF53" s="13">
        <f t="shared" si="37"/>
        <v>75.125055880226313</v>
      </c>
      <c r="BG53" s="20">
        <f t="shared" si="7"/>
        <v>686.26553065806058</v>
      </c>
      <c r="BH53" s="59">
        <f t="shared" si="8"/>
        <v>979.59886399139396</v>
      </c>
      <c r="BI53" s="59">
        <f ca="1">AVERAGE(OFFSET($BH$3,0,0,'Données projet'!$E$11+1,1))-AVERAGE(OFFSET($H$3,0,0,'Données projet'!$E$11+1,1))</f>
        <v>371.85813103419366</v>
      </c>
      <c r="BJ53" s="59">
        <f t="shared" si="38"/>
        <v>370.01698880104584</v>
      </c>
      <c r="BK53" s="15">
        <f>IF(ISNA(VLOOKUP(A53,'Données projet'!$A$87:$I$107,3,0)),0,VLOOKUP(A53,'Données projet'!$A$87:$I$107,3,0))</f>
        <v>5</v>
      </c>
      <c r="BL53" s="15">
        <f>IF(ISNA(VLOOKUP(A53,'Données projet'!$A$87:$I$107,4,0)),0,VLOOKUP(A53,'Données projet'!$A$87:$I$107,4,0))</f>
        <v>140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18.704079557292602</v>
      </c>
      <c r="BQ53" s="21">
        <f>EXP(-LN(2)/25)*BQ52+(1-EXP(-LN(2)/25))/(LN(2)/25)*Calculateur!BL53*Calculateur!BN53*VLOOKUP('Données projet'!$B$11,Paramètres!$A$1:$I$89,3,0)*0.475*44/12</f>
        <v>25.897786779105758</v>
      </c>
      <c r="BR53" s="21">
        <f>EXP(-LN(2)/2)*BR52+(1-EXP(-LN(2)/2))/(LN(2)/2)*BL53*BO53*VLOOKUP('Données projet'!$B$11,Paramètres!$A$1:$I$89,3,0)*0.475*44/12</f>
        <v>0.8638903060087485</v>
      </c>
      <c r="BS53" s="22">
        <f t="shared" si="9"/>
        <v>45.465756642407108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395</v>
      </c>
      <c r="BW53" s="12">
        <f>VLOOKUP(A53,'Données projet'!$A$113:$I$133,9,0)</f>
        <v>13.1</v>
      </c>
      <c r="BX53" s="12">
        <f t="array" ref="BX53">INDEX(BW:BW,MIN(IF(ISNUMBER(BW53:BW249),ROW(BW53:BW249),"")))</f>
        <v>13.1</v>
      </c>
      <c r="BY53" s="12">
        <f>IF('Données projet'!$A$114&gt;35,BY52+BX53-CG52,IF(A53&lt;'Données projet'!$A$114,$BV$205^A53,IF(A53='Données projet'!$A$114,'Données projet'!$B$114,BY52+BX53-CG52)))</f>
        <v>395.00000000000011</v>
      </c>
      <c r="BZ53" s="13">
        <f>BY53*VLOOKUP('Données projet'!$B$12,Paramètres!$A$1:$I$89,3,0)*VLOOKUP('Données projet'!$B$12,Paramètres!$A$1:$I$89,5,0)</f>
        <v>215.67000000000004</v>
      </c>
      <c r="CA53" s="13">
        <f t="shared" si="39"/>
        <v>53.17269561771495</v>
      </c>
      <c r="CB53" s="20">
        <f t="shared" si="10"/>
        <v>468.23436153418692</v>
      </c>
      <c r="CC53" s="59">
        <f t="shared" si="11"/>
        <v>761.56769486752023</v>
      </c>
      <c r="CD53" s="59">
        <f ca="1">AVERAGE(OFFSET($CC$3,0,0,'Données projet'!$E$12+1,1))-AVERAGE(OFFSET($H$3,0,0,'Données projet'!$E$12+1,1))</f>
        <v>248.1486444660062</v>
      </c>
      <c r="CE53" s="59">
        <f t="shared" si="40"/>
        <v>293.34458072322127</v>
      </c>
      <c r="CF53" s="15">
        <f>IF(ISNA(VLOOKUP(A53,'Données projet'!$A$113:$I$133,3,0)),0,VLOOKUP(A53,'Données projet'!$A$113:$I$133,3,0))</f>
        <v>5</v>
      </c>
      <c r="CG53" s="15">
        <f>IF(ISNA(VLOOKUP(A53,'Données projet'!$A$113:$I$133,4,0)),0,VLOOKUP(A53,'Données projet'!$A$113:$I$133,4,0))</f>
        <v>75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5.7320659763410875</v>
      </c>
      <c r="CL53" s="21">
        <f>EXP(-LN(2)/25)*CL52+(1-EXP(-LN(2)/25))/(LN(2)/25)*Calculateur!CG53*Calculateur!CI53*VLOOKUP('Données projet'!$B$12,Paramètres!$A$1:$I$89,3,0)*0.475*44/12</f>
        <v>19.54954781876982</v>
      </c>
      <c r="CM53" s="21">
        <f>EXP(-LN(2)/2)*CM52+(1-EXP(-LN(2)/2))/(LN(2)/2)*CG53*CJ53*VLOOKUP('Données projet'!$B$12,Paramètres!$A$1:$I$89,3,0)*0.475*44/12</f>
        <v>2.4592213002799075E-2</v>
      </c>
      <c r="CN53" s="22">
        <f t="shared" si="12"/>
        <v>25.306206008113705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329</v>
      </c>
      <c r="CR53" s="12">
        <f>VLOOKUP(A53,'Données projet'!$A$139:$I$159,9,0)</f>
        <v>10.6</v>
      </c>
      <c r="CS53" s="12">
        <f t="array" ref="CS53">INDEX(CR:CR,MIN(IF(ISNUMBER(CR53:CR249),ROW(CR53:CR249),"")))</f>
        <v>10.6</v>
      </c>
      <c r="CT53" s="12">
        <f>IF('Données projet'!$A$140&gt;35,CT52+CS53-DB52,IF(A53&lt;'Données projet'!$A$140,$CQ$205^A53,IF(A53='Données projet'!$A$140,'Données projet'!$B$140,CT52+CS53-DB52)))</f>
        <v>329</v>
      </c>
      <c r="CU53" s="17">
        <f>CT53*VLOOKUP('Données projet'!$B$13,Paramètres!$A$1:$I$89,3,0)*VLOOKUP('Données projet'!$B$13,Paramètres!$A$1:$I$89,5,0)</f>
        <v>261.75240000000002</v>
      </c>
      <c r="CV53" s="13">
        <f t="shared" si="41"/>
        <v>63.095772658161032</v>
      </c>
      <c r="CW53" s="20">
        <f t="shared" si="13"/>
        <v>565.77723404629717</v>
      </c>
      <c r="CX53" s="59">
        <f t="shared" si="14"/>
        <v>859.11056737963054</v>
      </c>
      <c r="CY53" s="59">
        <f ca="1">AVERAGE(OFFSET($CX$3,0,0,'Données projet'!$E$13+1,1))-AVERAGE(OFFSET($H$3,0,0,'Données projet'!$E$13+1,1))</f>
        <v>314.94704727988847</v>
      </c>
      <c r="CZ53" s="59">
        <f t="shared" si="42"/>
        <v>366.49199094166454</v>
      </c>
      <c r="DA53" s="15">
        <f>IF(ISNA(VLOOKUP(A53,'Données projet'!$A$139:$I$159,3,0)),0,VLOOKUP(A53,'Données projet'!$A$139:$I$159,3,0))</f>
        <v>5</v>
      </c>
      <c r="DB53" s="15">
        <f>IF(ISNA(VLOOKUP(A53,'Données projet'!$A$139:$I$159,4,0)),0,VLOOKUP(A53,'Données projet'!$A$139:$I$159,4,0))</f>
        <v>47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2.6349956350425114</v>
      </c>
      <c r="DG53" s="21">
        <f>EXP(-LN(2)/25)*DG52+(1-EXP(-LN(2)/25))/(LN(2)/25)*Calculateur!DB53*Calculateur!DD53*VLOOKUP('Données projet'!$B$13,Paramètres!$A$1:$I$89,3,0)*0.475*44/12</f>
        <v>14.592428028573327</v>
      </c>
      <c r="DH53" s="21">
        <f>EXP(-LN(2)/2)*DH52+(1-EXP(-LN(2)/2))/(LN(2)/2)*DB53*DE53*VLOOKUP('Données projet'!$B$13,Paramètres!$A$1:$I$89,3,0)*0.475*44/12</f>
        <v>2.8192613848393677E-2</v>
      </c>
      <c r="DI53" s="22">
        <f t="shared" si="15"/>
        <v>17.255616277464231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19.3</v>
      </c>
      <c r="N54" s="13">
        <f>IF('Données projet'!$A$36&gt;35,N53+M54-V53,IF(A54&lt;'Données projet'!$A$36,$K$205^A54,IF(A54='Données projet'!$A$36,'Données projet'!$B$36,N53+M54-V53)))</f>
        <v>505.29999999999984</v>
      </c>
      <c r="O54" s="13">
        <f>N54*VLOOKUP('Données projet'!$B$9,Paramètres!$A$1:$I$89,3,0)*VLOOKUP('Données projet'!$B$9,Paramètres!$A$1:$I$89,5,0)</f>
        <v>282.46269999999993</v>
      </c>
      <c r="P54" s="13">
        <f t="shared" si="33"/>
        <v>67.487182645718548</v>
      </c>
      <c r="Q54" s="20">
        <f t="shared" si="53"/>
        <v>609.49604560795967</v>
      </c>
      <c r="R54" s="59">
        <f t="shared" si="0"/>
        <v>902.82937894129304</v>
      </c>
      <c r="S54" s="59">
        <f ca="1">AVERAGE(OFFSET($R$3,0,0,'Données projet'!$E$9+1,1))-AVERAGE(OFFSET($H$3,0,0,'Données projet'!$E$9+1,1))</f>
        <v>415.91544298418842</v>
      </c>
      <c r="T54" s="59">
        <f t="shared" si="34"/>
        <v>422.79312683312583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7.5342996332015586</v>
      </c>
      <c r="AA54" s="21">
        <f>EXP(-LN(2)/25)*AA53+(1-EXP(-LN(2)/25))/(LN(2)/25)*Calculateur!V54*Calculateur!X54*VLOOKUP('Données projet'!$B$9,Paramètres!$A$1:$I$89,3,0)*0.475*44/12</f>
        <v>21.652695194837158</v>
      </c>
      <c r="AB54" s="21">
        <f>EXP(-LN(2)/2)*AB53+(1-EXP(-LN(2)/2))/(LN(2)/2)*V54*Y54*VLOOKUP('Données projet'!$B$9,Paramètres!$A$1:$I$89,3,0)*0.475*44/12</f>
        <v>2.5185079785003544E-2</v>
      </c>
      <c r="AC54" s="22">
        <f t="shared" si="3"/>
        <v>29.212179907823721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14.4</v>
      </c>
      <c r="AI54" s="13">
        <f>IF('Données projet'!$A$62&gt;35,AI53+AH54-AQ53,IF(A54&lt;'Données projet'!$A$62,$AF$205^A54,IF(A54='Données projet'!$A$62,'Données projet'!$B$62,AI53+AH54-AQ53)))</f>
        <v>376.40000000000043</v>
      </c>
      <c r="AJ54" s="13">
        <f>AI54*VLOOKUP('Données projet'!$B$10,Paramètres!$A$1:$I$89,3,0)*VLOOKUP('Données projet'!$B$10,Paramètres!$A$1:$I$89,5,0)</f>
        <v>225.08720000000028</v>
      </c>
      <c r="AK54" s="13">
        <f t="shared" si="35"/>
        <v>55.219088139446988</v>
      </c>
      <c r="AL54" s="20">
        <f t="shared" si="4"/>
        <v>488.20011850953728</v>
      </c>
      <c r="AM54" s="59">
        <f t="shared" si="5"/>
        <v>781.53345184287059</v>
      </c>
      <c r="AN54" s="59">
        <f ca="1">AVERAGE(OFFSET($AM$3,0,0,'Données projet'!$E$10+1,1))-AVERAGE(OFFSET($H$3,0,0,'Données projet'!$E$10+1,1))</f>
        <v>311.06126148520821</v>
      </c>
      <c r="AO54" s="59">
        <f t="shared" si="36"/>
        <v>321.1728368524748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2.3080761455621688</v>
      </c>
      <c r="AV54" s="21">
        <f>EXP(-LN(2)/25)*AV53+(1-EXP(-LN(2)/25))/(LN(2)/25)*Calculateur!AQ54*Calculateur!AS54*VLOOKUP('Données projet'!$B$10,Paramètres!$A$1:$I$89,3,0)*0.475*44/12</f>
        <v>11.92129632947689</v>
      </c>
      <c r="AW54" s="21">
        <f>EXP(-LN(2)/2)*AW53+(1-EXP(-LN(2)/2))/(LN(2)/2)*AQ54*AT54*VLOOKUP('Données projet'!$B$10,Paramètres!$A$1:$I$89,3,0)*0.475*44/12</f>
        <v>2.0925481490336684E-2</v>
      </c>
      <c r="AX54" s="21">
        <f t="shared" si="6"/>
        <v>14.250297956529396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22.9</v>
      </c>
      <c r="BD54" s="12">
        <f>IF('Données projet'!$A$88&gt;35,BD53+BC54-BL53,IF(A54&lt;'Données projet'!$A$88,$BA$205^A54,IF(A54='Données projet'!$A$88,'Données projet'!$B$88,BD53+BC54-BL53)))</f>
        <v>545.89999999999986</v>
      </c>
      <c r="BE54" s="13">
        <f>BD54*VLOOKUP('Données projet'!$B$11,Paramètres!$A$1:$I$89,3,0)*VLOOKUP('Données projet'!$B$11,Paramètres!$A$1:$I$89,5,0)</f>
        <v>262.57789999999994</v>
      </c>
      <c r="BF54" s="13">
        <f t="shared" si="37"/>
        <v>63.271566131751015</v>
      </c>
      <c r="BG54" s="20">
        <f t="shared" si="7"/>
        <v>567.52115351279951</v>
      </c>
      <c r="BH54" s="59">
        <f t="shared" si="8"/>
        <v>860.85448684613289</v>
      </c>
      <c r="BI54" s="59">
        <f ca="1">AVERAGE(OFFSET($BH$3,0,0,'Données projet'!$E$11+1,1))-AVERAGE(OFFSET($H$3,0,0,'Données projet'!$E$11+1,1))</f>
        <v>371.85813103419366</v>
      </c>
      <c r="BJ54" s="59">
        <f t="shared" si="38"/>
        <v>370.01698880104584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18.33730396553614</v>
      </c>
      <c r="BQ54" s="21">
        <f>EXP(-LN(2)/25)*BQ53+(1-EXP(-LN(2)/25))/(LN(2)/25)*Calculateur!BL54*Calculateur!BN54*VLOOKUP('Données projet'!$B$11,Paramètres!$A$1:$I$89,3,0)*0.475*44/12</f>
        <v>25.189610437725694</v>
      </c>
      <c r="BR54" s="21">
        <f>EXP(-LN(2)/2)*BR53+(1-EXP(-LN(2)/2))/(LN(2)/2)*BL54*BO54*VLOOKUP('Données projet'!$B$11,Paramètres!$A$1:$I$89,3,0)*0.475*44/12</f>
        <v>0.6108626935801077</v>
      </c>
      <c r="BS54" s="22">
        <f t="shared" si="9"/>
        <v>44.137777096841944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11.3</v>
      </c>
      <c r="BY54" s="12">
        <f>IF('Données projet'!$A$114&gt;35,BY53+BX54-CG53,IF(A54&lt;'Données projet'!$A$114,$BV$205^A54,IF(A54='Données projet'!$A$114,'Données projet'!$B$114,BY53+BX54-CG53)))</f>
        <v>331.30000000000013</v>
      </c>
      <c r="BZ54" s="13">
        <f>BY54*VLOOKUP('Données projet'!$B$12,Paramètres!$A$1:$I$89,3,0)*VLOOKUP('Données projet'!$B$12,Paramètres!$A$1:$I$89,5,0)</f>
        <v>180.88980000000006</v>
      </c>
      <c r="CA54" s="13">
        <f t="shared" si="39"/>
        <v>45.520093422801835</v>
      </c>
      <c r="CB54" s="20">
        <f t="shared" si="10"/>
        <v>394.33056437804663</v>
      </c>
      <c r="CC54" s="59">
        <f t="shared" si="11"/>
        <v>687.66389771137995</v>
      </c>
      <c r="CD54" s="59">
        <f ca="1">AVERAGE(OFFSET($CC$3,0,0,'Données projet'!$E$12+1,1))-AVERAGE(OFFSET($H$3,0,0,'Données projet'!$E$12+1,1))</f>
        <v>248.1486444660062</v>
      </c>
      <c r="CE54" s="59">
        <f t="shared" si="40"/>
        <v>293.34458072322127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5.6196636587600617</v>
      </c>
      <c r="CL54" s="21">
        <f>EXP(-LN(2)/25)*CL53+(1-EXP(-LN(2)/25))/(LN(2)/25)*Calculateur!CG54*Calculateur!CI54*VLOOKUP('Données projet'!$B$12,Paramètres!$A$1:$I$89,3,0)*0.475*44/12</f>
        <v>19.014964405599521</v>
      </c>
      <c r="CM54" s="21">
        <f>EXP(-LN(2)/2)*CM53+(1-EXP(-LN(2)/2))/(LN(2)/2)*CG54*CJ54*VLOOKUP('Données projet'!$B$12,Paramètres!$A$1:$I$89,3,0)*0.475*44/12</f>
        <v>1.7389320578663214E-2</v>
      </c>
      <c r="CN54" s="22">
        <f t="shared" si="12"/>
        <v>24.652017384938244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7.9</v>
      </c>
      <c r="CT54" s="12">
        <f>IF('Données projet'!$A$140&gt;35,CT53+CS54-DB53,IF(A54&lt;'Données projet'!$A$140,$CQ$205^A54,IF(A54='Données projet'!$A$140,'Données projet'!$B$140,CT53+CS54-DB53)))</f>
        <v>289.89999999999998</v>
      </c>
      <c r="CU54" s="17">
        <f>CT54*VLOOKUP('Données projet'!$B$13,Paramètres!$A$1:$I$89,3,0)*VLOOKUP('Données projet'!$B$13,Paramètres!$A$1:$I$89,5,0)</f>
        <v>230.64444</v>
      </c>
      <c r="CV54" s="13">
        <f t="shared" si="41"/>
        <v>56.422001826959672</v>
      </c>
      <c r="CW54" s="20">
        <f t="shared" si="13"/>
        <v>499.97405284862151</v>
      </c>
      <c r="CX54" s="59">
        <f t="shared" si="14"/>
        <v>793.30738618195483</v>
      </c>
      <c r="CY54" s="59">
        <f ca="1">AVERAGE(OFFSET($CX$3,0,0,'Données projet'!$E$13+1,1))-AVERAGE(OFFSET($H$3,0,0,'Données projet'!$E$13+1,1))</f>
        <v>314.94704727988847</v>
      </c>
      <c r="CZ54" s="59">
        <f t="shared" si="42"/>
        <v>366.49199094166454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2.5833249778279685</v>
      </c>
      <c r="DG54" s="21">
        <f>EXP(-LN(2)/25)*DG53+(1-EXP(-LN(2)/25))/(LN(2)/25)*Calculateur!DB54*Calculateur!DD54*VLOOKUP('Données projet'!$B$13,Paramètres!$A$1:$I$89,3,0)*0.475*44/12</f>
        <v>14.19339731674955</v>
      </c>
      <c r="DH54" s="21">
        <f>EXP(-LN(2)/2)*DH53+(1-EXP(-LN(2)/2))/(LN(2)/2)*DB54*DE54*VLOOKUP('Données projet'!$B$13,Paramètres!$A$1:$I$89,3,0)*0.475*44/12</f>
        <v>1.9935188431572937E-2</v>
      </c>
      <c r="DI54" s="22">
        <f t="shared" si="15"/>
        <v>16.796657483009092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19.3</v>
      </c>
      <c r="N55" s="13">
        <f>IF('Données projet'!$A$36&gt;35,N54+M55-V54,IF(A55&lt;'Données projet'!$A$36,$K$205^A55,IF(A55='Données projet'!$A$36,'Données projet'!$B$36,N54+M55-V54)))</f>
        <v>524.5999999999998</v>
      </c>
      <c r="O55" s="13">
        <f>N55*VLOOKUP('Données projet'!$B$9,Paramètres!$A$1:$I$89,3,0)*VLOOKUP('Données projet'!$B$9,Paramètres!$A$1:$I$89,5,0)</f>
        <v>293.25139999999988</v>
      </c>
      <c r="P55" s="13">
        <f t="shared" si="33"/>
        <v>69.759829754702025</v>
      </c>
      <c r="Q55" s="20">
        <f t="shared" si="53"/>
        <v>632.2445584894391</v>
      </c>
      <c r="R55" s="59">
        <f t="shared" si="0"/>
        <v>925.57789182277247</v>
      </c>
      <c r="S55" s="59">
        <f ca="1">AVERAGE(OFFSET($R$3,0,0,'Données projet'!$E$9+1,1))-AVERAGE(OFFSET($H$3,0,0,'Données projet'!$E$9+1,1))</f>
        <v>415.91544298418842</v>
      </c>
      <c r="T55" s="59">
        <f t="shared" si="34"/>
        <v>422.79312683312583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7.3865566128634876</v>
      </c>
      <c r="AA55" s="21">
        <f>EXP(-LN(2)/25)*AA54+(1-EXP(-LN(2)/25))/(LN(2)/25)*Calculateur!V55*Calculateur!X55*VLOOKUP('Données projet'!$B$9,Paramètres!$A$1:$I$89,3,0)*0.475*44/12</f>
        <v>21.060601106068582</v>
      </c>
      <c r="AB55" s="21">
        <f>EXP(-LN(2)/2)*AB54+(1-EXP(-LN(2)/2))/(LN(2)/2)*V55*Y55*VLOOKUP('Données projet'!$B$9,Paramètres!$A$1:$I$89,3,0)*0.475*44/12</f>
        <v>1.7808540700700242E-2</v>
      </c>
      <c r="AC55" s="22">
        <f t="shared" si="3"/>
        <v>28.464966259632767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14.4</v>
      </c>
      <c r="AI55" s="13">
        <f>IF('Données projet'!$A$62&gt;35,AI54+AH55-AQ54,IF(A55&lt;'Données projet'!$A$62,$AF$205^A55,IF(A55='Données projet'!$A$62,'Données projet'!$B$62,AI54+AH55-AQ54)))</f>
        <v>390.80000000000041</v>
      </c>
      <c r="AJ55" s="13">
        <f>AI55*VLOOKUP('Données projet'!$B$10,Paramètres!$A$1:$I$89,3,0)*VLOOKUP('Données projet'!$B$10,Paramètres!$A$1:$I$89,5,0)</f>
        <v>233.69840000000028</v>
      </c>
      <c r="AK55" s="13">
        <f t="shared" si="35"/>
        <v>57.081618134454224</v>
      </c>
      <c r="AL55" s="20">
        <f t="shared" si="4"/>
        <v>506.44186491750833</v>
      </c>
      <c r="AM55" s="59">
        <f t="shared" si="5"/>
        <v>799.77519825084164</v>
      </c>
      <c r="AN55" s="59">
        <f ca="1">AVERAGE(OFFSET($AM$3,0,0,'Données projet'!$E$10+1,1))-AVERAGE(OFFSET($H$3,0,0,'Données projet'!$E$10+1,1))</f>
        <v>311.06126148520821</v>
      </c>
      <c r="AO55" s="59">
        <f t="shared" si="36"/>
        <v>321.1728368524748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2.2628161801351361</v>
      </c>
      <c r="AV55" s="21">
        <f>EXP(-LN(2)/25)*AV54+(1-EXP(-LN(2)/25))/(LN(2)/25)*Calculateur!AQ55*Calculateur!AS55*VLOOKUP('Données projet'!$B$10,Paramètres!$A$1:$I$89,3,0)*0.475*44/12</f>
        <v>11.595307854433617</v>
      </c>
      <c r="AW55" s="21">
        <f>EXP(-LN(2)/2)*AW54+(1-EXP(-LN(2)/2))/(LN(2)/2)*AQ55*AT55*VLOOKUP('Données projet'!$B$10,Paramètres!$A$1:$I$89,3,0)*0.475*44/12</f>
        <v>1.4796549861410652E-2</v>
      </c>
      <c r="AX55" s="21">
        <f t="shared" si="6"/>
        <v>13.872920584430164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22.9</v>
      </c>
      <c r="BD55" s="12">
        <f>IF('Données projet'!$A$88&gt;35,BD54+BC55-BL54,IF(A55&lt;'Données projet'!$A$88,$BA$205^A55,IF(A55='Données projet'!$A$88,'Données projet'!$B$88,BD54+BC55-BL54)))</f>
        <v>568.79999999999984</v>
      </c>
      <c r="BE55" s="13">
        <f>BD55*VLOOKUP('Données projet'!$B$11,Paramètres!$A$1:$I$89,3,0)*VLOOKUP('Données projet'!$B$11,Paramètres!$A$1:$I$89,5,0)</f>
        <v>273.5927999999999</v>
      </c>
      <c r="BF55" s="13">
        <f t="shared" si="37"/>
        <v>65.61116452438678</v>
      </c>
      <c r="BG55" s="20">
        <f t="shared" si="7"/>
        <v>590.78023821330669</v>
      </c>
      <c r="BH55" s="59">
        <f t="shared" si="8"/>
        <v>884.11357154664006</v>
      </c>
      <c r="BI55" s="59">
        <f ca="1">AVERAGE(OFFSET($BH$3,0,0,'Données projet'!$E$11+1,1))-AVERAGE(OFFSET($H$3,0,0,'Données projet'!$E$11+1,1))</f>
        <v>371.85813103419366</v>
      </c>
      <c r="BJ55" s="59">
        <f t="shared" si="38"/>
        <v>370.01698880104584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17.977720619423003</v>
      </c>
      <c r="BQ55" s="21">
        <f>EXP(-LN(2)/25)*BQ54+(1-EXP(-LN(2)/25))/(LN(2)/25)*Calculateur!BL55*Calculateur!BN55*VLOOKUP('Données projet'!$B$11,Paramètres!$A$1:$I$89,3,0)*0.475*44/12</f>
        <v>24.500799215642044</v>
      </c>
      <c r="BR55" s="21">
        <f>EXP(-LN(2)/2)*BR54+(1-EXP(-LN(2)/2))/(LN(2)/2)*BL55*BO55*VLOOKUP('Données projet'!$B$11,Paramètres!$A$1:$I$89,3,0)*0.475*44/12</f>
        <v>0.43194515300437425</v>
      </c>
      <c r="BS55" s="22">
        <f t="shared" si="9"/>
        <v>42.910464988069414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11.3</v>
      </c>
      <c r="BY55" s="12">
        <f>IF('Données projet'!$A$114&gt;35,BY54+BX55-CG54,IF(A55&lt;'Données projet'!$A$114,$BV$205^A55,IF(A55='Données projet'!$A$114,'Données projet'!$B$114,BY54+BX55-CG54)))</f>
        <v>342.60000000000014</v>
      </c>
      <c r="BZ55" s="13">
        <f>BY55*VLOOKUP('Données projet'!$B$12,Paramètres!$A$1:$I$89,3,0)*VLOOKUP('Données projet'!$B$12,Paramètres!$A$1:$I$89,5,0)</f>
        <v>187.05960000000007</v>
      </c>
      <c r="CA55" s="13">
        <f t="shared" si="39"/>
        <v>46.889283237928652</v>
      </c>
      <c r="CB55" s="20">
        <f t="shared" si="10"/>
        <v>407.46097163939248</v>
      </c>
      <c r="CC55" s="59">
        <f t="shared" si="11"/>
        <v>700.79430497272574</v>
      </c>
      <c r="CD55" s="59">
        <f ca="1">AVERAGE(OFFSET($CC$3,0,0,'Données projet'!$E$12+1,1))-AVERAGE(OFFSET($H$3,0,0,'Données projet'!$E$12+1,1))</f>
        <v>248.1486444660062</v>
      </c>
      <c r="CE55" s="59">
        <f t="shared" si="40"/>
        <v>293.34458072322127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5.5094654820681557</v>
      </c>
      <c r="CL55" s="21">
        <f>EXP(-LN(2)/25)*CL54+(1-EXP(-LN(2)/25))/(LN(2)/25)*Calculateur!CG55*Calculateur!CI55*VLOOKUP('Données projet'!$B$12,Paramètres!$A$1:$I$89,3,0)*0.475*44/12</f>
        <v>18.494999203974885</v>
      </c>
      <c r="CM55" s="21">
        <f>EXP(-LN(2)/2)*CM54+(1-EXP(-LN(2)/2))/(LN(2)/2)*CG55*CJ55*VLOOKUP('Données projet'!$B$12,Paramètres!$A$1:$I$89,3,0)*0.475*44/12</f>
        <v>1.2296106501399538E-2</v>
      </c>
      <c r="CN55" s="22">
        <f t="shared" si="12"/>
        <v>24.016760792544439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7.9</v>
      </c>
      <c r="CT55" s="12">
        <f>IF('Données projet'!$A$140&gt;35,CT54+CS55-DB54,IF(A55&lt;'Données projet'!$A$140,$CQ$205^A55,IF(A55='Données projet'!$A$140,'Données projet'!$B$140,CT54+CS55-DB54)))</f>
        <v>297.79999999999995</v>
      </c>
      <c r="CU55" s="17">
        <f>CT55*VLOOKUP('Données projet'!$B$13,Paramètres!$A$1:$I$89,3,0)*VLOOKUP('Données projet'!$B$13,Paramètres!$A$1:$I$89,5,0)</f>
        <v>236.92967999999999</v>
      </c>
      <c r="CV55" s="13">
        <f t="shared" si="41"/>
        <v>57.778441972760355</v>
      </c>
      <c r="CW55" s="20">
        <f t="shared" si="13"/>
        <v>513.28331243589093</v>
      </c>
      <c r="CX55" s="59">
        <f t="shared" si="14"/>
        <v>806.61664576922431</v>
      </c>
      <c r="CY55" s="59">
        <f ca="1">AVERAGE(OFFSET($CX$3,0,0,'Données projet'!$E$13+1,1))-AVERAGE(OFFSET($H$3,0,0,'Données projet'!$E$13+1,1))</f>
        <v>314.94704727988847</v>
      </c>
      <c r="CZ55" s="59">
        <f t="shared" si="42"/>
        <v>366.49199094166454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2.5326675506854137</v>
      </c>
      <c r="DG55" s="21">
        <f>EXP(-LN(2)/25)*DG54+(1-EXP(-LN(2)/25))/(LN(2)/25)*Calculateur!DB55*Calculateur!DD55*VLOOKUP('Données projet'!$B$13,Paramètres!$A$1:$I$89,3,0)*0.475*44/12</f>
        <v>13.805278120724708</v>
      </c>
      <c r="DH55" s="21">
        <f>EXP(-LN(2)/2)*DH54+(1-EXP(-LN(2)/2))/(LN(2)/2)*DB55*DE55*VLOOKUP('Données projet'!$B$13,Paramètres!$A$1:$I$89,3,0)*0.475*44/12</f>
        <v>1.4096306924196838E-2</v>
      </c>
      <c r="DI55" s="22">
        <f t="shared" si="15"/>
        <v>16.35204197833432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19.3</v>
      </c>
      <c r="N56" s="13">
        <f>IF('Données projet'!$A$36&gt;35,N55+M56-V55,IF(A56&lt;'Données projet'!$A$36,$K$205^A56,IF(A56='Données projet'!$A$36,'Données projet'!$B$36,N55+M56-V55)))</f>
        <v>543.89999999999975</v>
      </c>
      <c r="O56" s="13">
        <f>N56*VLOOKUP('Données projet'!$B$9,Paramètres!$A$1:$I$89,3,0)*VLOOKUP('Données projet'!$B$9,Paramètres!$A$1:$I$89,5,0)</f>
        <v>304.04009999999988</v>
      </c>
      <c r="P56" s="13">
        <f t="shared" si="33"/>
        <v>72.022763091018376</v>
      </c>
      <c r="Q56" s="20">
        <f t="shared" si="53"/>
        <v>654.97615321685669</v>
      </c>
      <c r="R56" s="59">
        <f t="shared" si="0"/>
        <v>948.30948655019006</v>
      </c>
      <c r="S56" s="59">
        <f ca="1">AVERAGE(OFFSET($R$3,0,0,'Données projet'!$E$9+1,1))-AVERAGE(OFFSET($H$3,0,0,'Données projet'!$E$9+1,1))</f>
        <v>415.91544298418842</v>
      </c>
      <c r="T56" s="59">
        <f t="shared" si="34"/>
        <v>422.79312683312583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7.2417107430399019</v>
      </c>
      <c r="AA56" s="21">
        <f>EXP(-LN(2)/25)*AA55+(1-EXP(-LN(2)/25))/(LN(2)/25)*Calculateur!V56*Calculateur!X56*VLOOKUP('Données projet'!$B$9,Paramètres!$A$1:$I$89,3,0)*0.475*44/12</f>
        <v>20.484697861294258</v>
      </c>
      <c r="AB56" s="21">
        <f>EXP(-LN(2)/2)*AB55+(1-EXP(-LN(2)/2))/(LN(2)/2)*V56*Y56*VLOOKUP('Données projet'!$B$9,Paramètres!$A$1:$I$89,3,0)*0.475*44/12</f>
        <v>1.2592539892501772E-2</v>
      </c>
      <c r="AC56" s="22">
        <f t="shared" si="3"/>
        <v>27.739001144226663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14.4</v>
      </c>
      <c r="AI56" s="13">
        <f>IF('Données projet'!$A$62&gt;35,AI55+AH56-AQ55,IF(A56&lt;'Données projet'!$A$62,$AF$205^A56,IF(A56='Données projet'!$A$62,'Données projet'!$B$62,AI55+AH56-AQ55)))</f>
        <v>405.20000000000039</v>
      </c>
      <c r="AJ56" s="13">
        <f>AI56*VLOOKUP('Données projet'!$B$10,Paramètres!$A$1:$I$89,3,0)*VLOOKUP('Données projet'!$B$10,Paramètres!$A$1:$I$89,5,0)</f>
        <v>242.30960000000027</v>
      </c>
      <c r="AK56" s="13">
        <f t="shared" si="35"/>
        <v>58.936174849921215</v>
      </c>
      <c r="AL56" s="20">
        <f t="shared" si="4"/>
        <v>524.66972453027984</v>
      </c>
      <c r="AM56" s="59">
        <f t="shared" si="5"/>
        <v>818.00305786361309</v>
      </c>
      <c r="AN56" s="59">
        <f ca="1">AVERAGE(OFFSET($AM$3,0,0,'Données projet'!$E$10+1,1))-AVERAGE(OFFSET($H$3,0,0,'Données projet'!$E$10+1,1))</f>
        <v>311.06126148520821</v>
      </c>
      <c r="AO56" s="59">
        <f t="shared" si="36"/>
        <v>321.1728368524748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2.2184437350242745</v>
      </c>
      <c r="AV56" s="21">
        <f>EXP(-LN(2)/25)*AV55+(1-EXP(-LN(2)/25))/(LN(2)/25)*Calculateur!AQ56*Calculateur!AS56*VLOOKUP('Données projet'!$B$10,Paramètres!$A$1:$I$89,3,0)*0.475*44/12</f>
        <v>11.278233551383391</v>
      </c>
      <c r="AW56" s="21">
        <f>EXP(-LN(2)/2)*AW55+(1-EXP(-LN(2)/2))/(LN(2)/2)*AQ56*AT56*VLOOKUP('Données projet'!$B$10,Paramètres!$A$1:$I$89,3,0)*0.475*44/12</f>
        <v>1.0462740745168342E-2</v>
      </c>
      <c r="AX56" s="21">
        <f t="shared" si="6"/>
        <v>13.507140027152834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22.9</v>
      </c>
      <c r="BD56" s="12">
        <f>IF('Données projet'!$A$88&gt;35,BD55+BC56-BL55,IF(A56&lt;'Données projet'!$A$88,$BA$205^A56,IF(A56='Données projet'!$A$88,'Données projet'!$B$88,BD55+BC56-BL55)))</f>
        <v>591.69999999999982</v>
      </c>
      <c r="BE56" s="13">
        <f>BD56*VLOOKUP('Données projet'!$B$11,Paramètres!$A$1:$I$89,3,0)*VLOOKUP('Données projet'!$B$11,Paramètres!$A$1:$I$89,5,0)</f>
        <v>284.60769999999991</v>
      </c>
      <c r="BF56" s="13">
        <f t="shared" si="37"/>
        <v>67.939821416139026</v>
      </c>
      <c r="BG56" s="20">
        <f t="shared" si="7"/>
        <v>614.02026646644197</v>
      </c>
      <c r="BH56" s="59">
        <f t="shared" si="8"/>
        <v>907.35359979977534</v>
      </c>
      <c r="BI56" s="59">
        <f ca="1">AVERAGE(OFFSET($BH$3,0,0,'Données projet'!$E$11+1,1))-AVERAGE(OFFSET($H$3,0,0,'Données projet'!$E$11+1,1))</f>
        <v>371.85813103419366</v>
      </c>
      <c r="BJ56" s="59">
        <f t="shared" si="38"/>
        <v>370.01698880104584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17.625188483402958</v>
      </c>
      <c r="BQ56" s="21">
        <f>EXP(-LN(2)/25)*BQ55+(1-EXP(-LN(2)/25))/(LN(2)/25)*Calculateur!BL56*Calculateur!BN56*VLOOKUP('Données projet'!$B$11,Paramètres!$A$1:$I$89,3,0)*0.475*44/12</f>
        <v>23.83082357264928</v>
      </c>
      <c r="BR56" s="21">
        <f>EXP(-LN(2)/2)*BR55+(1-EXP(-LN(2)/2))/(LN(2)/2)*BL56*BO56*VLOOKUP('Données projet'!$B$11,Paramètres!$A$1:$I$89,3,0)*0.475*44/12</f>
        <v>0.30543134679005385</v>
      </c>
      <c r="BS56" s="22">
        <f t="shared" si="9"/>
        <v>41.761443402842289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11.3</v>
      </c>
      <c r="BY56" s="12">
        <f>IF('Données projet'!$A$114&gt;35,BY55+BX56-CG55,IF(A56&lt;'Données projet'!$A$114,$BV$205^A56,IF(A56='Données projet'!$A$114,'Données projet'!$B$114,BY55+BX56-CG55)))</f>
        <v>353.90000000000015</v>
      </c>
      <c r="BZ56" s="13">
        <f>BY56*VLOOKUP('Données projet'!$B$12,Paramètres!$A$1:$I$89,3,0)*VLOOKUP('Données projet'!$B$12,Paramètres!$A$1:$I$89,5,0)</f>
        <v>193.22940000000008</v>
      </c>
      <c r="CA56" s="13">
        <f t="shared" si="39"/>
        <v>48.253225491879554</v>
      </c>
      <c r="CB56" s="20">
        <f t="shared" si="10"/>
        <v>420.5822393983571</v>
      </c>
      <c r="CC56" s="59">
        <f t="shared" si="11"/>
        <v>713.91557273169042</v>
      </c>
      <c r="CD56" s="59">
        <f ca="1">AVERAGE(OFFSET($CC$3,0,0,'Données projet'!$E$12+1,1))-AVERAGE(OFFSET($H$3,0,0,'Données projet'!$E$12+1,1))</f>
        <v>248.1486444660062</v>
      </c>
      <c r="CE56" s="59">
        <f t="shared" si="40"/>
        <v>293.34458072322127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5.4014282244069269</v>
      </c>
      <c r="CL56" s="21">
        <f>EXP(-LN(2)/25)*CL55+(1-EXP(-LN(2)/25))/(LN(2)/25)*Calculateur!CG56*Calculateur!CI56*VLOOKUP('Données projet'!$B$12,Paramètres!$A$1:$I$89,3,0)*0.475*44/12</f>
        <v>17.989252478132453</v>
      </c>
      <c r="CM56" s="21">
        <f>EXP(-LN(2)/2)*CM55+(1-EXP(-LN(2)/2))/(LN(2)/2)*CG56*CJ56*VLOOKUP('Données projet'!$B$12,Paramètres!$A$1:$I$89,3,0)*0.475*44/12</f>
        <v>8.6946602893316072E-3</v>
      </c>
      <c r="CN56" s="22">
        <f t="shared" si="12"/>
        <v>23.399375362828714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7.9</v>
      </c>
      <c r="CT56" s="12">
        <f>IF('Données projet'!$A$140&gt;35,CT55+CS56-DB55,IF(A56&lt;'Données projet'!$A$140,$CQ$205^A56,IF(A56='Données projet'!$A$140,'Données projet'!$B$140,CT55+CS56-DB55)))</f>
        <v>305.69999999999993</v>
      </c>
      <c r="CU56" s="17">
        <f>CT56*VLOOKUP('Données projet'!$B$13,Paramètres!$A$1:$I$89,3,0)*VLOOKUP('Données projet'!$B$13,Paramètres!$A$1:$I$89,5,0)</f>
        <v>243.21491999999995</v>
      </c>
      <c r="CV56" s="13">
        <f t="shared" si="41"/>
        <v>59.130699584367115</v>
      </c>
      <c r="CW56" s="20">
        <f t="shared" si="13"/>
        <v>526.5852874427726</v>
      </c>
      <c r="CX56" s="59">
        <f t="shared" si="14"/>
        <v>819.91862077610585</v>
      </c>
      <c r="CY56" s="59">
        <f ca="1">AVERAGE(OFFSET($CX$3,0,0,'Données projet'!$E$13+1,1))-AVERAGE(OFFSET($H$3,0,0,'Données projet'!$E$13+1,1))</f>
        <v>314.94704727988847</v>
      </c>
      <c r="CZ56" s="59">
        <f t="shared" si="42"/>
        <v>366.49199094166454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2.4830034847911446</v>
      </c>
      <c r="DG56" s="21">
        <f>EXP(-LN(2)/25)*DG55+(1-EXP(-LN(2)/25))/(LN(2)/25)*Calculateur!DB56*Calculateur!DD56*VLOOKUP('Données projet'!$B$13,Paramètres!$A$1:$I$89,3,0)*0.475*44/12</f>
        <v>13.427772064525467</v>
      </c>
      <c r="DH56" s="21">
        <f>EXP(-LN(2)/2)*DH55+(1-EXP(-LN(2)/2))/(LN(2)/2)*DB56*DE56*VLOOKUP('Données projet'!$B$13,Paramètres!$A$1:$I$89,3,0)*0.475*44/12</f>
        <v>9.9675942157864683E-3</v>
      </c>
      <c r="DI56" s="22">
        <f t="shared" si="15"/>
        <v>15.920743143532398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19.3</v>
      </c>
      <c r="N57" s="13">
        <f>IF('Données projet'!$A$36&gt;35,N56+M57-V56,IF(A57&lt;'Données projet'!$A$36,$K$205^A57,IF(A57='Données projet'!$A$36,'Données projet'!$B$36,N56+M57-V56)))</f>
        <v>563.1999999999997</v>
      </c>
      <c r="O57" s="13">
        <f>N57*VLOOKUP('Données projet'!$B$9,Paramètres!$A$1:$I$89,3,0)*VLOOKUP('Données projet'!$B$9,Paramètres!$A$1:$I$89,5,0)</f>
        <v>314.82879999999983</v>
      </c>
      <c r="P57" s="13">
        <f t="shared" si="33"/>
        <v>74.276366834686527</v>
      </c>
      <c r="Q57" s="20">
        <f t="shared" si="53"/>
        <v>677.69149890374536</v>
      </c>
      <c r="R57" s="59">
        <f t="shared" si="0"/>
        <v>971.02483223707873</v>
      </c>
      <c r="S57" s="59">
        <f ca="1">AVERAGE(OFFSET($R$3,0,0,'Données projet'!$E$9+1,1))-AVERAGE(OFFSET($H$3,0,0,'Données projet'!$E$9+1,1))</f>
        <v>415.91544298418842</v>
      </c>
      <c r="T57" s="59">
        <f t="shared" si="34"/>
        <v>422.79312683312583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7.0997052123762998</v>
      </c>
      <c r="AA57" s="21">
        <f>EXP(-LN(2)/25)*AA56+(1-EXP(-LN(2)/25))/(LN(2)/25)*Calculateur!V57*Calculateur!X57*VLOOKUP('Données projet'!$B$9,Paramètres!$A$1:$I$89,3,0)*0.475*44/12</f>
        <v>19.924542721033724</v>
      </c>
      <c r="AB57" s="21">
        <f>EXP(-LN(2)/2)*AB56+(1-EXP(-LN(2)/2))/(LN(2)/2)*V57*Y57*VLOOKUP('Données projet'!$B$9,Paramètres!$A$1:$I$89,3,0)*0.475*44/12</f>
        <v>8.904270350350121E-3</v>
      </c>
      <c r="AC57" s="22">
        <f t="shared" si="3"/>
        <v>27.033152203760373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14.4</v>
      </c>
      <c r="AI57" s="13">
        <f>IF('Données projet'!$A$62&gt;35,AI56+AH57-AQ56,IF(A57&lt;'Données projet'!$A$62,$AF$205^A57,IF(A57='Données projet'!$A$62,'Données projet'!$B$62,AI56+AH57-AQ56)))</f>
        <v>419.60000000000036</v>
      </c>
      <c r="AJ57" s="13">
        <f>AI57*VLOOKUP('Données projet'!$B$10,Paramètres!$A$1:$I$89,3,0)*VLOOKUP('Données projet'!$B$10,Paramètres!$A$1:$I$89,5,0)</f>
        <v>250.92080000000021</v>
      </c>
      <c r="AK57" s="13">
        <f t="shared" si="35"/>
        <v>60.783074104551602</v>
      </c>
      <c r="AL57" s="20">
        <f t="shared" si="4"/>
        <v>542.88424739876098</v>
      </c>
      <c r="AM57" s="59">
        <f t="shared" si="5"/>
        <v>836.21758073209435</v>
      </c>
      <c r="AN57" s="59">
        <f ca="1">AVERAGE(OFFSET($AM$3,0,0,'Données projet'!$E$10+1,1))-AVERAGE(OFFSET($H$3,0,0,'Données projet'!$E$10+1,1))</f>
        <v>311.06126148520821</v>
      </c>
      <c r="AO57" s="59">
        <f t="shared" si="36"/>
        <v>321.1728368524748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2.1749414064975174</v>
      </c>
      <c r="AV57" s="21">
        <f>EXP(-LN(2)/25)*AV56+(1-EXP(-LN(2)/25))/(LN(2)/25)*Calculateur!AQ57*Calculateur!AS57*VLOOKUP('Données projet'!$B$10,Paramètres!$A$1:$I$89,3,0)*0.475*44/12</f>
        <v>10.969829661824287</v>
      </c>
      <c r="AW57" s="21">
        <f>EXP(-LN(2)/2)*AW56+(1-EXP(-LN(2)/2))/(LN(2)/2)*AQ57*AT57*VLOOKUP('Données projet'!$B$10,Paramètres!$A$1:$I$89,3,0)*0.475*44/12</f>
        <v>7.398274930705326E-3</v>
      </c>
      <c r="AX57" s="21">
        <f t="shared" si="6"/>
        <v>13.15216934325251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22.9</v>
      </c>
      <c r="BD57" s="12">
        <f>IF('Données projet'!$A$88&gt;35,BD56+BC57-BL56,IF(A57&lt;'Données projet'!$A$88,$BA$205^A57,IF(A57='Données projet'!$A$88,'Données projet'!$B$88,BD56+BC57-BL56)))</f>
        <v>614.5999999999998</v>
      </c>
      <c r="BE57" s="13">
        <f>BD57*VLOOKUP('Données projet'!$B$11,Paramètres!$A$1:$I$89,3,0)*VLOOKUP('Données projet'!$B$11,Paramètres!$A$1:$I$89,5,0)</f>
        <v>295.62259999999992</v>
      </c>
      <c r="BF57" s="13">
        <f t="shared" si="37"/>
        <v>70.258008732709285</v>
      </c>
      <c r="BG57" s="20">
        <f t="shared" si="7"/>
        <v>637.2420602094686</v>
      </c>
      <c r="BH57" s="59">
        <f t="shared" si="8"/>
        <v>930.57539354280198</v>
      </c>
      <c r="BI57" s="59">
        <f ca="1">AVERAGE(OFFSET($BH$3,0,0,'Données projet'!$E$11+1,1))-AVERAGE(OFFSET($H$3,0,0,'Données projet'!$E$11+1,1))</f>
        <v>371.85813103419366</v>
      </c>
      <c r="BJ57" s="59">
        <f t="shared" si="38"/>
        <v>370.01698880104584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17.279569287546895</v>
      </c>
      <c r="BQ57" s="21">
        <f>EXP(-LN(2)/25)*BQ56+(1-EXP(-LN(2)/25))/(LN(2)/25)*Calculateur!BL57*Calculateur!BN57*VLOOKUP('Données projet'!$B$11,Paramètres!$A$1:$I$89,3,0)*0.475*44/12</f>
        <v>23.179168448846639</v>
      </c>
      <c r="BR57" s="21">
        <f>EXP(-LN(2)/2)*BR56+(1-EXP(-LN(2)/2))/(LN(2)/2)*BL57*BO57*VLOOKUP('Données projet'!$B$11,Paramètres!$A$1:$I$89,3,0)*0.475*44/12</f>
        <v>0.21597257650218712</v>
      </c>
      <c r="BS57" s="22">
        <f t="shared" si="9"/>
        <v>40.674710312895719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11.3</v>
      </c>
      <c r="BY57" s="12">
        <f>IF('Données projet'!$A$114&gt;35,BY56+BX57-CG56,IF(A57&lt;'Données projet'!$A$114,$BV$205^A57,IF(A57='Données projet'!$A$114,'Données projet'!$B$114,BY56+BX57-CG56)))</f>
        <v>365.20000000000016</v>
      </c>
      <c r="BZ57" s="13">
        <f>BY57*VLOOKUP('Données projet'!$B$12,Paramètres!$A$1:$I$89,3,0)*VLOOKUP('Données projet'!$B$12,Paramètres!$A$1:$I$89,5,0)</f>
        <v>199.39920000000009</v>
      </c>
      <c r="CA57" s="13">
        <f t="shared" si="39"/>
        <v>49.612106959430314</v>
      </c>
      <c r="CB57" s="20">
        <f t="shared" si="10"/>
        <v>433.69469295434129</v>
      </c>
      <c r="CC57" s="59">
        <f t="shared" si="11"/>
        <v>727.02802628767461</v>
      </c>
      <c r="CD57" s="59">
        <f ca="1">AVERAGE(OFFSET($CC$3,0,0,'Données projet'!$E$12+1,1))-AVERAGE(OFFSET($H$3,0,0,'Données projet'!$E$12+1,1))</f>
        <v>248.1486444660062</v>
      </c>
      <c r="CE57" s="59">
        <f t="shared" si="40"/>
        <v>293.34458072322127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5.2955095114722148</v>
      </c>
      <c r="CL57" s="21">
        <f>EXP(-LN(2)/25)*CL56+(1-EXP(-LN(2)/25))/(LN(2)/25)*Calculateur!CG57*Calculateur!CI57*VLOOKUP('Données projet'!$B$12,Paramètres!$A$1:$I$89,3,0)*0.475*44/12</f>
        <v>17.49733542310425</v>
      </c>
      <c r="CM57" s="21">
        <f>EXP(-LN(2)/2)*CM56+(1-EXP(-LN(2)/2))/(LN(2)/2)*CG57*CJ57*VLOOKUP('Données projet'!$B$12,Paramètres!$A$1:$I$89,3,0)*0.475*44/12</f>
        <v>6.1480532506997688E-3</v>
      </c>
      <c r="CN57" s="22">
        <f t="shared" si="12"/>
        <v>22.798992987827166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7.9</v>
      </c>
      <c r="CT57" s="12">
        <f>IF('Données projet'!$A$140&gt;35,CT56+CS57-DB56,IF(A57&lt;'Données projet'!$A$140,$CQ$205^A57,IF(A57='Données projet'!$A$140,'Données projet'!$B$140,CT56+CS57-DB56)))</f>
        <v>313.59999999999991</v>
      </c>
      <c r="CU57" s="17">
        <f>CT57*VLOOKUP('Données projet'!$B$13,Paramètres!$A$1:$I$89,3,0)*VLOOKUP('Données projet'!$B$13,Paramètres!$A$1:$I$89,5,0)</f>
        <v>249.50015999999994</v>
      </c>
      <c r="CV57" s="13">
        <f t="shared" si="41"/>
        <v>60.478895175306739</v>
      </c>
      <c r="CW57" s="20">
        <f t="shared" si="13"/>
        <v>539.88018776365902</v>
      </c>
      <c r="CX57" s="59">
        <f t="shared" si="14"/>
        <v>833.21352109699228</v>
      </c>
      <c r="CY57" s="59">
        <f ca="1">AVERAGE(OFFSET($CX$3,0,0,'Données projet'!$E$13+1,1))-AVERAGE(OFFSET($H$3,0,0,'Données projet'!$E$13+1,1))</f>
        <v>314.94704727988847</v>
      </c>
      <c r="CZ57" s="59">
        <f t="shared" si="42"/>
        <v>366.49199094166454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2.4343133009369731</v>
      </c>
      <c r="DG57" s="21">
        <f>EXP(-LN(2)/25)*DG56+(1-EXP(-LN(2)/25))/(LN(2)/25)*Calculateur!DB57*Calculateur!DD57*VLOOKUP('Données projet'!$B$13,Paramètres!$A$1:$I$89,3,0)*0.475*44/12</f>
        <v>13.060588931285174</v>
      </c>
      <c r="DH57" s="21">
        <f>EXP(-LN(2)/2)*DH56+(1-EXP(-LN(2)/2))/(LN(2)/2)*DB57*DE57*VLOOKUP('Données projet'!$B$13,Paramètres!$A$1:$I$89,3,0)*0.475*44/12</f>
        <v>7.0481534620984191E-3</v>
      </c>
      <c r="DI57" s="22">
        <f t="shared" si="15"/>
        <v>15.501950385684246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19.3</v>
      </c>
      <c r="N58" s="13">
        <f>IF('Données projet'!$A$36&gt;35,N57+M58-V57,IF(A58&lt;'Données projet'!$A$36,$K$205^A58,IF(A58='Données projet'!$A$36,'Données projet'!$B$36,N57+M58-V57)))</f>
        <v>582.49999999999966</v>
      </c>
      <c r="O58" s="13">
        <f>N58*VLOOKUP('Données projet'!$B$9,Paramètres!$A$1:$I$89,3,0)*VLOOKUP('Données projet'!$B$9,Paramètres!$A$1:$I$89,5,0)</f>
        <v>325.61749999999984</v>
      </c>
      <c r="P58" s="13">
        <f t="shared" si="33"/>
        <v>76.520997341690872</v>
      </c>
      <c r="Q58" s="20">
        <f t="shared" si="53"/>
        <v>700.39121620344451</v>
      </c>
      <c r="R58" s="59">
        <f t="shared" si="0"/>
        <v>993.72454953677789</v>
      </c>
      <c r="S58" s="59">
        <f ca="1">AVERAGE(OFFSET($R$3,0,0,'Données projet'!$E$9+1,1))-AVERAGE(OFFSET($H$3,0,0,'Données projet'!$E$9+1,1))</f>
        <v>415.91544298418842</v>
      </c>
      <c r="T58" s="59">
        <f t="shared" si="34"/>
        <v>422.79312683312583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6.9604843235541898</v>
      </c>
      <c r="AA58" s="21">
        <f>EXP(-LN(2)/25)*AA57+(1-EXP(-LN(2)/25))/(LN(2)/25)*Calculateur!V58*Calculateur!X58*VLOOKUP('Données projet'!$B$9,Paramètres!$A$1:$I$89,3,0)*0.475*44/12</f>
        <v>19.379705052540892</v>
      </c>
      <c r="AB58" s="21">
        <f>EXP(-LN(2)/2)*AB57+(1-EXP(-LN(2)/2))/(LN(2)/2)*V58*Y58*VLOOKUP('Données projet'!$B$9,Paramètres!$A$1:$I$89,3,0)*0.475*44/12</f>
        <v>6.296269946250886E-3</v>
      </c>
      <c r="AC58" s="22">
        <f t="shared" si="3"/>
        <v>26.346485646041334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14.4</v>
      </c>
      <c r="AI58" s="13">
        <f>IF('Données projet'!$A$62&gt;35,AI57+AH58-AQ57,IF(A58&lt;'Données projet'!$A$62,$AF$205^A58,IF(A58='Données projet'!$A$62,'Données projet'!$B$62,AI57+AH58-AQ57)))</f>
        <v>434.00000000000034</v>
      </c>
      <c r="AJ58" s="13">
        <f>AI58*VLOOKUP('Données projet'!$B$10,Paramètres!$A$1:$I$89,3,0)*VLOOKUP('Données projet'!$B$10,Paramètres!$A$1:$I$89,5,0)</f>
        <v>259.53200000000021</v>
      </c>
      <c r="AK58" s="13">
        <f t="shared" si="35"/>
        <v>62.622608810743898</v>
      </c>
      <c r="AL58" s="20">
        <f t="shared" si="4"/>
        <v>561.08594367871262</v>
      </c>
      <c r="AM58" s="59">
        <f t="shared" si="5"/>
        <v>854.419277012046</v>
      </c>
      <c r="AN58" s="59">
        <f ca="1">AVERAGE(OFFSET($AM$3,0,0,'Données projet'!$E$10+1,1))-AVERAGE(OFFSET($H$3,0,0,'Données projet'!$E$10+1,1))</f>
        <v>311.06126148520821</v>
      </c>
      <c r="AO58" s="59">
        <f t="shared" si="36"/>
        <v>321.1728368524748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2.1322921320993697</v>
      </c>
      <c r="AV58" s="21">
        <f>EXP(-LN(2)/25)*AV57+(1-EXP(-LN(2)/25))/(LN(2)/25)*Calculateur!AQ58*Calculateur!AS58*VLOOKUP('Données projet'!$B$10,Paramètres!$A$1:$I$89,3,0)*0.475*44/12</f>
        <v>10.669859092843431</v>
      </c>
      <c r="AW58" s="21">
        <f>EXP(-LN(2)/2)*AW57+(1-EXP(-LN(2)/2))/(LN(2)/2)*AQ58*AT58*VLOOKUP('Données projet'!$B$10,Paramètres!$A$1:$I$89,3,0)*0.475*44/12</f>
        <v>5.2313703725841709E-3</v>
      </c>
      <c r="AX58" s="21">
        <f t="shared" si="6"/>
        <v>12.807382595315385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22.9</v>
      </c>
      <c r="BD58" s="12">
        <f>IF('Données projet'!$A$88&gt;35,BD57+BC58-BL57,IF(A58&lt;'Données projet'!$A$88,$BA$205^A58,IF(A58='Données projet'!$A$88,'Données projet'!$B$88,BD57+BC58-BL57)))</f>
        <v>637.49999999999977</v>
      </c>
      <c r="BE58" s="13">
        <f>BD58*VLOOKUP('Données projet'!$B$11,Paramètres!$A$1:$I$89,3,0)*VLOOKUP('Données projet'!$B$11,Paramètres!$A$1:$I$89,5,0)</f>
        <v>306.63749999999987</v>
      </c>
      <c r="BF58" s="13">
        <f t="shared" si="37"/>
        <v>72.56616123944778</v>
      </c>
      <c r="BG58" s="20">
        <f t="shared" si="7"/>
        <v>660.44637665870471</v>
      </c>
      <c r="BH58" s="59">
        <f t="shared" si="8"/>
        <v>953.77970999203808</v>
      </c>
      <c r="BI58" s="59">
        <f ca="1">AVERAGE(OFFSET($BH$3,0,0,'Données projet'!$E$11+1,1))-AVERAGE(OFFSET($H$3,0,0,'Données projet'!$E$11+1,1))</f>
        <v>371.85813103419366</v>
      </c>
      <c r="BJ58" s="59">
        <f t="shared" si="38"/>
        <v>370.01698880104584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16.940727473314677</v>
      </c>
      <c r="BQ58" s="21">
        <f>EXP(-LN(2)/25)*BQ57+(1-EXP(-LN(2)/25))/(LN(2)/25)*Calculateur!BL58*Calculateur!BN58*VLOOKUP('Données projet'!$B$11,Paramètres!$A$1:$I$89,3,0)*0.475*44/12</f>
        <v>22.545332868673434</v>
      </c>
      <c r="BR58" s="21">
        <f>EXP(-LN(2)/2)*BR57+(1-EXP(-LN(2)/2))/(LN(2)/2)*BL58*BO58*VLOOKUP('Données projet'!$B$11,Paramètres!$A$1:$I$89,3,0)*0.475*44/12</f>
        <v>0.15271567339502692</v>
      </c>
      <c r="BS58" s="22">
        <f t="shared" si="9"/>
        <v>39.638776015383137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11.3</v>
      </c>
      <c r="BY58" s="12">
        <f>IF('Données projet'!$A$114&gt;35,BY57+BX58-CG57,IF(A58&lt;'Données projet'!$A$114,$BV$205^A58,IF(A58='Données projet'!$A$114,'Données projet'!$B$114,BY57+BX58-CG57)))</f>
        <v>376.50000000000017</v>
      </c>
      <c r="BZ58" s="13">
        <f>BY58*VLOOKUP('Données projet'!$B$12,Paramètres!$A$1:$I$89,3,0)*VLOOKUP('Données projet'!$B$12,Paramètres!$A$1:$I$89,5,0)</f>
        <v>205.56900000000007</v>
      </c>
      <c r="CA58" s="13">
        <f t="shared" si="39"/>
        <v>50.966102200396577</v>
      </c>
      <c r="CB58" s="20">
        <f t="shared" si="10"/>
        <v>446.79863633235749</v>
      </c>
      <c r="CC58" s="59">
        <f t="shared" si="11"/>
        <v>740.1319696656908</v>
      </c>
      <c r="CD58" s="59">
        <f ca="1">AVERAGE(OFFSET($CC$3,0,0,'Données projet'!$E$12+1,1))-AVERAGE(OFFSET($H$3,0,0,'Données projet'!$E$12+1,1))</f>
        <v>248.1486444660062</v>
      </c>
      <c r="CE58" s="59">
        <f t="shared" si="40"/>
        <v>293.34458072322127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5.1916677998941161</v>
      </c>
      <c r="CL58" s="21">
        <f>EXP(-LN(2)/25)*CL57+(1-EXP(-LN(2)/25))/(LN(2)/25)*Calculateur!CG58*Calculateur!CI58*VLOOKUP('Données projet'!$B$12,Paramètres!$A$1:$I$89,3,0)*0.475*44/12</f>
        <v>17.018869865814587</v>
      </c>
      <c r="CM58" s="21">
        <f>EXP(-LN(2)/2)*CM57+(1-EXP(-LN(2)/2))/(LN(2)/2)*CG58*CJ58*VLOOKUP('Données projet'!$B$12,Paramètres!$A$1:$I$89,3,0)*0.475*44/12</f>
        <v>4.3473301446658036E-3</v>
      </c>
      <c r="CN58" s="22">
        <f t="shared" si="12"/>
        <v>22.214884995853367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7.9</v>
      </c>
      <c r="CT58" s="12">
        <f>IF('Données projet'!$A$140&gt;35,CT57+CS58-DB57,IF(A58&lt;'Données projet'!$A$140,$CQ$205^A58,IF(A58='Données projet'!$A$140,'Données projet'!$B$140,CT57+CS58-DB57)))</f>
        <v>321.49999999999989</v>
      </c>
      <c r="CU58" s="17">
        <f>CT58*VLOOKUP('Données projet'!$B$13,Paramètres!$A$1:$I$89,3,0)*VLOOKUP('Données projet'!$B$13,Paramètres!$A$1:$I$89,5,0)</f>
        <v>255.78539999999992</v>
      </c>
      <c r="CV58" s="13">
        <f t="shared" si="41"/>
        <v>61.823142841300566</v>
      </c>
      <c r="CW58" s="20">
        <f t="shared" si="13"/>
        <v>553.16821211526496</v>
      </c>
      <c r="CX58" s="59">
        <f t="shared" si="14"/>
        <v>846.50154544859834</v>
      </c>
      <c r="CY58" s="59">
        <f ca="1">AVERAGE(OFFSET($CX$3,0,0,'Données projet'!$E$13+1,1))-AVERAGE(OFFSET($H$3,0,0,'Données projet'!$E$13+1,1))</f>
        <v>314.94704727988847</v>
      </c>
      <c r="CZ58" s="59">
        <f t="shared" si="42"/>
        <v>366.49199094166454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2.3865779018901021</v>
      </c>
      <c r="DG58" s="21">
        <f>EXP(-LN(2)/25)*DG57+(1-EXP(-LN(2)/25))/(LN(2)/25)*Calculateur!DB58*Calculateur!DD58*VLOOKUP('Données projet'!$B$13,Paramètres!$A$1:$I$89,3,0)*0.475*44/12</f>
        <v>12.703446440132661</v>
      </c>
      <c r="DH58" s="21">
        <f>EXP(-LN(2)/2)*DH57+(1-EXP(-LN(2)/2))/(LN(2)/2)*DB58*DE58*VLOOKUP('Données projet'!$B$13,Paramètres!$A$1:$I$89,3,0)*0.475*44/12</f>
        <v>4.9837971078932342E-3</v>
      </c>
      <c r="DI58" s="22">
        <f t="shared" si="15"/>
        <v>15.095008139130655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19.3</v>
      </c>
      <c r="N59" s="13">
        <f>IF('Données projet'!$A$36&gt;35,N58+M59-V58,IF(A59&lt;'Données projet'!$A$36,$K$205^A59,IF(A59='Données projet'!$A$36,'Données projet'!$B$36,N58+M59-V58)))</f>
        <v>601.79999999999961</v>
      </c>
      <c r="O59" s="13">
        <f>N59*VLOOKUP('Données projet'!$B$9,Paramètres!$A$1:$I$89,3,0)*VLOOKUP('Données projet'!$B$9,Paramètres!$A$1:$I$89,5,0)</f>
        <v>336.40619999999979</v>
      </c>
      <c r="P59" s="13">
        <f t="shared" si="33"/>
        <v>78.756986013586328</v>
      </c>
      <c r="Q59" s="20">
        <f t="shared" si="53"/>
        <v>723.07588230699582</v>
      </c>
      <c r="R59" s="59">
        <f t="shared" si="0"/>
        <v>1016.4092156403292</v>
      </c>
      <c r="S59" s="59">
        <f ca="1">AVERAGE(OFFSET($R$3,0,0,'Données projet'!$E$9+1,1))-AVERAGE(OFFSET($H$3,0,0,'Données projet'!$E$9+1,1))</f>
        <v>415.91544298418842</v>
      </c>
      <c r="T59" s="59">
        <f t="shared" si="34"/>
        <v>422.79312683312583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6.8239934714455233</v>
      </c>
      <c r="AA59" s="21">
        <f>EXP(-LN(2)/25)*AA58+(1-EXP(-LN(2)/25))/(LN(2)/25)*Calculateur!V59*Calculateur!X59*VLOOKUP('Données projet'!$B$9,Paramètres!$A$1:$I$89,3,0)*0.475*44/12</f>
        <v>18.849765998744765</v>
      </c>
      <c r="AB59" s="21">
        <f>EXP(-LN(2)/2)*AB58+(1-EXP(-LN(2)/2))/(LN(2)/2)*V59*Y59*VLOOKUP('Données projet'!$B$9,Paramètres!$A$1:$I$89,3,0)*0.475*44/12</f>
        <v>4.4521351751750605E-3</v>
      </c>
      <c r="AC59" s="22">
        <f t="shared" si="3"/>
        <v>25.678211605365462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14.4</v>
      </c>
      <c r="AI59" s="13">
        <f>IF('Données projet'!$A$62&gt;35,AI58+AH59-AQ58,IF(A59&lt;'Données projet'!$A$62,$AF$205^A59,IF(A59='Données projet'!$A$62,'Données projet'!$B$62,AI58+AH59-AQ58)))</f>
        <v>448.40000000000032</v>
      </c>
      <c r="AJ59" s="13">
        <f>AI59*VLOOKUP('Données projet'!$B$10,Paramètres!$A$1:$I$89,3,0)*VLOOKUP('Données projet'!$B$10,Paramètres!$A$1:$I$89,5,0)</f>
        <v>268.14320000000021</v>
      </c>
      <c r="AK59" s="13">
        <f t="shared" si="35"/>
        <v>64.455051340339139</v>
      </c>
      <c r="AL59" s="20">
        <f t="shared" si="4"/>
        <v>579.27528775109101</v>
      </c>
      <c r="AM59" s="59">
        <f t="shared" si="5"/>
        <v>872.60862108442439</v>
      </c>
      <c r="AN59" s="59">
        <f ca="1">AVERAGE(OFFSET($AM$3,0,0,'Données projet'!$E$10+1,1))-AVERAGE(OFFSET($H$3,0,0,'Données projet'!$E$10+1,1))</f>
        <v>311.06126148520821</v>
      </c>
      <c r="AO59" s="59">
        <f t="shared" si="36"/>
        <v>321.1728368524748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2.0904791839586809</v>
      </c>
      <c r="AV59" s="21">
        <f>EXP(-LN(2)/25)*AV58+(1-EXP(-LN(2)/25))/(LN(2)/25)*Calculateur!AQ59*Calculateur!AS59*VLOOKUP('Données projet'!$B$10,Paramètres!$A$1:$I$89,3,0)*0.475*44/12</f>
        <v>10.378091234846124</v>
      </c>
      <c r="AW59" s="21">
        <f>EXP(-LN(2)/2)*AW58+(1-EXP(-LN(2)/2))/(LN(2)/2)*AQ59*AT59*VLOOKUP('Données projet'!$B$10,Paramètres!$A$1:$I$89,3,0)*0.475*44/12</f>
        <v>3.699137465352663E-3</v>
      </c>
      <c r="AX59" s="21">
        <f t="shared" si="6"/>
        <v>12.472269556270158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22.9</v>
      </c>
      <c r="BD59" s="12">
        <f>IF('Données projet'!$A$88&gt;35,BD58+BC59-BL58,IF(A59&lt;'Données projet'!$A$88,$BA$205^A59,IF(A59='Données projet'!$A$88,'Données projet'!$B$88,BD58+BC59-BL58)))</f>
        <v>660.39999999999975</v>
      </c>
      <c r="BE59" s="13">
        <f>BD59*VLOOKUP('Données projet'!$B$11,Paramètres!$A$1:$I$89,3,0)*VLOOKUP('Données projet'!$B$11,Paramètres!$A$1:$I$89,5,0)</f>
        <v>317.65239999999989</v>
      </c>
      <c r="BF59" s="13">
        <f t="shared" si="37"/>
        <v>74.864680696288232</v>
      </c>
      <c r="BG59" s="20">
        <f t="shared" si="7"/>
        <v>683.63391554603504</v>
      </c>
      <c r="BH59" s="59">
        <f t="shared" si="8"/>
        <v>976.9672488793683</v>
      </c>
      <c r="BI59" s="59">
        <f ca="1">AVERAGE(OFFSET($BH$3,0,0,'Données projet'!$E$11+1,1))-AVERAGE(OFFSET($H$3,0,0,'Données projet'!$E$11+1,1))</f>
        <v>371.85813103419366</v>
      </c>
      <c r="BJ59" s="59">
        <f t="shared" si="38"/>
        <v>370.01698880104584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16.608530140386453</v>
      </c>
      <c r="BQ59" s="21">
        <f>EXP(-LN(2)/25)*BQ58+(1-EXP(-LN(2)/25))/(LN(2)/25)*Calculateur!BL59*Calculateur!BN59*VLOOKUP('Données projet'!$B$11,Paramètres!$A$1:$I$89,3,0)*0.475*44/12</f>
        <v>21.92882955577203</v>
      </c>
      <c r="BR59" s="21">
        <f>EXP(-LN(2)/2)*BR58+(1-EXP(-LN(2)/2))/(LN(2)/2)*BL59*BO59*VLOOKUP('Données projet'!$B$11,Paramètres!$A$1:$I$89,3,0)*0.475*44/12</f>
        <v>0.10798628825109356</v>
      </c>
      <c r="BS59" s="22">
        <f t="shared" si="9"/>
        <v>38.645345984409573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11.3</v>
      </c>
      <c r="BY59" s="12">
        <f>IF('Données projet'!$A$114&gt;35,BY58+BX59-CG58,IF(A59&lt;'Données projet'!$A$114,$BV$205^A59,IF(A59='Données projet'!$A$114,'Données projet'!$B$114,BY58+BX59-CG58)))</f>
        <v>387.80000000000018</v>
      </c>
      <c r="BZ59" s="13">
        <f>BY59*VLOOKUP('Données projet'!$B$12,Paramètres!$A$1:$I$89,3,0)*VLOOKUP('Données projet'!$B$12,Paramètres!$A$1:$I$89,5,0)</f>
        <v>211.73880000000008</v>
      </c>
      <c r="CA59" s="13">
        <f t="shared" si="39"/>
        <v>52.315374700843918</v>
      </c>
      <c r="CB59" s="20">
        <f t="shared" si="10"/>
        <v>459.89435427063654</v>
      </c>
      <c r="CC59" s="59">
        <f t="shared" si="11"/>
        <v>753.2276876039698</v>
      </c>
      <c r="CD59" s="59">
        <f ca="1">AVERAGE(OFFSET($CC$3,0,0,'Données projet'!$E$12+1,1))-AVERAGE(OFFSET($H$3,0,0,'Données projet'!$E$12+1,1))</f>
        <v>248.1486444660062</v>
      </c>
      <c r="CE59" s="59">
        <f t="shared" si="40"/>
        <v>293.34458072322127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5.0898623609428739</v>
      </c>
      <c r="CL59" s="21">
        <f>EXP(-LN(2)/25)*CL58+(1-EXP(-LN(2)/25))/(LN(2)/25)*Calculateur!CG59*Calculateur!CI59*VLOOKUP('Données projet'!$B$12,Paramètres!$A$1:$I$89,3,0)*0.475*44/12</f>
        <v>16.553487974350418</v>
      </c>
      <c r="CM59" s="21">
        <f>EXP(-LN(2)/2)*CM58+(1-EXP(-LN(2)/2))/(LN(2)/2)*CG59*CJ59*VLOOKUP('Données projet'!$B$12,Paramètres!$A$1:$I$89,3,0)*0.475*44/12</f>
        <v>3.0740266253498844E-3</v>
      </c>
      <c r="CN59" s="22">
        <f t="shared" si="12"/>
        <v>21.64642436191864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7.9</v>
      </c>
      <c r="CT59" s="12">
        <f>IF('Données projet'!$A$140&gt;35,CT58+CS59-DB58,IF(A59&lt;'Données projet'!$A$140,$CQ$205^A59,IF(A59='Données projet'!$A$140,'Données projet'!$B$140,CT58+CS59-DB58)))</f>
        <v>329.39999999999986</v>
      </c>
      <c r="CU59" s="17">
        <f>CT59*VLOOKUP('Données projet'!$B$13,Paramètres!$A$1:$I$89,3,0)*VLOOKUP('Données projet'!$B$13,Paramètres!$A$1:$I$89,5,0)</f>
        <v>262.07063999999991</v>
      </c>
      <c r="CV59" s="13">
        <f t="shared" si="41"/>
        <v>63.163550751219262</v>
      </c>
      <c r="CW59" s="20">
        <f t="shared" si="13"/>
        <v>566.44954889170663</v>
      </c>
      <c r="CX59" s="59">
        <f t="shared" si="14"/>
        <v>859.78288222503988</v>
      </c>
      <c r="CY59" s="59">
        <f ca="1">AVERAGE(OFFSET($CX$3,0,0,'Données projet'!$E$13+1,1))-AVERAGE(OFFSET($H$3,0,0,'Données projet'!$E$13+1,1))</f>
        <v>314.94704727988847</v>
      </c>
      <c r="CZ59" s="59">
        <f t="shared" si="42"/>
        <v>366.49199094166454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2.3397785649028222</v>
      </c>
      <c r="DG59" s="21">
        <f>EXP(-LN(2)/25)*DG58+(1-EXP(-LN(2)/25))/(LN(2)/25)*Calculateur!DB59*Calculateur!DD59*VLOOKUP('Données projet'!$B$13,Paramètres!$A$1:$I$89,3,0)*0.475*44/12</f>
        <v>12.356070029182019</v>
      </c>
      <c r="DH59" s="21">
        <f>EXP(-LN(2)/2)*DH58+(1-EXP(-LN(2)/2))/(LN(2)/2)*DB59*DE59*VLOOKUP('Données projet'!$B$13,Paramètres!$A$1:$I$89,3,0)*0.475*44/12</f>
        <v>3.5240767310492096E-3</v>
      </c>
      <c r="DI59" s="22">
        <f t="shared" si="15"/>
        <v>14.69937267081589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19.3</v>
      </c>
      <c r="N60" s="13">
        <f>IF('Données projet'!$A$36&gt;35,N59+M60-V59,IF(A60&lt;'Données projet'!$A$36,$K$205^A60,IF(A60='Données projet'!$A$36,'Données projet'!$B$36,N59+M60-V59)))</f>
        <v>621.09999999999957</v>
      </c>
      <c r="O60" s="13">
        <f>N60*VLOOKUP('Données projet'!$B$9,Paramètres!$A$1:$I$89,3,0)*VLOOKUP('Données projet'!$B$9,Paramètres!$A$1:$I$89,5,0)</f>
        <v>347.19489999999979</v>
      </c>
      <c r="P60" s="13">
        <f t="shared" si="33"/>
        <v>80.984641788647266</v>
      </c>
      <c r="Q60" s="20">
        <f t="shared" si="53"/>
        <v>745.74603528189357</v>
      </c>
      <c r="R60" s="59">
        <f t="shared" si="0"/>
        <v>1039.0793686152269</v>
      </c>
      <c r="S60" s="59">
        <f ca="1">AVERAGE(OFFSET($R$3,0,0,'Données projet'!$E$9+1,1))-AVERAGE(OFFSET($H$3,0,0,'Données projet'!$E$9+1,1))</f>
        <v>415.91544298418842</v>
      </c>
      <c r="T60" s="59">
        <f t="shared" si="34"/>
        <v>422.79312683312583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6.6901791216955084</v>
      </c>
      <c r="AA60" s="21">
        <f>EXP(-LN(2)/25)*AA59+(1-EXP(-LN(2)/25))/(LN(2)/25)*Calculateur!V60*Calculateur!X60*VLOOKUP('Données projet'!$B$9,Paramètres!$A$1:$I$89,3,0)*0.475*44/12</f>
        <v>18.334318156242976</v>
      </c>
      <c r="AB60" s="21">
        <f>EXP(-LN(2)/2)*AB59+(1-EXP(-LN(2)/2))/(LN(2)/2)*V60*Y60*VLOOKUP('Données projet'!$B$9,Paramètres!$A$1:$I$89,3,0)*0.475*44/12</f>
        <v>3.148134973125443E-3</v>
      </c>
      <c r="AC60" s="22">
        <f t="shared" si="3"/>
        <v>25.027645412911607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14.4</v>
      </c>
      <c r="AI60" s="13">
        <f>IF('Données projet'!$A$62&gt;35,AI59+AH60-AQ59,IF(A60&lt;'Données projet'!$A$62,$AF$205^A60,IF(A60='Données projet'!$A$62,'Données projet'!$B$62,AI59+AH60-AQ59)))</f>
        <v>462.8000000000003</v>
      </c>
      <c r="AJ60" s="13">
        <f>AI60*VLOOKUP('Données projet'!$B$10,Paramètres!$A$1:$I$89,3,0)*VLOOKUP('Données projet'!$B$10,Paramètres!$A$1:$I$89,5,0)</f>
        <v>276.7544000000002</v>
      </c>
      <c r="AK60" s="13">
        <f t="shared" si="35"/>
        <v>66.28065557793542</v>
      </c>
      <c r="AL60" s="20">
        <f t="shared" si="4"/>
        <v>597.4527217982378</v>
      </c>
      <c r="AM60" s="59">
        <f t="shared" si="5"/>
        <v>890.78605513157117</v>
      </c>
      <c r="AN60" s="59">
        <f ca="1">AVERAGE(OFFSET($AM$3,0,0,'Données projet'!$E$10+1,1))-AVERAGE(OFFSET($H$3,0,0,'Données projet'!$E$10+1,1))</f>
        <v>311.06126148520821</v>
      </c>
      <c r="AO60" s="59">
        <f t="shared" si="36"/>
        <v>321.1728368524748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2.0494861622276512</v>
      </c>
      <c r="AV60" s="21">
        <f>EXP(-LN(2)/25)*AV59+(1-EXP(-LN(2)/25))/(LN(2)/25)*Calculateur!AQ60*Calculateur!AS60*VLOOKUP('Données projet'!$B$10,Paramètres!$A$1:$I$89,3,0)*0.475*44/12</f>
        <v>10.094301784269158</v>
      </c>
      <c r="AW60" s="21">
        <f>EXP(-LN(2)/2)*AW59+(1-EXP(-LN(2)/2))/(LN(2)/2)*AQ60*AT60*VLOOKUP('Données projet'!$B$10,Paramètres!$A$1:$I$89,3,0)*0.475*44/12</f>
        <v>2.6156851862920855E-3</v>
      </c>
      <c r="AX60" s="21">
        <f t="shared" si="6"/>
        <v>12.146403631683102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22.9</v>
      </c>
      <c r="BD60" s="12">
        <f>IF('Données projet'!$A$88&gt;35,BD59+BC60-BL59,IF(A60&lt;'Données projet'!$A$88,$BA$205^A60,IF(A60='Données projet'!$A$88,'Données projet'!$B$88,BD59+BC60-BL59)))</f>
        <v>683.29999999999973</v>
      </c>
      <c r="BE60" s="13">
        <f>BD60*VLOOKUP('Données projet'!$B$11,Paramètres!$A$1:$I$89,3,0)*VLOOKUP('Données projet'!$B$11,Paramètres!$A$1:$I$89,5,0)</f>
        <v>328.66729999999984</v>
      </c>
      <c r="BF60" s="13">
        <f t="shared" si="37"/>
        <v>77.153939420187015</v>
      </c>
      <c r="BG60" s="20">
        <f t="shared" si="7"/>
        <v>706.80532532349207</v>
      </c>
      <c r="BH60" s="59">
        <f t="shared" si="8"/>
        <v>1000.1386586568253</v>
      </c>
      <c r="BI60" s="59">
        <f ca="1">AVERAGE(OFFSET($BH$3,0,0,'Données projet'!$E$11+1,1))-AVERAGE(OFFSET($H$3,0,0,'Données projet'!$E$11+1,1))</f>
        <v>371.85813103419366</v>
      </c>
      <c r="BJ60" s="59">
        <f t="shared" si="38"/>
        <v>370.01698880104584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16.282846994536584</v>
      </c>
      <c r="BQ60" s="21">
        <f>EXP(-LN(2)/25)*BQ59+(1-EXP(-LN(2)/25))/(LN(2)/25)*Calculateur!BL60*Calculateur!BN60*VLOOKUP('Données projet'!$B$11,Paramètres!$A$1:$I$89,3,0)*0.475*44/12</f>
        <v>21.329184558382416</v>
      </c>
      <c r="BR60" s="21">
        <f>EXP(-LN(2)/2)*BR59+(1-EXP(-LN(2)/2))/(LN(2)/2)*BL60*BO60*VLOOKUP('Données projet'!$B$11,Paramètres!$A$1:$I$89,3,0)*0.475*44/12</f>
        <v>7.6357836697513462E-2</v>
      </c>
      <c r="BS60" s="22">
        <f t="shared" si="9"/>
        <v>37.688389389616511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11.3</v>
      </c>
      <c r="BY60" s="12">
        <f>IF('Données projet'!$A$114&gt;35,BY59+BX60-CG59,IF(A60&lt;'Données projet'!$A$114,$BV$205^A60,IF(A60='Données projet'!$A$114,'Données projet'!$B$114,BY59+BX60-CG59)))</f>
        <v>399.10000000000019</v>
      </c>
      <c r="BZ60" s="13">
        <f>BY60*VLOOKUP('Données projet'!$B$12,Paramètres!$A$1:$I$89,3,0)*VLOOKUP('Données projet'!$B$12,Paramètres!$A$1:$I$89,5,0)</f>
        <v>217.90860000000009</v>
      </c>
      <c r="CA60" s="13">
        <f t="shared" si="39"/>
        <v>53.660077877545731</v>
      </c>
      <c r="CB60" s="20">
        <f t="shared" si="10"/>
        <v>472.98211397005889</v>
      </c>
      <c r="CC60" s="59">
        <f t="shared" si="11"/>
        <v>766.31544730339215</v>
      </c>
      <c r="CD60" s="59">
        <f ca="1">AVERAGE(OFFSET($CC$3,0,0,'Données projet'!$E$12+1,1))-AVERAGE(OFFSET($H$3,0,0,'Données projet'!$E$12+1,1))</f>
        <v>248.1486444660062</v>
      </c>
      <c r="CE60" s="59">
        <f t="shared" si="40"/>
        <v>293.34458072322127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4.9900532645542794</v>
      </c>
      <c r="CL60" s="21">
        <f>EXP(-LN(2)/25)*CL59+(1-EXP(-LN(2)/25))/(LN(2)/25)*Calculateur!CG60*Calculateur!CI60*VLOOKUP('Données projet'!$B$12,Paramètres!$A$1:$I$89,3,0)*0.475*44/12</f>
        <v>16.100831975181706</v>
      </c>
      <c r="CM60" s="21">
        <f>EXP(-LN(2)/2)*CM59+(1-EXP(-LN(2)/2))/(LN(2)/2)*CG60*CJ60*VLOOKUP('Données projet'!$B$12,Paramètres!$A$1:$I$89,3,0)*0.475*44/12</f>
        <v>2.1736650723329018E-3</v>
      </c>
      <c r="CN60" s="22">
        <f t="shared" si="12"/>
        <v>21.09305890480832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7.9</v>
      </c>
      <c r="CT60" s="12">
        <f>IF('Données projet'!$A$140&gt;35,CT59+CS60-DB59,IF(A60&lt;'Données projet'!$A$140,$CQ$205^A60,IF(A60='Données projet'!$A$140,'Données projet'!$B$140,CT59+CS60-DB59)))</f>
        <v>337.29999999999984</v>
      </c>
      <c r="CU60" s="17">
        <f>CT60*VLOOKUP('Données projet'!$B$13,Paramètres!$A$1:$I$89,3,0)*VLOOKUP('Données projet'!$B$13,Paramètres!$A$1:$I$89,5,0)</f>
        <v>268.35587999999984</v>
      </c>
      <c r="CV60" s="13">
        <f t="shared" si="41"/>
        <v>64.50022158961194</v>
      </c>
      <c r="CW60" s="20">
        <f t="shared" si="13"/>
        <v>579.72437693524057</v>
      </c>
      <c r="CX60" s="59">
        <f t="shared" si="14"/>
        <v>873.05771026857383</v>
      </c>
      <c r="CY60" s="59">
        <f ca="1">AVERAGE(OFFSET($CX$3,0,0,'Données projet'!$E$13+1,1))-AVERAGE(OFFSET($H$3,0,0,'Données projet'!$E$13+1,1))</f>
        <v>314.94704727988847</v>
      </c>
      <c r="CZ60" s="59">
        <f t="shared" si="42"/>
        <v>366.49199094166454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2.2938969343690858</v>
      </c>
      <c r="DG60" s="21">
        <f>EXP(-LN(2)/25)*DG59+(1-EXP(-LN(2)/25))/(LN(2)/25)*Calculateur!DB60*Calculateur!DD60*VLOOKUP('Données projet'!$B$13,Paramètres!$A$1:$I$89,3,0)*0.475*44/12</f>
        <v>12.018192644456555</v>
      </c>
      <c r="DH60" s="21">
        <f>EXP(-LN(2)/2)*DH59+(1-EXP(-LN(2)/2))/(LN(2)/2)*DB60*DE60*VLOOKUP('Données projet'!$B$13,Paramètres!$A$1:$I$89,3,0)*0.475*44/12</f>
        <v>2.4918985539466171E-3</v>
      </c>
      <c r="DI60" s="22">
        <f t="shared" si="15"/>
        <v>14.314581477379587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19.3</v>
      </c>
      <c r="N61" s="13">
        <f>IF('Données projet'!$A$36&gt;35,N60+M61-V60,IF(A61&lt;'Données projet'!$A$36,$K$205^A61,IF(A61='Données projet'!$A$36,'Données projet'!$B$36,N60+M61-V60)))</f>
        <v>640.39999999999952</v>
      </c>
      <c r="O61" s="13">
        <f>N61*VLOOKUP('Données projet'!$B$9,Paramètres!$A$1:$I$89,3,0)*VLOOKUP('Données projet'!$B$9,Paramètres!$A$1:$I$89,5,0)</f>
        <v>357.98359999999974</v>
      </c>
      <c r="P61" s="13">
        <f t="shared" si="33"/>
        <v>83.204253314675796</v>
      </c>
      <c r="Q61" s="20">
        <f t="shared" si="53"/>
        <v>768.40217785639322</v>
      </c>
      <c r="R61" s="59">
        <f t="shared" si="0"/>
        <v>1061.7355111897266</v>
      </c>
      <c r="S61" s="59">
        <f ca="1">AVERAGE(OFFSET($R$3,0,0,'Données projet'!$E$9+1,1))-AVERAGE(OFFSET($H$3,0,0,'Données projet'!$E$9+1,1))</f>
        <v>415.91544298418842</v>
      </c>
      <c r="T61" s="59">
        <f t="shared" si="34"/>
        <v>422.79312683312583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6.5589887897253973</v>
      </c>
      <c r="AA61" s="21">
        <f>EXP(-LN(2)/25)*AA60+(1-EXP(-LN(2)/25))/(LN(2)/25)*Calculateur!V61*Calculateur!X61*VLOOKUP('Données projet'!$B$9,Paramètres!$A$1:$I$89,3,0)*0.475*44/12</f>
        <v>17.832965262100622</v>
      </c>
      <c r="AB61" s="21">
        <f>EXP(-LN(2)/2)*AB60+(1-EXP(-LN(2)/2))/(LN(2)/2)*V61*Y61*VLOOKUP('Données projet'!$B$9,Paramètres!$A$1:$I$89,3,0)*0.475*44/12</f>
        <v>2.2260675875875303E-3</v>
      </c>
      <c r="AC61" s="22">
        <f t="shared" si="3"/>
        <v>24.394180119413608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14.4</v>
      </c>
      <c r="AI61" s="13">
        <f>IF('Données projet'!$A$62&gt;35,AI60+AH61-AQ60,IF(A61&lt;'Données projet'!$A$62,$AF$205^A61,IF(A61='Données projet'!$A$62,'Données projet'!$B$62,AI60+AH61-AQ60)))</f>
        <v>477.20000000000027</v>
      </c>
      <c r="AJ61" s="13">
        <f>AI61*VLOOKUP('Données projet'!$B$10,Paramètres!$A$1:$I$89,3,0)*VLOOKUP('Données projet'!$B$10,Paramètres!$A$1:$I$89,5,0)</f>
        <v>285.3656000000002</v>
      </c>
      <c r="AK61" s="13">
        <f t="shared" si="35"/>
        <v>68.099658711467967</v>
      </c>
      <c r="AL61" s="20">
        <f t="shared" si="4"/>
        <v>615.61865892247363</v>
      </c>
      <c r="AM61" s="59">
        <f t="shared" si="5"/>
        <v>908.951992255807</v>
      </c>
      <c r="AN61" s="59">
        <f ca="1">AVERAGE(OFFSET($AM$3,0,0,'Données projet'!$E$10+1,1))-AVERAGE(OFFSET($H$3,0,0,'Données projet'!$E$10+1,1))</f>
        <v>311.06126148520821</v>
      </c>
      <c r="AO61" s="59">
        <f t="shared" si="36"/>
        <v>321.1728368524748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2.0092969886494925</v>
      </c>
      <c r="AV61" s="21">
        <f>EXP(-LN(2)/25)*AV60+(1-EXP(-LN(2)/25))/(LN(2)/25)*Calculateur!AQ61*Calculateur!AS61*VLOOKUP('Données projet'!$B$10,Paramètres!$A$1:$I$89,3,0)*0.475*44/12</f>
        <v>9.8182725711420584</v>
      </c>
      <c r="AW61" s="21">
        <f>EXP(-LN(2)/2)*AW60+(1-EXP(-LN(2)/2))/(LN(2)/2)*AQ61*AT61*VLOOKUP('Données projet'!$B$10,Paramètres!$A$1:$I$89,3,0)*0.475*44/12</f>
        <v>1.8495687326763315E-3</v>
      </c>
      <c r="AX61" s="21">
        <f t="shared" si="6"/>
        <v>11.829419128524227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22.9</v>
      </c>
      <c r="BD61" s="12">
        <f>IF('Données projet'!$A$88&gt;35,BD60+BC61-BL60,IF(A61&lt;'Données projet'!$A$88,$BA$205^A61,IF(A61='Données projet'!$A$88,'Données projet'!$B$88,BD60+BC61-BL60)))</f>
        <v>706.1999999999997</v>
      </c>
      <c r="BE61" s="13">
        <f>BD61*VLOOKUP('Données projet'!$B$11,Paramètres!$A$1:$I$89,3,0)*VLOOKUP('Données projet'!$B$11,Paramètres!$A$1:$I$89,5,0)</f>
        <v>339.68219999999985</v>
      </c>
      <c r="BF61" s="13">
        <f t="shared" si="37"/>
        <v>79.434283356581332</v>
      </c>
      <c r="BG61" s="20">
        <f t="shared" si="7"/>
        <v>729.96120851271223</v>
      </c>
      <c r="BH61" s="59">
        <f t="shared" si="8"/>
        <v>1023.2945418460456</v>
      </c>
      <c r="BI61" s="59">
        <f ca="1">AVERAGE(OFFSET($BH$3,0,0,'Données projet'!$E$11+1,1))-AVERAGE(OFFSET($H$3,0,0,'Données projet'!$E$11+1,1))</f>
        <v>371.85813103419366</v>
      </c>
      <c r="BJ61" s="59">
        <f t="shared" si="38"/>
        <v>370.01698880104584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15.963550296529728</v>
      </c>
      <c r="BQ61" s="21">
        <f>EXP(-LN(2)/25)*BQ60+(1-EXP(-LN(2)/25))/(LN(2)/25)*Calculateur!BL61*Calculateur!BN61*VLOOKUP('Données projet'!$B$11,Paramètres!$A$1:$I$89,3,0)*0.475*44/12</f>
        <v>20.745936884980381</v>
      </c>
      <c r="BR61" s="21">
        <f>EXP(-LN(2)/2)*BR60+(1-EXP(-LN(2)/2))/(LN(2)/2)*BL61*BO61*VLOOKUP('Données projet'!$B$11,Paramètres!$A$1:$I$89,3,0)*0.475*44/12</f>
        <v>5.3993144125546781E-2</v>
      </c>
      <c r="BS61" s="22">
        <f t="shared" si="9"/>
        <v>36.763480325635662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11.3</v>
      </c>
      <c r="BY61" s="12">
        <f>IF('Données projet'!$A$114&gt;35,BY60+BX61-CG60,IF(A61&lt;'Données projet'!$A$114,$BV$205^A61,IF(A61='Données projet'!$A$114,'Données projet'!$B$114,BY60+BX61-CG60)))</f>
        <v>410.4000000000002</v>
      </c>
      <c r="BZ61" s="13">
        <f>BY61*VLOOKUP('Données projet'!$B$12,Paramètres!$A$1:$I$89,3,0)*VLOOKUP('Données projet'!$B$12,Paramètres!$A$1:$I$89,5,0)</f>
        <v>224.0784000000001</v>
      </c>
      <c r="CA61" s="13">
        <f t="shared" si="39"/>
        <v>55.000355965484125</v>
      </c>
      <c r="CB61" s="20">
        <f t="shared" si="10"/>
        <v>486.06216663988494</v>
      </c>
      <c r="CC61" s="59">
        <f t="shared" si="11"/>
        <v>779.39549997321819</v>
      </c>
      <c r="CD61" s="59">
        <f ca="1">AVERAGE(OFFSET($CC$3,0,0,'Données projet'!$E$12+1,1))-AVERAGE(OFFSET($H$3,0,0,'Données projet'!$E$12+1,1))</f>
        <v>248.1486444660062</v>
      </c>
      <c r="CE61" s="59">
        <f t="shared" si="40"/>
        <v>293.34458072322127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4.8922013636683275</v>
      </c>
      <c r="CL61" s="21">
        <f>EXP(-LN(2)/25)*CL60+(1-EXP(-LN(2)/25))/(LN(2)/25)*Calculateur!CG61*Calculateur!CI61*VLOOKUP('Données projet'!$B$12,Paramètres!$A$1:$I$89,3,0)*0.475*44/12</f>
        <v>15.660553878114408</v>
      </c>
      <c r="CM61" s="21">
        <f>EXP(-LN(2)/2)*CM60+(1-EXP(-LN(2)/2))/(LN(2)/2)*CG61*CJ61*VLOOKUP('Données projet'!$B$12,Paramètres!$A$1:$I$89,3,0)*0.475*44/12</f>
        <v>1.5370133126749422E-3</v>
      </c>
      <c r="CN61" s="22">
        <f t="shared" si="12"/>
        <v>20.554292255095408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7.9</v>
      </c>
      <c r="CT61" s="12">
        <f>IF('Données projet'!$A$140&gt;35,CT60+CS61-DB60,IF(A61&lt;'Données projet'!$A$140,$CQ$205^A61,IF(A61='Données projet'!$A$140,'Données projet'!$B$140,CT60+CS61-DB60)))</f>
        <v>345.19999999999982</v>
      </c>
      <c r="CU61" s="17">
        <f>CT61*VLOOKUP('Données projet'!$B$13,Paramètres!$A$1:$I$89,3,0)*VLOOKUP('Données projet'!$B$13,Paramètres!$A$1:$I$89,5,0)</f>
        <v>274.64111999999989</v>
      </c>
      <c r="CV61" s="13">
        <f t="shared" si="41"/>
        <v>65.833252956609641</v>
      </c>
      <c r="CW61" s="20">
        <f t="shared" si="13"/>
        <v>592.99286623276146</v>
      </c>
      <c r="CX61" s="59">
        <f t="shared" si="14"/>
        <v>886.32619956609483</v>
      </c>
      <c r="CY61" s="59">
        <f ca="1">AVERAGE(OFFSET($CX$3,0,0,'Données projet'!$E$13+1,1))-AVERAGE(OFFSET($H$3,0,0,'Données projet'!$E$13+1,1))</f>
        <v>314.94704727988847</v>
      </c>
      <c r="CZ61" s="59">
        <f t="shared" si="42"/>
        <v>366.49199094166454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2.2489150146250845</v>
      </c>
      <c r="DG61" s="21">
        <f>EXP(-LN(2)/25)*DG60+(1-EXP(-LN(2)/25))/(LN(2)/25)*Calculateur!DB61*Calculateur!DD61*VLOOKUP('Données projet'!$B$13,Paramètres!$A$1:$I$89,3,0)*0.475*44/12</f>
        <v>11.689554534584607</v>
      </c>
      <c r="DH61" s="21">
        <f>EXP(-LN(2)/2)*DH60+(1-EXP(-LN(2)/2))/(LN(2)/2)*DB61*DE61*VLOOKUP('Données projet'!$B$13,Paramètres!$A$1:$I$89,3,0)*0.475*44/12</f>
        <v>1.7620383655246048E-3</v>
      </c>
      <c r="DI61" s="22">
        <f t="shared" si="15"/>
        <v>13.940231587575218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19.3</v>
      </c>
      <c r="N62" s="13">
        <f>IF('Données projet'!$A$36&gt;35,N61+M62-V61,IF(A62&lt;'Données projet'!$A$36,$K$205^A62,IF(A62='Données projet'!$A$36,'Données projet'!$B$36,N61+M62-V61)))</f>
        <v>659.69999999999948</v>
      </c>
      <c r="O62" s="13">
        <f>N62*VLOOKUP('Données projet'!$B$9,Paramètres!$A$1:$I$89,3,0)*VLOOKUP('Données projet'!$B$9,Paramètres!$A$1:$I$89,5,0)</f>
        <v>368.77229999999969</v>
      </c>
      <c r="P62" s="13">
        <f t="shared" si="33"/>
        <v>85.416090852521961</v>
      </c>
      <c r="Q62" s="20">
        <f t="shared" si="53"/>
        <v>791.04478073480857</v>
      </c>
      <c r="R62" s="59">
        <f t="shared" si="0"/>
        <v>1084.3781140681419</v>
      </c>
      <c r="S62" s="59">
        <f ca="1">AVERAGE(OFFSET($R$3,0,0,'Données projet'!$E$9+1,1))-AVERAGE(OFFSET($H$3,0,0,'Données projet'!$E$9+1,1))</f>
        <v>415.91544298418842</v>
      </c>
      <c r="T62" s="59">
        <f t="shared" si="34"/>
        <v>422.79312683312583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6.4303710201470183</v>
      </c>
      <c r="AA62" s="21">
        <f>EXP(-LN(2)/25)*AA61+(1-EXP(-LN(2)/25))/(LN(2)/25)*Calculateur!V62*Calculateur!X62*VLOOKUP('Données projet'!$B$9,Paramètres!$A$1:$I$89,3,0)*0.475*44/12</f>
        <v>17.345321889213594</v>
      </c>
      <c r="AB62" s="21">
        <f>EXP(-LN(2)/2)*AB61+(1-EXP(-LN(2)/2))/(LN(2)/2)*V62*Y62*VLOOKUP('Données projet'!$B$9,Paramètres!$A$1:$I$89,3,0)*0.475*44/12</f>
        <v>1.5740674865627215E-3</v>
      </c>
      <c r="AC62" s="22">
        <f t="shared" si="3"/>
        <v>23.777266976847173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14.4</v>
      </c>
      <c r="AI62" s="13">
        <f>IF('Données projet'!$A$62&gt;35,AI61+AH62-AQ61,IF(A62&lt;'Données projet'!$A$62,$AF$205^A62,IF(A62='Données projet'!$A$62,'Données projet'!$B$62,AI61+AH62-AQ61)))</f>
        <v>491.60000000000025</v>
      </c>
      <c r="AJ62" s="13">
        <f>AI62*VLOOKUP('Données projet'!$B$10,Paramètres!$A$1:$I$89,3,0)*VLOOKUP('Données projet'!$B$10,Paramètres!$A$1:$I$89,5,0)</f>
        <v>293.9768000000002</v>
      </c>
      <c r="AK62" s="13">
        <f t="shared" si="35"/>
        <v>69.912282800586965</v>
      </c>
      <c r="AL62" s="20">
        <f t="shared" si="4"/>
        <v>633.77348587768927</v>
      </c>
      <c r="AM62" s="59">
        <f t="shared" si="5"/>
        <v>927.10681921102264</v>
      </c>
      <c r="AN62" s="59">
        <f ca="1">AVERAGE(OFFSET($AM$3,0,0,'Données projet'!$E$10+1,1))-AVERAGE(OFFSET($H$3,0,0,'Données projet'!$E$10+1,1))</f>
        <v>311.06126148520821</v>
      </c>
      <c r="AO62" s="59">
        <f t="shared" si="36"/>
        <v>321.1728368524748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1.9698959002522261</v>
      </c>
      <c r="AV62" s="21">
        <f>EXP(-LN(2)/25)*AV61+(1-EXP(-LN(2)/25))/(LN(2)/25)*Calculateur!AQ62*Calculateur!AS62*VLOOKUP('Données projet'!$B$10,Paramètres!$A$1:$I$89,3,0)*0.475*44/12</f>
        <v>9.5497913913636641</v>
      </c>
      <c r="AW62" s="21">
        <f>EXP(-LN(2)/2)*AW61+(1-EXP(-LN(2)/2))/(LN(2)/2)*AQ62*AT62*VLOOKUP('Données projet'!$B$10,Paramètres!$A$1:$I$89,3,0)*0.475*44/12</f>
        <v>1.3078425931460427E-3</v>
      </c>
      <c r="AX62" s="21">
        <f t="shared" si="6"/>
        <v>11.520995134209036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22.9</v>
      </c>
      <c r="BD62" s="12">
        <f>IF('Données projet'!$A$88&gt;35,BD61+BC62-BL61,IF(A62&lt;'Données projet'!$A$88,$BA$205^A62,IF(A62='Données projet'!$A$88,'Données projet'!$B$88,BD61+BC62-BL61)))</f>
        <v>729.09999999999968</v>
      </c>
      <c r="BE62" s="13">
        <f>BD62*VLOOKUP('Données projet'!$B$11,Paramètres!$A$1:$I$89,3,0)*VLOOKUP('Données projet'!$B$11,Paramètres!$A$1:$I$89,5,0)</f>
        <v>350.69709999999986</v>
      </c>
      <c r="BF62" s="13">
        <f t="shared" si="37"/>
        <v>81.706034741264361</v>
      </c>
      <c r="BG62" s="20">
        <f t="shared" si="7"/>
        <v>753.10212634103527</v>
      </c>
      <c r="BH62" s="59">
        <f t="shared" si="8"/>
        <v>1046.4354596743685</v>
      </c>
      <c r="BI62" s="59">
        <f ca="1">AVERAGE(OFFSET($BH$3,0,0,'Données projet'!$E$11+1,1))-AVERAGE(OFFSET($H$3,0,0,'Données projet'!$E$11+1,1))</f>
        <v>371.85813103419366</v>
      </c>
      <c r="BJ62" s="59">
        <f t="shared" si="38"/>
        <v>370.01698880104584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15.650514812019031</v>
      </c>
      <c r="BQ62" s="21">
        <f>EXP(-LN(2)/25)*BQ61+(1-EXP(-LN(2)/25))/(LN(2)/25)*Calculateur!BL62*Calculateur!BN62*VLOOKUP('Données projet'!$B$11,Paramètres!$A$1:$I$89,3,0)*0.475*44/12</f>
        <v>20.178638149879188</v>
      </c>
      <c r="BR62" s="21">
        <f>EXP(-LN(2)/2)*BR61+(1-EXP(-LN(2)/2))/(LN(2)/2)*BL62*BO62*VLOOKUP('Données projet'!$B$11,Paramètres!$A$1:$I$89,3,0)*0.475*44/12</f>
        <v>3.8178918348756731E-2</v>
      </c>
      <c r="BS62" s="22">
        <f t="shared" si="9"/>
        <v>35.867331880246972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11.3</v>
      </c>
      <c r="BY62" s="12">
        <f>IF('Données projet'!$A$114&gt;35,BY61+BX62-CG61,IF(A62&lt;'Données projet'!$A$114,$BV$205^A62,IF(A62='Données projet'!$A$114,'Données projet'!$B$114,BY61+BX62-CG61)))</f>
        <v>421.70000000000022</v>
      </c>
      <c r="BZ62" s="13">
        <f>BY62*VLOOKUP('Données projet'!$B$12,Paramètres!$A$1:$I$89,3,0)*VLOOKUP('Données projet'!$B$12,Paramètres!$A$1:$I$89,5,0)</f>
        <v>230.24820000000011</v>
      </c>
      <c r="CA62" s="13">
        <f t="shared" si="39"/>
        <v>56.336344804856289</v>
      </c>
      <c r="CB62" s="20">
        <f t="shared" si="10"/>
        <v>499.13474886845819</v>
      </c>
      <c r="CC62" s="59">
        <f t="shared" si="11"/>
        <v>792.4680822017915</v>
      </c>
      <c r="CD62" s="59">
        <f ca="1">AVERAGE(OFFSET($CC$3,0,0,'Données projet'!$E$12+1,1))-AVERAGE(OFFSET($H$3,0,0,'Données projet'!$E$12+1,1))</f>
        <v>248.1486444660062</v>
      </c>
      <c r="CE62" s="59">
        <f t="shared" si="40"/>
        <v>293.34458072322127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4.7962682788749831</v>
      </c>
      <c r="CL62" s="21">
        <f>EXP(-LN(2)/25)*CL61+(1-EXP(-LN(2)/25))/(LN(2)/25)*Calculateur!CG62*Calculateur!CI62*VLOOKUP('Données projet'!$B$12,Paramètres!$A$1:$I$89,3,0)*0.475*44/12</f>
        <v>15.232315208764634</v>
      </c>
      <c r="CM62" s="21">
        <f>EXP(-LN(2)/2)*CM61+(1-EXP(-LN(2)/2))/(LN(2)/2)*CG62*CJ62*VLOOKUP('Données projet'!$B$12,Paramètres!$A$1:$I$89,3,0)*0.475*44/12</f>
        <v>1.0868325361664509E-3</v>
      </c>
      <c r="CN62" s="22">
        <f t="shared" si="12"/>
        <v>20.029670320175782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7.9</v>
      </c>
      <c r="CT62" s="12">
        <f>IF('Données projet'!$A$140&gt;35,CT61+CS62-DB61,IF(A62&lt;'Données projet'!$A$140,$CQ$205^A62,IF(A62='Données projet'!$A$140,'Données projet'!$B$140,CT61+CS62-DB61)))</f>
        <v>353.0999999999998</v>
      </c>
      <c r="CU62" s="17">
        <f>CT62*VLOOKUP('Données projet'!$B$13,Paramètres!$A$1:$I$89,3,0)*VLOOKUP('Données projet'!$B$13,Paramètres!$A$1:$I$89,5,0)</f>
        <v>280.92635999999987</v>
      </c>
      <c r="CV62" s="13">
        <f t="shared" si="41"/>
        <v>67.162737730188837</v>
      </c>
      <c r="CW62" s="20">
        <f t="shared" si="13"/>
        <v>606.25517854674536</v>
      </c>
      <c r="CX62" s="59">
        <f t="shared" si="14"/>
        <v>899.58851188007861</v>
      </c>
      <c r="CY62" s="59">
        <f ca="1">AVERAGE(OFFSET($CX$3,0,0,'Données projet'!$E$13+1,1))-AVERAGE(OFFSET($H$3,0,0,'Données projet'!$E$13+1,1))</f>
        <v>314.94704727988847</v>
      </c>
      <c r="CZ62" s="59">
        <f t="shared" si="42"/>
        <v>366.49199094166454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2.2048151628910011</v>
      </c>
      <c r="DG62" s="21">
        <f>EXP(-LN(2)/25)*DG61+(1-EXP(-LN(2)/25))/(LN(2)/25)*Calculateur!DB62*Calculateur!DD62*VLOOKUP('Données projet'!$B$13,Paramètres!$A$1:$I$89,3,0)*0.475*44/12</f>
        <v>11.369903051109436</v>
      </c>
      <c r="DH62" s="21">
        <f>EXP(-LN(2)/2)*DH61+(1-EXP(-LN(2)/2))/(LN(2)/2)*DB62*DE62*VLOOKUP('Données projet'!$B$13,Paramètres!$A$1:$I$89,3,0)*0.475*44/12</f>
        <v>1.2459492769733085E-3</v>
      </c>
      <c r="DI62" s="22">
        <f t="shared" si="15"/>
        <v>13.57596416327741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679</v>
      </c>
      <c r="L63" s="12">
        <f>VLOOKUP(A63,'Données projet'!$A$35:$I$55,9,0)</f>
        <v>19.3</v>
      </c>
      <c r="M63" s="12">
        <f t="array" ref="M63">INDEX(L:L,MIN(IF(ISNUMBER(L63:L259),ROW(L63:L259),"")))</f>
        <v>19.3</v>
      </c>
      <c r="N63" s="13">
        <f>IF('Données projet'!$A$36&gt;35,N62+M63-V62,IF(A63&lt;'Données projet'!$A$36,$K$205^A63,IF(A63='Données projet'!$A$36,'Données projet'!$B$36,N62+M63-V62)))</f>
        <v>678.99999999999943</v>
      </c>
      <c r="O63" s="13">
        <f>N63*VLOOKUP('Données projet'!$B$9,Paramètres!$A$1:$I$89,3,0)*VLOOKUP('Données projet'!$B$9,Paramètres!$A$1:$I$89,5,0)</f>
        <v>379.56099999999969</v>
      </c>
      <c r="P63" s="13">
        <f t="shared" si="33"/>
        <v>87.620407950587037</v>
      </c>
      <c r="Q63" s="20">
        <f t="shared" si="53"/>
        <v>813.67428551393857</v>
      </c>
      <c r="R63" s="59">
        <f t="shared" si="0"/>
        <v>1107.0076188472719</v>
      </c>
      <c r="S63" s="59">
        <f ca="1">AVERAGE(OFFSET($R$3,0,0,'Données projet'!$E$9+1,1))-AVERAGE(OFFSET($H$3,0,0,'Données projet'!$E$9+1,1))</f>
        <v>415.91544298418842</v>
      </c>
      <c r="T63" s="59">
        <f t="shared" si="34"/>
        <v>422.79312683312583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96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6.3042753665809785</v>
      </c>
      <c r="AA63" s="21">
        <f>EXP(-LN(2)/25)*AA62+(1-EXP(-LN(2)/25))/(LN(2)/25)*Calculateur!V63*Calculateur!X63*VLOOKUP('Données projet'!$B$9,Paramètres!$A$1:$I$89,3,0)*0.475*44/12</f>
        <v>16.871013150002213</v>
      </c>
      <c r="AB63" s="21">
        <f>EXP(-LN(2)/2)*AB62+(1-EXP(-LN(2)/2))/(LN(2)/2)*V63*Y63*VLOOKUP('Données projet'!$B$9,Paramètres!$A$1:$I$89,3,0)*0.475*44/12</f>
        <v>1.1130337937937651E-3</v>
      </c>
      <c r="AC63" s="22">
        <f t="shared" si="3"/>
        <v>23.176401550376983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506</v>
      </c>
      <c r="AG63" s="12">
        <f>VLOOKUP(A63,'Données projet'!$A$61:$I$81,9,0)</f>
        <v>14.4</v>
      </c>
      <c r="AH63" s="12">
        <f t="array" ref="AH63">INDEX(AG:AG,MIN(IF(ISNUMBER(AG63:AG259),ROW(AG63:AG259),"")))</f>
        <v>14.4</v>
      </c>
      <c r="AI63" s="13">
        <f>IF('Données projet'!$A$62&gt;35,AI62+AH63-AQ62,IF(A63&lt;'Données projet'!$A$62,$AF$205^A63,IF(A63='Données projet'!$A$62,'Données projet'!$B$62,AI62+AH63-AQ62)))</f>
        <v>506.00000000000023</v>
      </c>
      <c r="AJ63" s="13">
        <f>AI63*VLOOKUP('Données projet'!$B$10,Paramètres!$A$1:$I$89,3,0)*VLOOKUP('Données projet'!$B$10,Paramètres!$A$1:$I$89,5,0)</f>
        <v>302.58800000000014</v>
      </c>
      <c r="AK63" s="13">
        <f t="shared" si="35"/>
        <v>71.71873615610572</v>
      </c>
      <c r="AL63" s="20">
        <f t="shared" si="4"/>
        <v>651.91756547188425</v>
      </c>
      <c r="AM63" s="59">
        <f t="shared" si="5"/>
        <v>945.2508988052175</v>
      </c>
      <c r="AN63" s="59">
        <f ca="1">AVERAGE(OFFSET($AM$3,0,0,'Données projet'!$E$10+1,1))-AVERAGE(OFFSET($H$3,0,0,'Données projet'!$E$10+1,1))</f>
        <v>311.06126148520821</v>
      </c>
      <c r="AO63" s="59">
        <f t="shared" si="36"/>
        <v>321.1728368524748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71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1.931267443166139</v>
      </c>
      <c r="AV63" s="21">
        <f>EXP(-LN(2)/25)*AV62+(1-EXP(-LN(2)/25))/(LN(2)/25)*Calculateur!AQ63*Calculateur!AS63*VLOOKUP('Données projet'!$B$10,Paramètres!$A$1:$I$89,3,0)*0.475*44/12</f>
        <v>9.2886518435651215</v>
      </c>
      <c r="AW63" s="21">
        <f>EXP(-LN(2)/2)*AW62+(1-EXP(-LN(2)/2))/(LN(2)/2)*AQ63*AT63*VLOOKUP('Données projet'!$B$10,Paramètres!$A$1:$I$89,3,0)*0.475*44/12</f>
        <v>9.2478436633816575E-4</v>
      </c>
      <c r="AX63" s="21">
        <f t="shared" si="6"/>
        <v>11.220844071097599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752</v>
      </c>
      <c r="BB63" s="12">
        <f>VLOOKUP(A63,'Données projet'!$A$87:$I$107,9,0)</f>
        <v>22.9</v>
      </c>
      <c r="BC63" s="12">
        <f t="array" ref="BC63">INDEX(BB:BB,MIN(IF(ISNUMBER(BB63:BB259),ROW(BB63:BB259),"")))</f>
        <v>22.9</v>
      </c>
      <c r="BD63" s="12">
        <f>IF('Données projet'!$A$88&gt;35,BD62+BC63-BL62,IF(A63&lt;'Données projet'!$A$88,$BA$205^A63,IF(A63='Données projet'!$A$88,'Données projet'!$B$88,BD62+BC63-BL62)))</f>
        <v>751.99999999999966</v>
      </c>
      <c r="BE63" s="13">
        <f>BD63*VLOOKUP('Données projet'!$B$11,Paramètres!$A$1:$I$89,3,0)*VLOOKUP('Données projet'!$B$11,Paramètres!$A$1:$I$89,5,0)</f>
        <v>361.71199999999988</v>
      </c>
      <c r="BF63" s="13">
        <f t="shared" si="37"/>
        <v>83.969494418440931</v>
      </c>
      <c r="BG63" s="20">
        <f t="shared" si="7"/>
        <v>776.22860277878442</v>
      </c>
      <c r="BH63" s="59">
        <f t="shared" si="8"/>
        <v>1069.5619361121178</v>
      </c>
      <c r="BI63" s="59">
        <f ca="1">AVERAGE(OFFSET($BH$3,0,0,'Données projet'!$E$11+1,1))-AVERAGE(OFFSET($H$3,0,0,'Données projet'!$E$11+1,1))</f>
        <v>371.85813103419366</v>
      </c>
      <c r="BJ63" s="59">
        <f t="shared" si="38"/>
        <v>370.01698880104584</v>
      </c>
      <c r="BK63" s="15">
        <f>IF(ISNA(VLOOKUP(A63,'Données projet'!$A$87:$I$107,3,0)),0,VLOOKUP(A63,'Données projet'!$A$87:$I$107,3,0))</f>
        <v>6</v>
      </c>
      <c r="BL63" s="15">
        <f>IF(ISNA(VLOOKUP(A63,'Données projet'!$A$87:$I$107,4,0)),0,VLOOKUP(A63,'Données projet'!$A$87:$I$107,4,0))</f>
        <v>128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15.343617762426797</v>
      </c>
      <c r="BQ63" s="21">
        <f>EXP(-LN(2)/25)*BQ62+(1-EXP(-LN(2)/25))/(LN(2)/25)*Calculateur!BL63*Calculateur!BN63*VLOOKUP('Données projet'!$B$11,Paramètres!$A$1:$I$89,3,0)*0.475*44/12</f>
        <v>19.626852228522282</v>
      </c>
      <c r="BR63" s="21">
        <f>EXP(-LN(2)/2)*BR62+(1-EXP(-LN(2)/2))/(LN(2)/2)*BL63*BO63*VLOOKUP('Données projet'!$B$11,Paramètres!$A$1:$I$89,3,0)*0.475*44/12</f>
        <v>2.6996572062773391E-2</v>
      </c>
      <c r="BS63" s="22">
        <f t="shared" si="9"/>
        <v>34.997466563011848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433</v>
      </c>
      <c r="BW63" s="12">
        <f>VLOOKUP(A63,'Données projet'!$A$113:$I$133,9,0)</f>
        <v>11.3</v>
      </c>
      <c r="BX63" s="12">
        <f t="array" ref="BX63">INDEX(BW:BW,MIN(IF(ISNUMBER(BW63:BW259),ROW(BW63:BW259),"")))</f>
        <v>11.3</v>
      </c>
      <c r="BY63" s="12">
        <f>IF('Données projet'!$A$114&gt;35,BY62+BX63-CG62,IF(A63&lt;'Données projet'!$A$114,$BV$205^A63,IF(A63='Données projet'!$A$114,'Données projet'!$B$114,BY62+BX63-CG62)))</f>
        <v>433.00000000000023</v>
      </c>
      <c r="BZ63" s="13">
        <f>BY63*VLOOKUP('Données projet'!$B$12,Paramètres!$A$1:$I$89,3,0)*VLOOKUP('Données projet'!$B$12,Paramètres!$A$1:$I$89,5,0)</f>
        <v>236.41800000000015</v>
      </c>
      <c r="CA63" s="13">
        <f t="shared" si="39"/>
        <v>57.668172541352803</v>
      </c>
      <c r="CB63" s="20">
        <f t="shared" si="10"/>
        <v>512.20008384285632</v>
      </c>
      <c r="CC63" s="59">
        <f t="shared" si="11"/>
        <v>805.53341717618969</v>
      </c>
      <c r="CD63" s="59">
        <f ca="1">AVERAGE(OFFSET($CC$3,0,0,'Données projet'!$E$12+1,1))-AVERAGE(OFFSET($H$3,0,0,'Données projet'!$E$12+1,1))</f>
        <v>248.1486444660062</v>
      </c>
      <c r="CE63" s="59">
        <f t="shared" si="40"/>
        <v>293.34458072322127</v>
      </c>
      <c r="CF63" s="15">
        <f>IF(ISNA(VLOOKUP(A63,'Données projet'!$A$113:$I$133,3,0)),0,VLOOKUP(A63,'Données projet'!$A$113:$I$133,3,0))</f>
        <v>6</v>
      </c>
      <c r="CG63" s="15">
        <f>IF(ISNA(VLOOKUP(A63,'Données projet'!$A$113:$I$133,4,0)),0,VLOOKUP(A63,'Données projet'!$A$113:$I$133,4,0))</f>
        <v>67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4.7022163833610318</v>
      </c>
      <c r="CL63" s="21">
        <f>EXP(-LN(2)/25)*CL62+(1-EXP(-LN(2)/25))/(LN(2)/25)*Calculateur!CG63*Calculateur!CI63*VLOOKUP('Données projet'!$B$12,Paramètres!$A$1:$I$89,3,0)*0.475*44/12</f>
        <v>14.815786748348321</v>
      </c>
      <c r="CM63" s="21">
        <f>EXP(-LN(2)/2)*CM62+(1-EXP(-LN(2)/2))/(LN(2)/2)*CG63*CJ63*VLOOKUP('Données projet'!$B$12,Paramètres!$A$1:$I$89,3,0)*0.475*44/12</f>
        <v>7.685066563374711E-4</v>
      </c>
      <c r="CN63" s="22">
        <f t="shared" si="12"/>
        <v>19.518771638365692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361</v>
      </c>
      <c r="CR63" s="12">
        <f>VLOOKUP(A63,'Données projet'!$A$139:$I$159,9,0)</f>
        <v>7.9</v>
      </c>
      <c r="CS63" s="12">
        <f t="array" ref="CS63">INDEX(CR:CR,MIN(IF(ISNUMBER(CR63:CR259),ROW(CR63:CR259),"")))</f>
        <v>7.9</v>
      </c>
      <c r="CT63" s="12">
        <f>IF('Données projet'!$A$140&gt;35,CT62+CS63-DB62,IF(A63&lt;'Données projet'!$A$140,$CQ$205^A63,IF(A63='Données projet'!$A$140,'Données projet'!$B$140,CT62+CS63-DB62)))</f>
        <v>360.99999999999977</v>
      </c>
      <c r="CU63" s="17">
        <f>CT63*VLOOKUP('Données projet'!$B$13,Paramètres!$A$1:$I$89,3,0)*VLOOKUP('Données projet'!$B$13,Paramètres!$A$1:$I$89,5,0)</f>
        <v>287.21159999999986</v>
      </c>
      <c r="CV63" s="13">
        <f t="shared" si="41"/>
        <v>68.488764395100958</v>
      </c>
      <c r="CW63" s="20">
        <f t="shared" si="13"/>
        <v>619.51146798813386</v>
      </c>
      <c r="CX63" s="59">
        <f t="shared" si="14"/>
        <v>912.84480132146723</v>
      </c>
      <c r="CY63" s="59">
        <f ca="1">AVERAGE(OFFSET($CX$3,0,0,'Données projet'!$E$13+1,1))-AVERAGE(OFFSET($H$3,0,0,'Données projet'!$E$13+1,1))</f>
        <v>314.94704727988847</v>
      </c>
      <c r="CZ63" s="59">
        <f t="shared" si="42"/>
        <v>366.49199094166454</v>
      </c>
      <c r="DA63" s="15">
        <f>IF(ISNA(VLOOKUP(A63,'Données projet'!$A$139:$I$159,3,0)),0,VLOOKUP(A63,'Données projet'!$A$139:$I$159,3,0))</f>
        <v>6</v>
      </c>
      <c r="DB63" s="15">
        <f>IF(ISNA(VLOOKUP(A63,'Données projet'!$A$139:$I$159,4,0)),0,VLOOKUP(A63,'Données projet'!$A$139:$I$159,4,0))</f>
        <v>35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2.1615800823511697</v>
      </c>
      <c r="DG63" s="21">
        <f>EXP(-LN(2)/25)*DG62+(1-EXP(-LN(2)/25))/(LN(2)/25)*Calculateur!DB63*Calculateur!DD63*VLOOKUP('Données projet'!$B$13,Paramètres!$A$1:$I$89,3,0)*0.475*44/12</f>
        <v>11.058992454259633</v>
      </c>
      <c r="DH63" s="21">
        <f>EXP(-LN(2)/2)*DH62+(1-EXP(-LN(2)/2))/(LN(2)/2)*DB63*DE63*VLOOKUP('Données projet'!$B$13,Paramètres!$A$1:$I$89,3,0)*0.475*44/12</f>
        <v>8.8101918276230239E-4</v>
      </c>
      <c r="DI63" s="22">
        <f t="shared" si="15"/>
        <v>13.221453555793564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15.8</v>
      </c>
      <c r="N64" s="13">
        <f>IF('Données projet'!$A$36&gt;35,N63+M64-V63,IF(A64&lt;'Données projet'!$A$36,$K$205^A64,IF(A64='Données projet'!$A$36,'Données projet'!$B$36,N63+M64-V63)))</f>
        <v>598.79999999999939</v>
      </c>
      <c r="O64" s="13">
        <f>N64*VLOOKUP('Données projet'!$B$9,Paramètres!$A$1:$I$89,3,0)*VLOOKUP('Données projet'!$B$9,Paramètres!$A$1:$I$89,5,0)</f>
        <v>334.72919999999971</v>
      </c>
      <c r="P64" s="13">
        <f t="shared" si="33"/>
        <v>78.409977536916543</v>
      </c>
      <c r="Q64" s="20">
        <f t="shared" si="53"/>
        <v>719.55073421012912</v>
      </c>
      <c r="R64" s="59">
        <f t="shared" si="0"/>
        <v>1012.8840675434624</v>
      </c>
      <c r="S64" s="59">
        <f ca="1">AVERAGE(OFFSET($R$3,0,0,'Données projet'!$E$9+1,1))-AVERAGE(OFFSET($H$3,0,0,'Données projet'!$E$9+1,1))</f>
        <v>415.91544298418842</v>
      </c>
      <c r="T64" s="59">
        <f t="shared" si="34"/>
        <v>422.79312683312583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6.1806523718706146</v>
      </c>
      <c r="AA64" s="21">
        <f>EXP(-LN(2)/25)*AA63+(1-EXP(-LN(2)/25))/(LN(2)/25)*Calculateur!V64*Calculateur!X64*VLOOKUP('Données projet'!$B$9,Paramètres!$A$1:$I$89,3,0)*0.475*44/12</f>
        <v>16.40967440820738</v>
      </c>
      <c r="AB64" s="21">
        <f>EXP(-LN(2)/2)*AB63+(1-EXP(-LN(2)/2))/(LN(2)/2)*V64*Y64*VLOOKUP('Données projet'!$B$9,Paramètres!$A$1:$I$89,3,0)*0.475*44/12</f>
        <v>7.8703374328136075E-4</v>
      </c>
      <c r="AC64" s="22">
        <f t="shared" si="3"/>
        <v>22.591113813821277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11.8</v>
      </c>
      <c r="AI64" s="13">
        <f>IF('Données projet'!$A$62&gt;35,AI63+AH64-AQ63,IF(A64&lt;'Données projet'!$A$62,$AF$205^A64,IF(A64='Données projet'!$A$62,'Données projet'!$B$62,AI63+AH64-AQ63)))</f>
        <v>446.80000000000018</v>
      </c>
      <c r="AJ64" s="13">
        <f>AI64*VLOOKUP('Données projet'!$B$10,Paramètres!$A$1:$I$89,3,0)*VLOOKUP('Données projet'!$B$10,Paramètres!$A$1:$I$89,5,0)</f>
        <v>267.18640000000016</v>
      </c>
      <c r="AK64" s="13">
        <f t="shared" si="35"/>
        <v>64.251788801464969</v>
      </c>
      <c r="AL64" s="20">
        <f t="shared" si="4"/>
        <v>577.25484549588498</v>
      </c>
      <c r="AM64" s="59">
        <f t="shared" si="5"/>
        <v>870.58817882921835</v>
      </c>
      <c r="AN64" s="59">
        <f ca="1">AVERAGE(OFFSET($AM$3,0,0,'Données projet'!$E$10+1,1))-AVERAGE(OFFSET($H$3,0,0,'Données projet'!$E$10+1,1))</f>
        <v>311.06126148520821</v>
      </c>
      <c r="AO64" s="59">
        <f t="shared" si="36"/>
        <v>321.1728368524748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1.8933964665624778</v>
      </c>
      <c r="AV64" s="21">
        <f>EXP(-LN(2)/25)*AV63+(1-EXP(-LN(2)/25))/(LN(2)/25)*Calculateur!AQ64*Calculateur!AS64*VLOOKUP('Données projet'!$B$10,Paramètres!$A$1:$I$89,3,0)*0.475*44/12</f>
        <v>9.0346531704338631</v>
      </c>
      <c r="AW64" s="21">
        <f>EXP(-LN(2)/2)*AW63+(1-EXP(-LN(2)/2))/(LN(2)/2)*AQ64*AT64*VLOOKUP('Données projet'!$B$10,Paramètres!$A$1:$I$89,3,0)*0.475*44/12</f>
        <v>6.5392129657302137E-4</v>
      </c>
      <c r="AX64" s="21">
        <f t="shared" si="6"/>
        <v>10.928703558292915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20.3</v>
      </c>
      <c r="BD64" s="12">
        <f>IF('Données projet'!$A$88&gt;35,BD63+BC64-BL63,IF(A64&lt;'Données projet'!$A$88,$BA$205^A64,IF(A64='Données projet'!$A$88,'Données projet'!$B$88,BD63+BC64-BL63)))</f>
        <v>644.29999999999961</v>
      </c>
      <c r="BE64" s="13">
        <f>BD64*VLOOKUP('Données projet'!$B$11,Paramètres!$A$1:$I$89,3,0)*VLOOKUP('Données projet'!$B$11,Paramètres!$A$1:$I$89,5,0)</f>
        <v>309.90829999999983</v>
      </c>
      <c r="BF64" s="13">
        <f t="shared" si="37"/>
        <v>73.24967923228823</v>
      </c>
      <c r="BG64" s="20">
        <f t="shared" si="7"/>
        <v>667.33348049623498</v>
      </c>
      <c r="BH64" s="59">
        <f t="shared" si="8"/>
        <v>960.66681382956835</v>
      </c>
      <c r="BI64" s="59">
        <f ca="1">AVERAGE(OFFSET($BH$3,0,0,'Données projet'!$E$11+1,1))-AVERAGE(OFFSET($H$3,0,0,'Données projet'!$E$11+1,1))</f>
        <v>371.85813103419366</v>
      </c>
      <c r="BJ64" s="59">
        <f t="shared" si="38"/>
        <v>370.01698880104584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15.042738776788349</v>
      </c>
      <c r="BQ64" s="21">
        <f>EXP(-LN(2)/25)*BQ63+(1-EXP(-LN(2)/25))/(LN(2)/25)*Calculateur!BL64*Calculateur!BN64*VLOOKUP('Données projet'!$B$11,Paramètres!$A$1:$I$89,3,0)*0.475*44/12</f>
        <v>19.090154922202039</v>
      </c>
      <c r="BR64" s="21">
        <f>EXP(-LN(2)/2)*BR63+(1-EXP(-LN(2)/2))/(LN(2)/2)*BL64*BO64*VLOOKUP('Données projet'!$B$11,Paramètres!$A$1:$I$89,3,0)*0.475*44/12</f>
        <v>1.9089459174378366E-2</v>
      </c>
      <c r="BS64" s="22">
        <f t="shared" si="9"/>
        <v>34.151983158164768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9.8000000000000007</v>
      </c>
      <c r="BY64" s="12">
        <f>IF('Données projet'!$A$114&gt;35,BY63+BX64-CG63,IF(A64&lt;'Données projet'!$A$114,$BV$205^A64,IF(A64='Données projet'!$A$114,'Données projet'!$B$114,BY63+BX64-CG63)))</f>
        <v>375.80000000000024</v>
      </c>
      <c r="BZ64" s="13">
        <f>BY64*VLOOKUP('Données projet'!$B$12,Paramètres!$A$1:$I$89,3,0)*VLOOKUP('Données projet'!$B$12,Paramètres!$A$1:$I$89,5,0)</f>
        <v>205.18680000000015</v>
      </c>
      <c r="CA64" s="13">
        <f t="shared" si="39"/>
        <v>50.882365236333044</v>
      </c>
      <c r="CB64" s="20">
        <f t="shared" si="10"/>
        <v>445.98712945328037</v>
      </c>
      <c r="CC64" s="59">
        <f t="shared" si="11"/>
        <v>739.32046278661369</v>
      </c>
      <c r="CD64" s="59">
        <f ca="1">AVERAGE(OFFSET($CC$3,0,0,'Données projet'!$E$12+1,1))-AVERAGE(OFFSET($H$3,0,0,'Données projet'!$E$12+1,1))</f>
        <v>248.1486444660062</v>
      </c>
      <c r="CE64" s="59">
        <f t="shared" si="40"/>
        <v>293.34458072322127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4.6100087881521175</v>
      </c>
      <c r="CL64" s="21">
        <f>EXP(-LN(2)/25)*CL63+(1-EXP(-LN(2)/25))/(LN(2)/25)*Calculateur!CG64*Calculateur!CI64*VLOOKUP('Données projet'!$B$12,Paramètres!$A$1:$I$89,3,0)*0.475*44/12</f>
        <v>14.410648280586374</v>
      </c>
      <c r="CM64" s="21">
        <f>EXP(-LN(2)/2)*CM63+(1-EXP(-LN(2)/2))/(LN(2)/2)*CG64*CJ64*VLOOKUP('Données projet'!$B$12,Paramètres!$A$1:$I$89,3,0)*0.475*44/12</f>
        <v>5.4341626808322545E-4</v>
      </c>
      <c r="CN64" s="22">
        <f t="shared" si="12"/>
        <v>19.021200485006574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5.6</v>
      </c>
      <c r="CT64" s="12">
        <f>IF('Données projet'!$A$140&gt;35,CT63+CS64-DB63,IF(A64&lt;'Données projet'!$A$140,$CQ$205^A64,IF(A64='Données projet'!$A$140,'Données projet'!$B$140,CT63+CS64-DB63)))</f>
        <v>331.5999999999998</v>
      </c>
      <c r="CU64" s="17">
        <f>CT64*VLOOKUP('Données projet'!$B$13,Paramètres!$A$1:$I$89,3,0)*VLOOKUP('Données projet'!$B$13,Paramètres!$A$1:$I$89,5,0)</f>
        <v>263.82095999999984</v>
      </c>
      <c r="CV64" s="13">
        <f t="shared" si="41"/>
        <v>63.536159374372303</v>
      </c>
      <c r="CW64" s="20">
        <f t="shared" si="13"/>
        <v>570.14698291036473</v>
      </c>
      <c r="CX64" s="59">
        <f t="shared" si="14"/>
        <v>863.4803162436981</v>
      </c>
      <c r="CY64" s="59">
        <f ca="1">AVERAGE(OFFSET($CX$3,0,0,'Données projet'!$E$13+1,1))-AVERAGE(OFFSET($H$3,0,0,'Données projet'!$E$13+1,1))</f>
        <v>314.94704727988847</v>
      </c>
      <c r="CZ64" s="59">
        <f t="shared" si="42"/>
        <v>366.49199094166454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2.1191928153699289</v>
      </c>
      <c r="DG64" s="21">
        <f>EXP(-LN(2)/25)*DG63+(1-EXP(-LN(2)/25))/(LN(2)/25)*Calculateur!DB64*Calculateur!DD64*VLOOKUP('Données projet'!$B$13,Paramètres!$A$1:$I$89,3,0)*0.475*44/12</f>
        <v>10.756583724030765</v>
      </c>
      <c r="DH64" s="21">
        <f>EXP(-LN(2)/2)*DH63+(1-EXP(-LN(2)/2))/(LN(2)/2)*DB64*DE64*VLOOKUP('Données projet'!$B$13,Paramètres!$A$1:$I$89,3,0)*0.475*44/12</f>
        <v>6.2297463848665427E-4</v>
      </c>
      <c r="DI64" s="22">
        <f t="shared" si="15"/>
        <v>12.87639951403918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15.8</v>
      </c>
      <c r="N65" s="13">
        <f>IF('Données projet'!$A$36&gt;35,N64+M65-V64,IF(A65&lt;'Données projet'!$A$36,$K$205^A65,IF(A65='Données projet'!$A$36,'Données projet'!$B$36,N64+M65-V64)))</f>
        <v>614.59999999999934</v>
      </c>
      <c r="O65" s="13">
        <f>N65*VLOOKUP('Données projet'!$B$9,Paramètres!$A$1:$I$89,3,0)*VLOOKUP('Données projet'!$B$9,Paramètres!$A$1:$I$89,5,0)</f>
        <v>343.56139999999965</v>
      </c>
      <c r="P65" s="13">
        <f t="shared" si="33"/>
        <v>80.235307380202258</v>
      </c>
      <c r="Q65" s="20">
        <f t="shared" si="53"/>
        <v>738.11259868718491</v>
      </c>
      <c r="R65" s="59">
        <f t="shared" si="0"/>
        <v>1031.4459320205183</v>
      </c>
      <c r="S65" s="59">
        <f ca="1">AVERAGE(OFFSET($R$3,0,0,'Données projet'!$E$9+1,1))-AVERAGE(OFFSET($H$3,0,0,'Données projet'!$E$9+1,1))</f>
        <v>415.91544298418842</v>
      </c>
      <c r="T65" s="59">
        <f t="shared" si="34"/>
        <v>422.79312683312583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6.0594535486839396</v>
      </c>
      <c r="AA65" s="21">
        <f>EXP(-LN(2)/25)*AA64+(1-EXP(-LN(2)/25))/(LN(2)/25)*Calculateur!V65*Calculateur!X65*VLOOKUP('Données projet'!$B$9,Paramètres!$A$1:$I$89,3,0)*0.475*44/12</f>
        <v>15.960950998567677</v>
      </c>
      <c r="AB65" s="21">
        <f>EXP(-LN(2)/2)*AB64+(1-EXP(-LN(2)/2))/(LN(2)/2)*V65*Y65*VLOOKUP('Données projet'!$B$9,Paramètres!$A$1:$I$89,3,0)*0.475*44/12</f>
        <v>5.5651689689688256E-4</v>
      </c>
      <c r="AC65" s="22">
        <f t="shared" si="3"/>
        <v>22.020961064148512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11.8</v>
      </c>
      <c r="AI65" s="13">
        <f>IF('Données projet'!$A$62&gt;35,AI64+AH65-AQ64,IF(A65&lt;'Données projet'!$A$62,$AF$205^A65,IF(A65='Données projet'!$A$62,'Données projet'!$B$62,AI64+AH65-AQ64)))</f>
        <v>458.60000000000019</v>
      </c>
      <c r="AJ65" s="13">
        <f>AI65*VLOOKUP('Données projet'!$B$10,Paramètres!$A$1:$I$89,3,0)*VLOOKUP('Données projet'!$B$10,Paramètres!$A$1:$I$89,5,0)</f>
        <v>274.24280000000016</v>
      </c>
      <c r="AK65" s="13">
        <f t="shared" si="35"/>
        <v>65.748879809090127</v>
      </c>
      <c r="AL65" s="20">
        <f t="shared" si="4"/>
        <v>592.15217566749891</v>
      </c>
      <c r="AM65" s="59">
        <f t="shared" si="5"/>
        <v>885.48550900083228</v>
      </c>
      <c r="AN65" s="59">
        <f ca="1">AVERAGE(OFFSET($AM$3,0,0,'Données projet'!$E$10+1,1))-AVERAGE(OFFSET($H$3,0,0,'Données projet'!$E$10+1,1))</f>
        <v>311.06126148520821</v>
      </c>
      <c r="AO65" s="59">
        <f t="shared" si="36"/>
        <v>321.1728368524748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1.8562681167109996</v>
      </c>
      <c r="AV65" s="21">
        <f>EXP(-LN(2)/25)*AV64+(1-EXP(-LN(2)/25))/(LN(2)/25)*Calculateur!AQ65*Calculateur!AS65*VLOOKUP('Données projet'!$B$10,Paramètres!$A$1:$I$89,3,0)*0.475*44/12</f>
        <v>8.7876001043765886</v>
      </c>
      <c r="AW65" s="21">
        <f>EXP(-LN(2)/2)*AW64+(1-EXP(-LN(2)/2))/(LN(2)/2)*AQ65*AT65*VLOOKUP('Données projet'!$B$10,Paramètres!$A$1:$I$89,3,0)*0.475*44/12</f>
        <v>4.6239218316908287E-4</v>
      </c>
      <c r="AX65" s="21">
        <f t="shared" si="6"/>
        <v>10.644330613270757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20.3</v>
      </c>
      <c r="BD65" s="12">
        <f>IF('Données projet'!$A$88&gt;35,BD64+BC65-BL64,IF(A65&lt;'Données projet'!$A$88,$BA$205^A65,IF(A65='Données projet'!$A$88,'Données projet'!$B$88,BD64+BC65-BL64)))</f>
        <v>664.59999999999957</v>
      </c>
      <c r="BE65" s="13">
        <f>BD65*VLOOKUP('Données projet'!$B$11,Paramètres!$A$1:$I$89,3,0)*VLOOKUP('Données projet'!$B$11,Paramètres!$A$1:$I$89,5,0)</f>
        <v>319.67259999999982</v>
      </c>
      <c r="BF65" s="13">
        <f t="shared" si="37"/>
        <v>75.285227667693263</v>
      </c>
      <c r="BG65" s="20">
        <f t="shared" si="7"/>
        <v>687.88488318789871</v>
      </c>
      <c r="BH65" s="59">
        <f t="shared" si="8"/>
        <v>981.21821652123208</v>
      </c>
      <c r="BI65" s="59">
        <f ca="1">AVERAGE(OFFSET($BH$3,0,0,'Données projet'!$E$11+1,1))-AVERAGE(OFFSET($H$3,0,0,'Données projet'!$E$11+1,1))</f>
        <v>371.85813103419366</v>
      </c>
      <c r="BJ65" s="59">
        <f t="shared" si="38"/>
        <v>370.01698880104584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14.74775984454021</v>
      </c>
      <c r="BQ65" s="21">
        <f>EXP(-LN(2)/25)*BQ64+(1-EXP(-LN(2)/25))/(LN(2)/25)*Calculateur!BL65*Calculateur!BN65*VLOOKUP('Données projet'!$B$11,Paramètres!$A$1:$I$89,3,0)*0.475*44/12</f>
        <v>18.568133631946807</v>
      </c>
      <c r="BR65" s="21">
        <f>EXP(-LN(2)/2)*BR64+(1-EXP(-LN(2)/2))/(LN(2)/2)*BL65*BO65*VLOOKUP('Données projet'!$B$11,Paramètres!$A$1:$I$89,3,0)*0.475*44/12</f>
        <v>1.3498286031386695E-2</v>
      </c>
      <c r="BS65" s="22">
        <f t="shared" si="9"/>
        <v>33.329391762518405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9.8000000000000007</v>
      </c>
      <c r="BY65" s="12">
        <f>IF('Données projet'!$A$114&gt;35,BY64+BX65-CG64,IF(A65&lt;'Données projet'!$A$114,$BV$205^A65,IF(A65='Données projet'!$A$114,'Données projet'!$B$114,BY64+BX65-CG64)))</f>
        <v>385.60000000000025</v>
      </c>
      <c r="BZ65" s="13">
        <f>BY65*VLOOKUP('Données projet'!$B$12,Paramètres!$A$1:$I$89,3,0)*VLOOKUP('Données projet'!$B$12,Paramètres!$A$1:$I$89,5,0)</f>
        <v>210.53760000000014</v>
      </c>
      <c r="CA65" s="13">
        <f t="shared" si="39"/>
        <v>52.053047337322276</v>
      </c>
      <c r="CB65" s="20">
        <f t="shared" si="10"/>
        <v>457.3453774458365</v>
      </c>
      <c r="CC65" s="59">
        <f t="shared" si="11"/>
        <v>750.67871077916982</v>
      </c>
      <c r="CD65" s="59">
        <f ca="1">AVERAGE(OFFSET($CC$3,0,0,'Données projet'!$E$12+1,1))-AVERAGE(OFFSET($H$3,0,0,'Données projet'!$E$12+1,1))</f>
        <v>248.1486444660062</v>
      </c>
      <c r="CE65" s="59">
        <f t="shared" si="40"/>
        <v>293.34458072322127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4.5196093276441704</v>
      </c>
      <c r="CL65" s="21">
        <f>EXP(-LN(2)/25)*CL64+(1-EXP(-LN(2)/25))/(LN(2)/25)*Calculateur!CG65*Calculateur!CI65*VLOOKUP('Données projet'!$B$12,Paramètres!$A$1:$I$89,3,0)*0.475*44/12</f>
        <v>14.016588345530682</v>
      </c>
      <c r="CM65" s="21">
        <f>EXP(-LN(2)/2)*CM64+(1-EXP(-LN(2)/2))/(LN(2)/2)*CG65*CJ65*VLOOKUP('Données projet'!$B$12,Paramètres!$A$1:$I$89,3,0)*0.475*44/12</f>
        <v>3.8425332816873555E-4</v>
      </c>
      <c r="CN65" s="22">
        <f t="shared" si="12"/>
        <v>18.536581926503022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5.6</v>
      </c>
      <c r="CT65" s="12">
        <f>IF('Données projet'!$A$140&gt;35,CT64+CS65-DB64,IF(A65&lt;'Données projet'!$A$140,$CQ$205^A65,IF(A65='Données projet'!$A$140,'Données projet'!$B$140,CT64+CS65-DB64)))</f>
        <v>337.19999999999982</v>
      </c>
      <c r="CU65" s="17">
        <f>CT65*VLOOKUP('Données projet'!$B$13,Paramètres!$A$1:$I$89,3,0)*VLOOKUP('Données projet'!$B$13,Paramètres!$A$1:$I$89,5,0)</f>
        <v>268.27631999999988</v>
      </c>
      <c r="CV65" s="13">
        <f t="shared" si="41"/>
        <v>64.483324649413319</v>
      </c>
      <c r="CW65" s="20">
        <f t="shared" si="13"/>
        <v>579.55638109772792</v>
      </c>
      <c r="CX65" s="59">
        <f t="shared" si="14"/>
        <v>872.88971443106129</v>
      </c>
      <c r="CY65" s="59">
        <f ca="1">AVERAGE(OFFSET($CX$3,0,0,'Données projet'!$E$13+1,1))-AVERAGE(OFFSET($H$3,0,0,'Données projet'!$E$13+1,1))</f>
        <v>314.94704727988847</v>
      </c>
      <c r="CZ65" s="59">
        <f t="shared" si="42"/>
        <v>366.49199094166454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2.0776367368405104</v>
      </c>
      <c r="DG65" s="21">
        <f>EXP(-LN(2)/25)*DG64+(1-EXP(-LN(2)/25))/(LN(2)/25)*Calculateur!DB65*Calculateur!DD65*VLOOKUP('Données projet'!$B$13,Paramètres!$A$1:$I$89,3,0)*0.475*44/12</f>
        <v>10.462444376432991</v>
      </c>
      <c r="DH65" s="21">
        <f>EXP(-LN(2)/2)*DH64+(1-EXP(-LN(2)/2))/(LN(2)/2)*DB65*DE65*VLOOKUP('Données projet'!$B$13,Paramètres!$A$1:$I$89,3,0)*0.475*44/12</f>
        <v>4.405095913811512E-4</v>
      </c>
      <c r="DI65" s="22">
        <f t="shared" si="15"/>
        <v>12.540521622864883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15.8</v>
      </c>
      <c r="N66" s="13">
        <f>IF('Données projet'!$A$36&gt;35,N65+M66-V65,IF(A66&lt;'Données projet'!$A$36,$K$205^A66,IF(A66='Données projet'!$A$36,'Données projet'!$B$36,N65+M66-V65)))</f>
        <v>630.3999999999993</v>
      </c>
      <c r="O66" s="13">
        <f>N66*VLOOKUP('Données projet'!$B$9,Paramètres!$A$1:$I$89,3,0)*VLOOKUP('Données projet'!$B$9,Paramètres!$A$1:$I$89,5,0)</f>
        <v>352.39359999999965</v>
      </c>
      <c r="P66" s="13">
        <f t="shared" si="33"/>
        <v>82.055182662578147</v>
      </c>
      <c r="Q66" s="20">
        <f t="shared" si="53"/>
        <v>756.66496313732296</v>
      </c>
      <c r="R66" s="59">
        <f t="shared" si="0"/>
        <v>1049.9982964706562</v>
      </c>
      <c r="S66" s="59">
        <f ca="1">AVERAGE(OFFSET($R$3,0,0,'Données projet'!$E$9+1,1))-AVERAGE(OFFSET($H$3,0,0,'Données projet'!$E$9+1,1))</f>
        <v>415.91544298418842</v>
      </c>
      <c r="T66" s="59">
        <f t="shared" si="34"/>
        <v>422.79312683312583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5.9406313604959724</v>
      </c>
      <c r="AA66" s="21">
        <f>EXP(-LN(2)/25)*AA65+(1-EXP(-LN(2)/25))/(LN(2)/25)*Calculateur!V66*Calculateur!X66*VLOOKUP('Données projet'!$B$9,Paramètres!$A$1:$I$89,3,0)*0.475*44/12</f>
        <v>15.524497954161911</v>
      </c>
      <c r="AB66" s="21">
        <f>EXP(-LN(2)/2)*AB65+(1-EXP(-LN(2)/2))/(LN(2)/2)*V66*Y66*VLOOKUP('Données projet'!$B$9,Paramètres!$A$1:$I$89,3,0)*0.475*44/12</f>
        <v>3.9351687164068037E-4</v>
      </c>
      <c r="AC66" s="22">
        <f t="shared" si="3"/>
        <v>21.465522831529523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11.8</v>
      </c>
      <c r="AI66" s="13">
        <f>IF('Données projet'!$A$62&gt;35,AI65+AH66-AQ65,IF(A66&lt;'Données projet'!$A$62,$AF$205^A66,IF(A66='Données projet'!$A$62,'Données projet'!$B$62,AI65+AH66-AQ65)))</f>
        <v>470.4000000000002</v>
      </c>
      <c r="AJ66" s="13">
        <f>AI66*VLOOKUP('Données projet'!$B$10,Paramètres!$A$1:$I$89,3,0)*VLOOKUP('Données projet'!$B$10,Paramètres!$A$1:$I$89,5,0)</f>
        <v>281.29920000000016</v>
      </c>
      <c r="AK66" s="13">
        <f t="shared" si="35"/>
        <v>67.241493172476709</v>
      </c>
      <c r="AL66" s="20">
        <f t="shared" si="4"/>
        <v>607.04170727539702</v>
      </c>
      <c r="AM66" s="59">
        <f t="shared" si="5"/>
        <v>900.37504060873039</v>
      </c>
      <c r="AN66" s="59">
        <f ca="1">AVERAGE(OFFSET($AM$3,0,0,'Données projet'!$E$10+1,1))-AVERAGE(OFFSET($H$3,0,0,'Données projet'!$E$10+1,1))</f>
        <v>311.06126148520821</v>
      </c>
      <c r="AO66" s="59">
        <f t="shared" si="36"/>
        <v>321.1728368524748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1.8198678311540515</v>
      </c>
      <c r="AV66" s="21">
        <f>EXP(-LN(2)/25)*AV65+(1-EXP(-LN(2)/25))/(LN(2)/25)*Calculateur!AQ66*Calculateur!AS66*VLOOKUP('Données projet'!$B$10,Paramètres!$A$1:$I$89,3,0)*0.475*44/12</f>
        <v>8.5473027174026051</v>
      </c>
      <c r="AW66" s="21">
        <f>EXP(-LN(2)/2)*AW65+(1-EXP(-LN(2)/2))/(LN(2)/2)*AQ66*AT66*VLOOKUP('Données projet'!$B$10,Paramètres!$A$1:$I$89,3,0)*0.475*44/12</f>
        <v>3.2696064828651068E-4</v>
      </c>
      <c r="AX66" s="21">
        <f t="shared" si="6"/>
        <v>10.367497509204942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20.3</v>
      </c>
      <c r="BD66" s="12">
        <f>IF('Données projet'!$A$88&gt;35,BD65+BC66-BL65,IF(A66&lt;'Données projet'!$A$88,$BA$205^A66,IF(A66='Données projet'!$A$88,'Données projet'!$B$88,BD65+BC66-BL65)))</f>
        <v>684.89999999999952</v>
      </c>
      <c r="BE66" s="13">
        <f>BD66*VLOOKUP('Données projet'!$B$11,Paramètres!$A$1:$I$89,3,0)*VLOOKUP('Données projet'!$B$11,Paramètres!$A$1:$I$89,5,0)</f>
        <v>329.43689999999975</v>
      </c>
      <c r="BF66" s="13">
        <f t="shared" si="37"/>
        <v>77.313550573877905</v>
      </c>
      <c r="BG66" s="20">
        <f t="shared" si="7"/>
        <v>708.42370141617005</v>
      </c>
      <c r="BH66" s="59">
        <f t="shared" si="8"/>
        <v>1001.7570347495034</v>
      </c>
      <c r="BI66" s="59">
        <f ca="1">AVERAGE(OFFSET($BH$3,0,0,'Données projet'!$E$11+1,1))-AVERAGE(OFFSET($H$3,0,0,'Données projet'!$E$11+1,1))</f>
        <v>371.85813103419366</v>
      </c>
      <c r="BJ66" s="59">
        <f t="shared" si="38"/>
        <v>370.01698880104584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14.458565269234075</v>
      </c>
      <c r="BQ66" s="21">
        <f>EXP(-LN(2)/25)*BQ65+(1-EXP(-LN(2)/25))/(LN(2)/25)*Calculateur!BL66*Calculateur!BN66*VLOOKUP('Données projet'!$B$11,Paramètres!$A$1:$I$89,3,0)*0.475*44/12</f>
        <v>18.060387041325512</v>
      </c>
      <c r="BR66" s="21">
        <f>EXP(-LN(2)/2)*BR65+(1-EXP(-LN(2)/2))/(LN(2)/2)*BL66*BO66*VLOOKUP('Données projet'!$B$11,Paramètres!$A$1:$I$89,3,0)*0.475*44/12</f>
        <v>9.5447295871891828E-3</v>
      </c>
      <c r="BS66" s="22">
        <f t="shared" si="9"/>
        <v>32.528497040146775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9.8000000000000007</v>
      </c>
      <c r="BY66" s="12">
        <f>IF('Données projet'!$A$114&gt;35,BY65+BX66-CG65,IF(A66&lt;'Données projet'!$A$114,$BV$205^A66,IF(A66='Données projet'!$A$114,'Données projet'!$B$114,BY65+BX66-CG65)))</f>
        <v>395.40000000000026</v>
      </c>
      <c r="BZ66" s="13">
        <f>BY66*VLOOKUP('Données projet'!$B$12,Paramètres!$A$1:$I$89,3,0)*VLOOKUP('Données projet'!$B$12,Paramètres!$A$1:$I$89,5,0)</f>
        <v>215.88840000000013</v>
      </c>
      <c r="CA66" s="13">
        <f t="shared" si="39"/>
        <v>53.220270935025496</v>
      </c>
      <c r="CB66" s="20">
        <f t="shared" si="10"/>
        <v>468.69760187850301</v>
      </c>
      <c r="CC66" s="59">
        <f t="shared" si="11"/>
        <v>762.03093521183632</v>
      </c>
      <c r="CD66" s="59">
        <f ca="1">AVERAGE(OFFSET($CC$3,0,0,'Données projet'!$E$12+1,1))-AVERAGE(OFFSET($H$3,0,0,'Données projet'!$E$12+1,1))</f>
        <v>248.1486444660062</v>
      </c>
      <c r="CE66" s="59">
        <f t="shared" si="40"/>
        <v>293.34458072322127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4.4309825454185576</v>
      </c>
      <c r="CL66" s="21">
        <f>EXP(-LN(2)/25)*CL65+(1-EXP(-LN(2)/25))/(LN(2)/25)*Calculateur!CG66*Calculateur!CI66*VLOOKUP('Données projet'!$B$12,Paramètres!$A$1:$I$89,3,0)*0.475*44/12</f>
        <v>13.6333040001218</v>
      </c>
      <c r="CM66" s="21">
        <f>EXP(-LN(2)/2)*CM65+(1-EXP(-LN(2)/2))/(LN(2)/2)*CG66*CJ66*VLOOKUP('Données projet'!$B$12,Paramètres!$A$1:$I$89,3,0)*0.475*44/12</f>
        <v>2.7170813404161272E-4</v>
      </c>
      <c r="CN66" s="22">
        <f t="shared" si="12"/>
        <v>18.064558253674399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5.6</v>
      </c>
      <c r="CT66" s="12">
        <f>IF('Données projet'!$A$140&gt;35,CT65+CS66-DB65,IF(A66&lt;'Données projet'!$A$140,$CQ$205^A66,IF(A66='Données projet'!$A$140,'Données projet'!$B$140,CT65+CS66-DB65)))</f>
        <v>342.79999999999984</v>
      </c>
      <c r="CU66" s="17">
        <f>CT66*VLOOKUP('Données projet'!$B$13,Paramètres!$A$1:$I$89,3,0)*VLOOKUP('Données projet'!$B$13,Paramètres!$A$1:$I$89,5,0)</f>
        <v>272.73167999999987</v>
      </c>
      <c r="CV66" s="13">
        <f t="shared" si="41"/>
        <v>65.428660642640267</v>
      </c>
      <c r="CW66" s="20">
        <f t="shared" si="13"/>
        <v>588.96259328593146</v>
      </c>
      <c r="CX66" s="59">
        <f t="shared" si="14"/>
        <v>882.29592661926472</v>
      </c>
      <c r="CY66" s="59">
        <f ca="1">AVERAGE(OFFSET($CX$3,0,0,'Données projet'!$E$13+1,1))-AVERAGE(OFFSET($H$3,0,0,'Données projet'!$E$13+1,1))</f>
        <v>314.94704727988847</v>
      </c>
      <c r="CZ66" s="59">
        <f t="shared" si="42"/>
        <v>366.49199094166454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2.0368955476643484</v>
      </c>
      <c r="DG66" s="21">
        <f>EXP(-LN(2)/25)*DG65+(1-EXP(-LN(2)/25))/(LN(2)/25)*Calculateur!DB66*Calculateur!DD66*VLOOKUP('Données projet'!$B$13,Paramètres!$A$1:$I$89,3,0)*0.475*44/12</f>
        <v>10.176348284763394</v>
      </c>
      <c r="DH66" s="21">
        <f>EXP(-LN(2)/2)*DH65+(1-EXP(-LN(2)/2))/(LN(2)/2)*DB66*DE66*VLOOKUP('Données projet'!$B$13,Paramètres!$A$1:$I$89,3,0)*0.475*44/12</f>
        <v>3.1148731924332713E-4</v>
      </c>
      <c r="DI66" s="22">
        <f t="shared" si="15"/>
        <v>12.213555319746986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15.8</v>
      </c>
      <c r="N67" s="13">
        <f>IF('Données projet'!$A$36&gt;35,N66+M67-V66,IF(A67&lt;'Données projet'!$A$36,$K$205^A67,IF(A67='Données projet'!$A$36,'Données projet'!$B$36,N66+M67-V66)))</f>
        <v>646.19999999999925</v>
      </c>
      <c r="O67" s="13">
        <f>N67*VLOOKUP('Données projet'!$B$9,Paramètres!$A$1:$I$89,3,0)*VLOOKUP('Données projet'!$B$9,Paramètres!$A$1:$I$89,5,0)</f>
        <v>361.22579999999965</v>
      </c>
      <c r="P67" s="13">
        <f t="shared" si="33"/>
        <v>83.869755817099659</v>
      </c>
      <c r="Q67" s="20">
        <f t="shared" ref="Q67:Q98" si="54">(O67+P67)*0.475*44/12</f>
        <v>775.20809304811462</v>
      </c>
      <c r="R67" s="59">
        <f t="shared" ref="R67:R130" si="55">Q67+(I67+J67)*44/12</f>
        <v>1068.541426381448</v>
      </c>
      <c r="S67" s="59">
        <f ca="1">AVERAGE(OFFSET($R$3,0,0,'Données projet'!$E$9+1,1))-AVERAGE(OFFSET($H$3,0,0,'Données projet'!$E$9+1,1))</f>
        <v>415.91544298418842</v>
      </c>
      <c r="T67" s="59">
        <f t="shared" si="34"/>
        <v>422.79312683312583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5.8241392029439929</v>
      </c>
      <c r="AA67" s="21">
        <f>EXP(-LN(2)/25)*AA66+(1-EXP(-LN(2)/25))/(LN(2)/25)*Calculateur!V67*Calculateur!X67*VLOOKUP('Données projet'!$B$9,Paramètres!$A$1:$I$89,3,0)*0.475*44/12</f>
        <v>15.099979741207488</v>
      </c>
      <c r="AB67" s="21">
        <f>EXP(-LN(2)/2)*AB66+(1-EXP(-LN(2)/2))/(LN(2)/2)*V67*Y67*VLOOKUP('Données projet'!$B$9,Paramètres!$A$1:$I$89,3,0)*0.475*44/12</f>
        <v>2.7825844844844128E-4</v>
      </c>
      <c r="AC67" s="22">
        <f t="shared" si="3"/>
        <v>20.924397202599931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11.8</v>
      </c>
      <c r="AI67" s="13">
        <f>IF('Données projet'!$A$62&gt;35,AI66+AH67-AQ66,IF(A67&lt;'Données projet'!$A$62,$AF$205^A67,IF(A67='Données projet'!$A$62,'Données projet'!$B$62,AI66+AH67-AQ66)))</f>
        <v>482.20000000000022</v>
      </c>
      <c r="AJ67" s="13">
        <f>AI67*VLOOKUP('Données projet'!$B$10,Paramètres!$A$1:$I$89,3,0)*VLOOKUP('Données projet'!$B$10,Paramètres!$A$1:$I$89,5,0)</f>
        <v>288.35560000000015</v>
      </c>
      <c r="AK67" s="13">
        <f t="shared" si="35"/>
        <v>68.72975413142585</v>
      </c>
      <c r="AL67" s="20">
        <f t="shared" si="4"/>
        <v>621.92365844556696</v>
      </c>
      <c r="AM67" s="59">
        <f t="shared" si="5"/>
        <v>915.25699177890033</v>
      </c>
      <c r="AN67" s="59">
        <f ca="1">AVERAGE(OFFSET($AM$3,0,0,'Données projet'!$E$10+1,1))-AVERAGE(OFFSET($H$3,0,0,'Données projet'!$E$10+1,1))</f>
        <v>311.06126148520821</v>
      </c>
      <c r="AO67" s="59">
        <f t="shared" si="36"/>
        <v>321.1728368524748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1.7841813329948932</v>
      </c>
      <c r="AV67" s="21">
        <f>EXP(-LN(2)/25)*AV66+(1-EXP(-LN(2)/25))/(LN(2)/25)*Calculateur!AQ67*Calculateur!AS67*VLOOKUP('Données projet'!$B$10,Paramètres!$A$1:$I$89,3,0)*0.475*44/12</f>
        <v>8.3135762751121156</v>
      </c>
      <c r="AW67" s="21">
        <f>EXP(-LN(2)/2)*AW66+(1-EXP(-LN(2)/2))/(LN(2)/2)*AQ67*AT67*VLOOKUP('Données projet'!$B$10,Paramètres!$A$1:$I$89,3,0)*0.475*44/12</f>
        <v>2.3119609158454144E-4</v>
      </c>
      <c r="AX67" s="21">
        <f t="shared" si="6"/>
        <v>10.097988804198595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20.3</v>
      </c>
      <c r="BD67" s="12">
        <f>IF('Données projet'!$A$88&gt;35,BD66+BC67-BL66,IF(A67&lt;'Données projet'!$A$88,$BA$205^A67,IF(A67='Données projet'!$A$88,'Données projet'!$B$88,BD66+BC67-BL66)))</f>
        <v>705.19999999999948</v>
      </c>
      <c r="BE67" s="13">
        <f>BD67*VLOOKUP('Données projet'!$B$11,Paramètres!$A$1:$I$89,3,0)*VLOOKUP('Données projet'!$B$11,Paramètres!$A$1:$I$89,5,0)</f>
        <v>339.20119999999974</v>
      </c>
      <c r="BF67" s="13">
        <f t="shared" si="37"/>
        <v>79.334886698081149</v>
      </c>
      <c r="BG67" s="20">
        <f t="shared" si="7"/>
        <v>728.95035099915742</v>
      </c>
      <c r="BH67" s="59">
        <f t="shared" si="8"/>
        <v>1022.2836843324908</v>
      </c>
      <c r="BI67" s="59">
        <f ca="1">AVERAGE(OFFSET($BH$3,0,0,'Données projet'!$E$11+1,1))-AVERAGE(OFFSET($H$3,0,0,'Données projet'!$E$11+1,1))</f>
        <v>371.85813103419366</v>
      </c>
      <c r="BJ67" s="59">
        <f t="shared" si="38"/>
        <v>370.01698880104584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14.175041623158419</v>
      </c>
      <c r="BQ67" s="21">
        <f>EXP(-LN(2)/25)*BQ66+(1-EXP(-LN(2)/25))/(LN(2)/25)*Calculateur!BL67*Calculateur!BN67*VLOOKUP('Données projet'!$B$11,Paramètres!$A$1:$I$89,3,0)*0.475*44/12</f>
        <v>17.56652480792599</v>
      </c>
      <c r="BR67" s="21">
        <f>EXP(-LN(2)/2)*BR66+(1-EXP(-LN(2)/2))/(LN(2)/2)*BL67*BO67*VLOOKUP('Données projet'!$B$11,Paramètres!$A$1:$I$89,3,0)*0.475*44/12</f>
        <v>6.7491430156933476E-3</v>
      </c>
      <c r="BS67" s="22">
        <f t="shared" si="9"/>
        <v>31.748315574100101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9.8000000000000007</v>
      </c>
      <c r="BY67" s="12">
        <f>IF('Données projet'!$A$114&gt;35,BY66+BX67-CG66,IF(A67&lt;'Données projet'!$A$114,$BV$205^A67,IF(A67='Données projet'!$A$114,'Données projet'!$B$114,BY66+BX67-CG66)))</f>
        <v>405.20000000000027</v>
      </c>
      <c r="BZ67" s="13">
        <f>BY67*VLOOKUP('Données projet'!$B$12,Paramètres!$A$1:$I$89,3,0)*VLOOKUP('Données projet'!$B$12,Paramètres!$A$1:$I$89,5,0)</f>
        <v>221.23920000000015</v>
      </c>
      <c r="CA67" s="13">
        <f t="shared" si="39"/>
        <v>54.384131608131625</v>
      </c>
      <c r="CB67" s="20">
        <f t="shared" si="10"/>
        <v>480.04396921749617</v>
      </c>
      <c r="CC67" s="59">
        <f t="shared" si="11"/>
        <v>773.37730255082943</v>
      </c>
      <c r="CD67" s="59">
        <f ca="1">AVERAGE(OFFSET($CC$3,0,0,'Données projet'!$E$12+1,1))-AVERAGE(OFFSET($H$3,0,0,'Données projet'!$E$12+1,1))</f>
        <v>248.1486444660062</v>
      </c>
      <c r="CE67" s="59">
        <f t="shared" si="40"/>
        <v>293.34458072322127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4.3440936803353898</v>
      </c>
      <c r="CL67" s="21">
        <f>EXP(-LN(2)/25)*CL66+(1-EXP(-LN(2)/25))/(LN(2)/25)*Calculateur!CG67*Calculateur!CI67*VLOOKUP('Données projet'!$B$12,Paramètres!$A$1:$I$89,3,0)*0.475*44/12</f>
        <v>13.260500585294171</v>
      </c>
      <c r="CM67" s="21">
        <f>EXP(-LN(2)/2)*CM66+(1-EXP(-LN(2)/2))/(LN(2)/2)*CG67*CJ67*VLOOKUP('Données projet'!$B$12,Paramètres!$A$1:$I$89,3,0)*0.475*44/12</f>
        <v>1.9212666408436777E-4</v>
      </c>
      <c r="CN67" s="22">
        <f t="shared" si="12"/>
        <v>17.604786392293647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5.6</v>
      </c>
      <c r="CT67" s="12">
        <f>IF('Données projet'!$A$140&gt;35,CT66+CS67-DB66,IF(A67&lt;'Données projet'!$A$140,$CQ$205^A67,IF(A67='Données projet'!$A$140,'Données projet'!$B$140,CT66+CS67-DB66)))</f>
        <v>348.39999999999986</v>
      </c>
      <c r="CU67" s="17">
        <f>CT67*VLOOKUP('Données projet'!$B$13,Paramètres!$A$1:$I$89,3,0)*VLOOKUP('Données projet'!$B$13,Paramètres!$A$1:$I$89,5,0)</f>
        <v>277.18703999999991</v>
      </c>
      <c r="CV67" s="13">
        <f t="shared" si="41"/>
        <v>66.372200687001879</v>
      </c>
      <c r="CW67" s="20">
        <f t="shared" si="13"/>
        <v>598.36567752986139</v>
      </c>
      <c r="CX67" s="59">
        <f t="shared" si="14"/>
        <v>891.69901086319464</v>
      </c>
      <c r="CY67" s="59">
        <f ca="1">AVERAGE(OFFSET($CX$3,0,0,'Données projet'!$E$13+1,1))-AVERAGE(OFFSET($H$3,0,0,'Données projet'!$E$13+1,1))</f>
        <v>314.94704727988847</v>
      </c>
      <c r="CZ67" s="59">
        <f t="shared" si="42"/>
        <v>366.49199094166454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1.9969532683582594</v>
      </c>
      <c r="DG67" s="21">
        <f>EXP(-LN(2)/25)*DG66+(1-EXP(-LN(2)/25))/(LN(2)/25)*Calculateur!DB67*Calculateur!DD67*VLOOKUP('Données projet'!$B$13,Paramètres!$A$1:$I$89,3,0)*0.475*44/12</f>
        <v>9.8980755057656413</v>
      </c>
      <c r="DH67" s="21">
        <f>EXP(-LN(2)/2)*DH66+(1-EXP(-LN(2)/2))/(LN(2)/2)*DB67*DE67*VLOOKUP('Données projet'!$B$13,Paramètres!$A$1:$I$89,3,0)*0.475*44/12</f>
        <v>2.202547956905756E-4</v>
      </c>
      <c r="DI67" s="22">
        <f t="shared" si="15"/>
        <v>11.895249028919592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15.8</v>
      </c>
      <c r="N68" s="13">
        <f>IF('Données projet'!$A$36&gt;35,N67+M68-V67,IF(A68&lt;'Données projet'!$A$36,$K$205^A68,IF(A68='Données projet'!$A$36,'Données projet'!$B$36,N67+M68-V67)))</f>
        <v>661.9999999999992</v>
      </c>
      <c r="O68" s="13">
        <f>N68*VLOOKUP('Données projet'!$B$9,Paramètres!$A$1:$I$89,3,0)*VLOOKUP('Données projet'!$B$9,Paramètres!$A$1:$I$89,5,0)</f>
        <v>370.05799999999954</v>
      </c>
      <c r="P68" s="13">
        <f t="shared" si="33"/>
        <v>85.679171397668327</v>
      </c>
      <c r="Q68" s="20">
        <f t="shared" si="54"/>
        <v>793.74224018427151</v>
      </c>
      <c r="R68" s="59">
        <f t="shared" si="55"/>
        <v>1087.0755735176049</v>
      </c>
      <c r="S68" s="59">
        <f ca="1">AVERAGE(OFFSET($R$3,0,0,'Données projet'!$E$9+1,1))-AVERAGE(OFFSET($H$3,0,0,'Données projet'!$E$9+1,1))</f>
        <v>415.91544298418842</v>
      </c>
      <c r="T68" s="59">
        <f t="shared" si="34"/>
        <v>422.79312683312583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5.7099313855484075</v>
      </c>
      <c r="AA68" s="21">
        <f>EXP(-LN(2)/25)*AA67+(1-EXP(-LN(2)/25))/(LN(2)/25)*Calculateur!V68*Calculateur!X68*VLOOKUP('Données projet'!$B$9,Paramètres!$A$1:$I$89,3,0)*0.475*44/12</f>
        <v>14.687070001110746</v>
      </c>
      <c r="AB68" s="21">
        <f>EXP(-LN(2)/2)*AB67+(1-EXP(-LN(2)/2))/(LN(2)/2)*V68*Y68*VLOOKUP('Données projet'!$B$9,Paramètres!$A$1:$I$89,3,0)*0.475*44/12</f>
        <v>1.9675843582034019E-4</v>
      </c>
      <c r="AC68" s="22">
        <f t="shared" ref="AC68:AC131" si="57">SUM(Z68:AB68)</f>
        <v>20.397198145094972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11.8</v>
      </c>
      <c r="AI68" s="13">
        <f>IF('Données projet'!$A$62&gt;35,AI67+AH68-AQ67,IF(A68&lt;'Données projet'!$A$62,$AF$205^A68,IF(A68='Données projet'!$A$62,'Données projet'!$B$62,AI67+AH68-AQ67)))</f>
        <v>494.00000000000023</v>
      </c>
      <c r="AJ68" s="13">
        <f>AI68*VLOOKUP('Données projet'!$B$10,Paramètres!$A$1:$I$89,3,0)*VLOOKUP('Données projet'!$B$10,Paramètres!$A$1:$I$89,5,0)</f>
        <v>295.41200000000015</v>
      </c>
      <c r="AK68" s="13">
        <f t="shared" si="35"/>
        <v>70.21378144675117</v>
      </c>
      <c r="AL68" s="20">
        <f t="shared" ref="AL68:AL131" si="58">(AJ68+AK68)*0.475*44/12</f>
        <v>636.79823601975852</v>
      </c>
      <c r="AM68" s="59">
        <f t="shared" ref="AM68:AM131" si="59">AL68+(AD68+AE68)*44/12</f>
        <v>930.13156935309189</v>
      </c>
      <c r="AN68" s="59">
        <f ca="1">AVERAGE(OFFSET($AM$3,0,0,'Données projet'!$E$10+1,1))-AVERAGE(OFFSET($H$3,0,0,'Données projet'!$E$10+1,1))</f>
        <v>311.06126148520821</v>
      </c>
      <c r="AO68" s="59">
        <f t="shared" si="36"/>
        <v>321.1728368524748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1.7491946252980215</v>
      </c>
      <c r="AV68" s="21">
        <f>EXP(-LN(2)/25)*AV67+(1-EXP(-LN(2)/25))/(LN(2)/25)*Calculateur!AQ68*Calculateur!AS68*VLOOKUP('Données projet'!$B$10,Paramètres!$A$1:$I$89,3,0)*0.475*44/12</f>
        <v>8.0862410946771988</v>
      </c>
      <c r="AW68" s="21">
        <f>EXP(-LN(2)/2)*AW67+(1-EXP(-LN(2)/2))/(LN(2)/2)*AQ68*AT68*VLOOKUP('Données projet'!$B$10,Paramètres!$A$1:$I$89,3,0)*0.475*44/12</f>
        <v>1.6348032414325534E-4</v>
      </c>
      <c r="AX68" s="21">
        <f t="shared" ref="AX68:AX131" si="60">SUM(AU68:AW68)</f>
        <v>9.8355992002993631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20.3</v>
      </c>
      <c r="BD68" s="12">
        <f>IF('Données projet'!$A$88&gt;35,BD67+BC68-BL67,IF(A68&lt;'Données projet'!$A$88,$BA$205^A68,IF(A68='Données projet'!$A$88,'Données projet'!$B$88,BD67+BC68-BL67)))</f>
        <v>725.49999999999943</v>
      </c>
      <c r="BE68" s="13">
        <f>BD68*VLOOKUP('Données projet'!$B$11,Paramètres!$A$1:$I$89,3,0)*VLOOKUP('Données projet'!$B$11,Paramètres!$A$1:$I$89,5,0)</f>
        <v>348.96549999999974</v>
      </c>
      <c r="BF68" s="13">
        <f t="shared" si="37"/>
        <v>81.349460260606179</v>
      </c>
      <c r="BG68" s="20">
        <f t="shared" ref="BG68:BG131" si="61">(BE68+BF68)*0.475*44/12</f>
        <v>749.4652224538886</v>
      </c>
      <c r="BH68" s="59">
        <f t="shared" ref="BH68:BH131" si="62">BG68+(AY68+AZ68)*44/12</f>
        <v>1042.7985557872219</v>
      </c>
      <c r="BI68" s="59">
        <f ca="1">AVERAGE(OFFSET($BH$3,0,0,'Données projet'!$E$11+1,1))-AVERAGE(OFFSET($H$3,0,0,'Données projet'!$E$11+1,1))</f>
        <v>371.85813103419366</v>
      </c>
      <c r="BJ68" s="59">
        <f t="shared" si="38"/>
        <v>370.01698880104584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13.897077702849959</v>
      </c>
      <c r="BQ68" s="21">
        <f>EXP(-LN(2)/25)*BQ67+(1-EXP(-LN(2)/25))/(LN(2)/25)*Calculateur!BL68*Calculateur!BN68*VLOOKUP('Données projet'!$B$11,Paramètres!$A$1:$I$89,3,0)*0.475*44/12</f>
        <v>17.086167263269864</v>
      </c>
      <c r="BR68" s="21">
        <f>EXP(-LN(2)/2)*BR67+(1-EXP(-LN(2)/2))/(LN(2)/2)*BL68*BO68*VLOOKUP('Données projet'!$B$11,Paramètres!$A$1:$I$89,3,0)*0.475*44/12</f>
        <v>4.7723647935945914E-3</v>
      </c>
      <c r="BS68" s="22">
        <f t="shared" ref="BS68:BS131" si="63">SUM(BP68:BR68)</f>
        <v>30.988017330913419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9.8000000000000007</v>
      </c>
      <c r="BY68" s="12">
        <f>IF('Données projet'!$A$114&gt;35,BY67+BX68-CG67,IF(A68&lt;'Données projet'!$A$114,$BV$205^A68,IF(A68='Données projet'!$A$114,'Données projet'!$B$114,BY67+BX68-CG67)))</f>
        <v>415.00000000000028</v>
      </c>
      <c r="BZ68" s="13">
        <f>BY68*VLOOKUP('Données projet'!$B$12,Paramètres!$A$1:$I$89,3,0)*VLOOKUP('Données projet'!$B$12,Paramètres!$A$1:$I$89,5,0)</f>
        <v>226.59000000000017</v>
      </c>
      <c r="CA68" s="13">
        <f t="shared" si="39"/>
        <v>55.544720048447758</v>
      </c>
      <c r="CB68" s="20">
        <f t="shared" ref="CB68:CB131" si="64">(BZ68+CA68)*0.475*44/12</f>
        <v>491.38463741771352</v>
      </c>
      <c r="CC68" s="59">
        <f t="shared" ref="CC68:CC131" si="65">CB68+(BT68+BU68)*44/12</f>
        <v>784.71797075104678</v>
      </c>
      <c r="CD68" s="59">
        <f ca="1">AVERAGE(OFFSET($CC$3,0,0,'Données projet'!$E$12+1,1))-AVERAGE(OFFSET($H$3,0,0,'Données projet'!$E$12+1,1))</f>
        <v>248.1486444660062</v>
      </c>
      <c r="CE68" s="59">
        <f t="shared" si="40"/>
        <v>293.34458072322127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4.2589086528995281</v>
      </c>
      <c r="CL68" s="21">
        <f>EXP(-LN(2)/25)*CL67+(1-EXP(-LN(2)/25))/(LN(2)/25)*Calculateur!CG68*Calculateur!CI68*VLOOKUP('Données projet'!$B$12,Paramètres!$A$1:$I$89,3,0)*0.475*44/12</f>
        <v>12.897891499449884</v>
      </c>
      <c r="CM68" s="21">
        <f>EXP(-LN(2)/2)*CM67+(1-EXP(-LN(2)/2))/(LN(2)/2)*CG68*CJ68*VLOOKUP('Données projet'!$B$12,Paramètres!$A$1:$I$89,3,0)*0.475*44/12</f>
        <v>1.3585406702080636E-4</v>
      </c>
      <c r="CN68" s="22">
        <f t="shared" ref="CN68:CN131" si="66">SUM(CK68:CM68)</f>
        <v>17.156936006416434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5.6</v>
      </c>
      <c r="CT68" s="12">
        <f>IF('Données projet'!$A$140&gt;35,CT67+CS68-DB67,IF(A68&lt;'Données projet'!$A$140,$CQ$205^A68,IF(A68='Données projet'!$A$140,'Données projet'!$B$140,CT67+CS68-DB67)))</f>
        <v>353.99999999999989</v>
      </c>
      <c r="CU68" s="17">
        <f>CT68*VLOOKUP('Données projet'!$B$13,Paramètres!$A$1:$I$89,3,0)*VLOOKUP('Données projet'!$B$13,Paramètres!$A$1:$I$89,5,0)</f>
        <v>281.6423999999999</v>
      </c>
      <c r="CV68" s="13">
        <f t="shared" si="41"/>
        <v>67.313976982444089</v>
      </c>
      <c r="CW68" s="20">
        <f t="shared" ref="CW68:CW131" si="67">(CU68+CV68)*0.475*44/12</f>
        <v>607.76568991108991</v>
      </c>
      <c r="CX68" s="59">
        <f t="shared" ref="CX68:CX131" si="68">CW68+(CO68+CP68)*44/12</f>
        <v>901.09902324442328</v>
      </c>
      <c r="CY68" s="59">
        <f ca="1">AVERAGE(OFFSET($CX$3,0,0,'Données projet'!$E$13+1,1))-AVERAGE(OFFSET($H$3,0,0,'Données projet'!$E$13+1,1))</f>
        <v>314.94704727988847</v>
      </c>
      <c r="CZ68" s="59">
        <f t="shared" si="42"/>
        <v>366.49199094166454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1.957794232786978</v>
      </c>
      <c r="DG68" s="21">
        <f>EXP(-LN(2)/25)*DG67+(1-EXP(-LN(2)/25))/(LN(2)/25)*Calculateur!DB68*Calculateur!DD68*VLOOKUP('Données projet'!$B$13,Paramètres!$A$1:$I$89,3,0)*0.475*44/12</f>
        <v>9.627412110543311</v>
      </c>
      <c r="DH68" s="21">
        <f>EXP(-LN(2)/2)*DH67+(1-EXP(-LN(2)/2))/(LN(2)/2)*DB68*DE68*VLOOKUP('Données projet'!$B$13,Paramètres!$A$1:$I$89,3,0)*0.475*44/12</f>
        <v>1.5574365962166357E-4</v>
      </c>
      <c r="DI68" s="22">
        <f t="shared" ref="DI68:DI131" si="69">SUM(DF68:DH68)</f>
        <v>11.58536208698991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15.8</v>
      </c>
      <c r="N69" s="13">
        <f>IF('Données projet'!$A$36&gt;35,N68+M69-V68,IF(A69&lt;'Données projet'!$A$36,$K$205^A69,IF(A69='Données projet'!$A$36,'Données projet'!$B$36,N68+M69-V68)))</f>
        <v>677.79999999999916</v>
      </c>
      <c r="O69" s="13">
        <f>N69*VLOOKUP('Données projet'!$B$9,Paramètres!$A$1:$I$89,3,0)*VLOOKUP('Données projet'!$B$9,Paramètres!$A$1:$I$89,5,0)</f>
        <v>378.89019999999948</v>
      </c>
      <c r="P69" s="13">
        <f t="shared" ref="P69:P132" si="87">EXP(-1.0587+0.8836*LN(O69)+0.284)</f>
        <v>87.483566664488848</v>
      </c>
      <c r="Q69" s="20">
        <f t="shared" si="54"/>
        <v>812.26764360731715</v>
      </c>
      <c r="R69" s="59">
        <f t="shared" si="55"/>
        <v>1105.6009769406505</v>
      </c>
      <c r="S69" s="59">
        <f ca="1">AVERAGE(OFFSET($R$3,0,0,'Données projet'!$E$9+1,1))-AVERAGE(OFFSET($H$3,0,0,'Données projet'!$E$9+1,1))</f>
        <v>415.91544298418842</v>
      </c>
      <c r="T69" s="59">
        <f t="shared" ref="T69:T132" si="88">$T$3</f>
        <v>422.79312683312583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5.5979631137920594</v>
      </c>
      <c r="AA69" s="21">
        <f>EXP(-LN(2)/25)*AA68+(1-EXP(-LN(2)/25))/(LN(2)/25)*Calculateur!V69*Calculateur!X69*VLOOKUP('Données projet'!$B$9,Paramètres!$A$1:$I$89,3,0)*0.475*44/12</f>
        <v>14.285451299570928</v>
      </c>
      <c r="AB69" s="21">
        <f>EXP(-LN(2)/2)*AB68+(1-EXP(-LN(2)/2))/(LN(2)/2)*V69*Y69*VLOOKUP('Données projet'!$B$9,Paramètres!$A$1:$I$89,3,0)*0.475*44/12</f>
        <v>1.3912922422422064E-4</v>
      </c>
      <c r="AC69" s="22">
        <f t="shared" si="57"/>
        <v>19.883553542587212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11.8</v>
      </c>
      <c r="AI69" s="13">
        <f>IF('Données projet'!$A$62&gt;35,AI68+AH69-AQ68,IF(A69&lt;'Données projet'!$A$62,$AF$205^A69,IF(A69='Données projet'!$A$62,'Données projet'!$B$62,AI68+AH69-AQ68)))</f>
        <v>505.80000000000024</v>
      </c>
      <c r="AJ69" s="13">
        <f>AI69*VLOOKUP('Données projet'!$B$10,Paramètres!$A$1:$I$89,3,0)*VLOOKUP('Données projet'!$B$10,Paramètres!$A$1:$I$89,5,0)</f>
        <v>302.46840000000014</v>
      </c>
      <c r="AK69" s="13">
        <f t="shared" ref="AK69:AK132" si="89">EXP(-1.0587+0.8836*LN(AJ69)+0.284)</f>
        <v>71.693687882090799</v>
      </c>
      <c r="AL69" s="20">
        <f t="shared" si="58"/>
        <v>651.66563639464164</v>
      </c>
      <c r="AM69" s="59">
        <f t="shared" si="59"/>
        <v>944.99896972797501</v>
      </c>
      <c r="AN69" s="59">
        <f ca="1">AVERAGE(OFFSET($AM$3,0,0,'Données projet'!$E$10+1,1))-AVERAGE(OFFSET($H$3,0,0,'Données projet'!$E$10+1,1))</f>
        <v>311.06126148520821</v>
      </c>
      <c r="AO69" s="59">
        <f t="shared" ref="AO69:AO132" si="90">$AO$3</f>
        <v>321.1728368524748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1.7148939855993008</v>
      </c>
      <c r="AV69" s="21">
        <f>EXP(-LN(2)/25)*AV68+(1-EXP(-LN(2)/25))/(LN(2)/25)*Calculateur!AQ69*Calculateur!AS69*VLOOKUP('Données projet'!$B$10,Paramètres!$A$1:$I$89,3,0)*0.475*44/12</f>
        <v>7.8651224067063126</v>
      </c>
      <c r="AW69" s="21">
        <f>EXP(-LN(2)/2)*AW68+(1-EXP(-LN(2)/2))/(LN(2)/2)*AQ69*AT69*VLOOKUP('Données projet'!$B$10,Paramètres!$A$1:$I$89,3,0)*0.475*44/12</f>
        <v>1.1559804579227072E-4</v>
      </c>
      <c r="AX69" s="21">
        <f t="shared" si="60"/>
        <v>9.5801319903514042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20.3</v>
      </c>
      <c r="BD69" s="12">
        <f>IF('Données projet'!$A$88&gt;35,BD68+BC69-BL68,IF(A69&lt;'Données projet'!$A$88,$BA$205^A69,IF(A69='Données projet'!$A$88,'Données projet'!$B$88,BD68+BC69-BL68)))</f>
        <v>745.79999999999939</v>
      </c>
      <c r="BE69" s="13">
        <f>BD69*VLOOKUP('Données projet'!$B$11,Paramètres!$A$1:$I$89,3,0)*VLOOKUP('Données projet'!$B$11,Paramètres!$A$1:$I$89,5,0)</f>
        <v>358.72979999999967</v>
      </c>
      <c r="BF69" s="13">
        <f t="shared" ref="BF69:BF132" si="91">EXP(-1.0587+0.8836*LN(BE69)+0.284)</f>
        <v>83.357482220164229</v>
      </c>
      <c r="BG69" s="20">
        <f t="shared" si="61"/>
        <v>769.96868320011879</v>
      </c>
      <c r="BH69" s="59">
        <f t="shared" si="62"/>
        <v>1063.3020165334522</v>
      </c>
      <c r="BI69" s="59">
        <f ca="1">AVERAGE(OFFSET($BH$3,0,0,'Données projet'!$E$11+1,1))-AVERAGE(OFFSET($H$3,0,0,'Données projet'!$E$11+1,1))</f>
        <v>371.85813103419366</v>
      </c>
      <c r="BJ69" s="59">
        <f t="shared" ref="BJ69:BJ132" si="92">$BJ$3</f>
        <v>370.01698880104584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13.624564485477498</v>
      </c>
      <c r="BQ69" s="21">
        <f>EXP(-LN(2)/25)*BQ68+(1-EXP(-LN(2)/25))/(LN(2)/25)*Calculateur!BL69*Calculateur!BN69*VLOOKUP('Données projet'!$B$11,Paramètres!$A$1:$I$89,3,0)*0.475*44/12</f>
        <v>16.618945120933265</v>
      </c>
      <c r="BR69" s="21">
        <f>EXP(-LN(2)/2)*BR68+(1-EXP(-LN(2)/2))/(LN(2)/2)*BL69*BO69*VLOOKUP('Données projet'!$B$11,Paramètres!$A$1:$I$89,3,0)*0.475*44/12</f>
        <v>3.3745715078466738E-3</v>
      </c>
      <c r="BS69" s="22">
        <f t="shared" si="63"/>
        <v>30.246884177918609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9.8000000000000007</v>
      </c>
      <c r="BY69" s="12">
        <f>IF('Données projet'!$A$114&gt;35,BY68+BX69-CG68,IF(A69&lt;'Données projet'!$A$114,$BV$205^A69,IF(A69='Données projet'!$A$114,'Données projet'!$B$114,BY68+BX69-CG68)))</f>
        <v>424.8000000000003</v>
      </c>
      <c r="BZ69" s="13">
        <f>BY69*VLOOKUP('Données projet'!$B$12,Paramètres!$A$1:$I$89,3,0)*VLOOKUP('Données projet'!$B$12,Paramètres!$A$1:$I$89,5,0)</f>
        <v>231.94080000000014</v>
      </c>
      <c r="CA69" s="13">
        <f t="shared" ref="CA69:CA132" si="93">EXP(-1.0587+0.8836*LN(BZ69)+0.284)</f>
        <v>56.702122420175506</v>
      </c>
      <c r="CB69" s="20">
        <f t="shared" si="64"/>
        <v>502.71975654847256</v>
      </c>
      <c r="CC69" s="59">
        <f t="shared" si="65"/>
        <v>796.05308988180582</v>
      </c>
      <c r="CD69" s="59">
        <f ca="1">AVERAGE(OFFSET($CC$3,0,0,'Données projet'!$E$12+1,1))-AVERAGE(OFFSET($H$3,0,0,'Données projet'!$E$12+1,1))</f>
        <v>248.1486444660062</v>
      </c>
      <c r="CE69" s="59">
        <f t="shared" ref="CE69:CE132" si="94">$CE$3</f>
        <v>293.34458072322127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4.1753940518939476</v>
      </c>
      <c r="CL69" s="21">
        <f>EXP(-LN(2)/25)*CL68+(1-EXP(-LN(2)/25))/(LN(2)/25)*Calculateur!CG69*Calculateur!CI69*VLOOKUP('Données projet'!$B$12,Paramètres!$A$1:$I$89,3,0)*0.475*44/12</f>
        <v>12.545197978126792</v>
      </c>
      <c r="CM69" s="21">
        <f>EXP(-LN(2)/2)*CM68+(1-EXP(-LN(2)/2))/(LN(2)/2)*CG69*CJ69*VLOOKUP('Données projet'!$B$12,Paramètres!$A$1:$I$89,3,0)*0.475*44/12</f>
        <v>9.6063332042183887E-5</v>
      </c>
      <c r="CN69" s="22">
        <f t="shared" si="66"/>
        <v>16.720688093352781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5.6</v>
      </c>
      <c r="CT69" s="12">
        <f>IF('Données projet'!$A$140&gt;35,CT68+CS69-DB68,IF(A69&lt;'Données projet'!$A$140,$CQ$205^A69,IF(A69='Données projet'!$A$140,'Données projet'!$B$140,CT68+CS69-DB68)))</f>
        <v>359.59999999999991</v>
      </c>
      <c r="CU69" s="17">
        <f>CT69*VLOOKUP('Données projet'!$B$13,Paramètres!$A$1:$I$89,3,0)*VLOOKUP('Données projet'!$B$13,Paramètres!$A$1:$I$89,5,0)</f>
        <v>286.09775999999994</v>
      </c>
      <c r="CV69" s="13">
        <f t="shared" ref="CV69:CV132" si="95">EXP(-1.0587+0.8836*LN(CU69)+0.284)</f>
        <v>68.254020651723678</v>
      </c>
      <c r="CW69" s="20">
        <f t="shared" si="67"/>
        <v>617.16268463508527</v>
      </c>
      <c r="CX69" s="59">
        <f t="shared" si="68"/>
        <v>910.49601796841853</v>
      </c>
      <c r="CY69" s="59">
        <f ca="1">AVERAGE(OFFSET($CX$3,0,0,'Données projet'!$E$13+1,1))-AVERAGE(OFFSET($H$3,0,0,'Données projet'!$E$13+1,1))</f>
        <v>314.94704727988847</v>
      </c>
      <c r="CZ69" s="59">
        <f t="shared" ref="CZ69:CZ132" si="96">$CZ$3</f>
        <v>366.49199094166454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1.9194030820185961</v>
      </c>
      <c r="DG69" s="21">
        <f>EXP(-LN(2)/25)*DG68+(1-EXP(-LN(2)/25))/(LN(2)/25)*Calculateur!DB69*Calculateur!DD69*VLOOKUP('Données projet'!$B$13,Paramètres!$A$1:$I$89,3,0)*0.475*44/12</f>
        <v>9.3641500200969059</v>
      </c>
      <c r="DH69" s="21">
        <f>EXP(-LN(2)/2)*DH68+(1-EXP(-LN(2)/2))/(LN(2)/2)*DB69*DE69*VLOOKUP('Données projet'!$B$13,Paramètres!$A$1:$I$89,3,0)*0.475*44/12</f>
        <v>1.101273978452878E-4</v>
      </c>
      <c r="DI69" s="22">
        <f t="shared" si="69"/>
        <v>11.283663229513346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15.8</v>
      </c>
      <c r="N70" s="13">
        <f>IF('Données projet'!$A$36&gt;35,N69+M70-V69,IF(A70&lt;'Données projet'!$A$36,$K$205^A70,IF(A70='Données projet'!$A$36,'Données projet'!$B$36,N69+M70-V69)))</f>
        <v>693.59999999999911</v>
      </c>
      <c r="O70" s="13">
        <f>N70*VLOOKUP('Données projet'!$B$9,Paramètres!$A$1:$I$89,3,0)*VLOOKUP('Données projet'!$B$9,Paramètres!$A$1:$I$89,5,0)</f>
        <v>387.72239999999948</v>
      </c>
      <c r="P70" s="13">
        <f t="shared" si="87"/>
        <v>89.283072113397623</v>
      </c>
      <c r="Q70" s="20">
        <f t="shared" si="54"/>
        <v>830.78453059749984</v>
      </c>
      <c r="R70" s="59">
        <f t="shared" si="55"/>
        <v>1124.1178639308332</v>
      </c>
      <c r="S70" s="59">
        <f ca="1">AVERAGE(OFFSET($R$3,0,0,'Données projet'!$E$9+1,1))-AVERAGE(OFFSET($H$3,0,0,'Données projet'!$E$9+1,1))</f>
        <v>415.91544298418842</v>
      </c>
      <c r="T70" s="59">
        <f t="shared" si="88"/>
        <v>422.79312683312583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5.4881904715509506</v>
      </c>
      <c r="AA70" s="21">
        <f>EXP(-LN(2)/25)*AA69+(1-EXP(-LN(2)/25))/(LN(2)/25)*Calculateur!V70*Calculateur!X70*VLOOKUP('Données projet'!$B$9,Paramètres!$A$1:$I$89,3,0)*0.475*44/12</f>
        <v>13.894814882544928</v>
      </c>
      <c r="AB70" s="21">
        <f>EXP(-LN(2)/2)*AB69+(1-EXP(-LN(2)/2))/(LN(2)/2)*V70*Y70*VLOOKUP('Données projet'!$B$9,Paramètres!$A$1:$I$89,3,0)*0.475*44/12</f>
        <v>9.8379217910170093E-5</v>
      </c>
      <c r="AC70" s="22">
        <f t="shared" si="57"/>
        <v>19.383103733313789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11.8</v>
      </c>
      <c r="AI70" s="13">
        <f>IF('Données projet'!$A$62&gt;35,AI69+AH70-AQ69,IF(A70&lt;'Données projet'!$A$62,$AF$205^A70,IF(A70='Données projet'!$A$62,'Données projet'!$B$62,AI69+AH70-AQ69)))</f>
        <v>517.60000000000025</v>
      </c>
      <c r="AJ70" s="13">
        <f>AI70*VLOOKUP('Données projet'!$B$10,Paramètres!$A$1:$I$89,3,0)*VLOOKUP('Données projet'!$B$10,Paramètres!$A$1:$I$89,5,0)</f>
        <v>309.52480000000014</v>
      </c>
      <c r="AK70" s="13">
        <f t="shared" si="89"/>
        <v>73.169580639491755</v>
      </c>
      <c r="AL70" s="20">
        <f t="shared" si="58"/>
        <v>666.52604628044833</v>
      </c>
      <c r="AM70" s="59">
        <f t="shared" si="59"/>
        <v>959.85937961378158</v>
      </c>
      <c r="AN70" s="59">
        <f ca="1">AVERAGE(OFFSET($AM$3,0,0,'Données projet'!$E$10+1,1))-AVERAGE(OFFSET($H$3,0,0,'Données projet'!$E$10+1,1))</f>
        <v>311.06126148520821</v>
      </c>
      <c r="AO70" s="59">
        <f t="shared" si="90"/>
        <v>321.1728368524748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1.6812659605237477</v>
      </c>
      <c r="AV70" s="21">
        <f>EXP(-LN(2)/25)*AV69+(1-EXP(-LN(2)/25))/(LN(2)/25)*Calculateur!AQ70*Calculateur!AS70*VLOOKUP('Données projet'!$B$10,Paramètres!$A$1:$I$89,3,0)*0.475*44/12</f>
        <v>7.6500502208861167</v>
      </c>
      <c r="AW70" s="21">
        <f>EXP(-LN(2)/2)*AW69+(1-EXP(-LN(2)/2))/(LN(2)/2)*AQ70*AT70*VLOOKUP('Données projet'!$B$10,Paramètres!$A$1:$I$89,3,0)*0.475*44/12</f>
        <v>8.1740162071627671E-5</v>
      </c>
      <c r="AX70" s="21">
        <f t="shared" si="60"/>
        <v>9.331397921571936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20.3</v>
      </c>
      <c r="BD70" s="12">
        <f>IF('Données projet'!$A$88&gt;35,BD69+BC70-BL69,IF(A70&lt;'Données projet'!$A$88,$BA$205^A70,IF(A70='Données projet'!$A$88,'Données projet'!$B$88,BD69+BC70-BL69)))</f>
        <v>766.09999999999934</v>
      </c>
      <c r="BE70" s="13">
        <f>BD70*VLOOKUP('Données projet'!$B$11,Paramètres!$A$1:$I$89,3,0)*VLOOKUP('Données projet'!$B$11,Paramètres!$A$1:$I$89,5,0)</f>
        <v>368.49409999999972</v>
      </c>
      <c r="BF70" s="13">
        <f t="shared" si="91"/>
        <v>85.359151397578415</v>
      </c>
      <c r="BG70" s="20">
        <f t="shared" si="61"/>
        <v>790.46107951744852</v>
      </c>
      <c r="BH70" s="59">
        <f t="shared" si="62"/>
        <v>1083.7944128507818</v>
      </c>
      <c r="BI70" s="59">
        <f ca="1">AVERAGE(OFFSET($BH$3,0,0,'Données projet'!$E$11+1,1))-AVERAGE(OFFSET($H$3,0,0,'Données projet'!$E$11+1,1))</f>
        <v>371.85813103419366</v>
      </c>
      <c r="BJ70" s="59">
        <f t="shared" si="92"/>
        <v>370.01698880104584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13.357395086081059</v>
      </c>
      <c r="BQ70" s="21">
        <f>EXP(-LN(2)/25)*BQ69+(1-EXP(-LN(2)/25))/(LN(2)/25)*Calculateur!BL70*Calculateur!BN70*VLOOKUP('Données projet'!$B$11,Paramètres!$A$1:$I$89,3,0)*0.475*44/12</f>
        <v>16.164499192649004</v>
      </c>
      <c r="BR70" s="21">
        <f>EXP(-LN(2)/2)*BR69+(1-EXP(-LN(2)/2))/(LN(2)/2)*BL70*BO70*VLOOKUP('Données projet'!$B$11,Paramètres!$A$1:$I$89,3,0)*0.475*44/12</f>
        <v>2.3861823967972957E-3</v>
      </c>
      <c r="BS70" s="22">
        <f t="shared" si="63"/>
        <v>29.52428046112686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9.8000000000000007</v>
      </c>
      <c r="BY70" s="12">
        <f>IF('Données projet'!$A$114&gt;35,BY69+BX70-CG69,IF(A70&lt;'Données projet'!$A$114,$BV$205^A70,IF(A70='Données projet'!$A$114,'Données projet'!$B$114,BY69+BX70-CG69)))</f>
        <v>434.60000000000031</v>
      </c>
      <c r="BZ70" s="13">
        <f>BY70*VLOOKUP('Données projet'!$B$12,Paramètres!$A$1:$I$89,3,0)*VLOOKUP('Données projet'!$B$12,Paramètres!$A$1:$I$89,5,0)</f>
        <v>237.29160000000016</v>
      </c>
      <c r="CA70" s="13">
        <f t="shared" si="93"/>
        <v>57.856420685099636</v>
      </c>
      <c r="CB70" s="20">
        <f t="shared" si="64"/>
        <v>514.04946935988221</v>
      </c>
      <c r="CC70" s="59">
        <f t="shared" si="65"/>
        <v>807.38280269321558</v>
      </c>
      <c r="CD70" s="59">
        <f ca="1">AVERAGE(OFFSET($CC$3,0,0,'Données projet'!$E$12+1,1))-AVERAGE(OFFSET($H$3,0,0,'Données projet'!$E$12+1,1))</f>
        <v>248.1486444660062</v>
      </c>
      <c r="CE70" s="59">
        <f t="shared" si="94"/>
        <v>293.34458072322127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4.0935171212752097</v>
      </c>
      <c r="CL70" s="21">
        <f>EXP(-LN(2)/25)*CL69+(1-EXP(-LN(2)/25))/(LN(2)/25)*Calculateur!CG70*Calculateur!CI70*VLOOKUP('Données projet'!$B$12,Paramètres!$A$1:$I$89,3,0)*0.475*44/12</f>
        <v>12.202148879691626</v>
      </c>
      <c r="CM70" s="21">
        <f>EXP(-LN(2)/2)*CM69+(1-EXP(-LN(2)/2))/(LN(2)/2)*CG70*CJ70*VLOOKUP('Données projet'!$B$12,Paramètres!$A$1:$I$89,3,0)*0.475*44/12</f>
        <v>6.7927033510403181E-5</v>
      </c>
      <c r="CN70" s="22">
        <f t="shared" si="66"/>
        <v>16.295733928000345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5.6</v>
      </c>
      <c r="CT70" s="12">
        <f>IF('Données projet'!$A$140&gt;35,CT69+CS70-DB69,IF(A70&lt;'Données projet'!$A$140,$CQ$205^A70,IF(A70='Données projet'!$A$140,'Données projet'!$B$140,CT69+CS70-DB69)))</f>
        <v>365.19999999999993</v>
      </c>
      <c r="CU70" s="17">
        <f>CT70*VLOOKUP('Données projet'!$B$13,Paramètres!$A$1:$I$89,3,0)*VLOOKUP('Données projet'!$B$13,Paramètres!$A$1:$I$89,5,0)</f>
        <v>290.55311999999998</v>
      </c>
      <c r="CV70" s="13">
        <f t="shared" si="95"/>
        <v>69.192361792646295</v>
      </c>
      <c r="CW70" s="20">
        <f t="shared" si="67"/>
        <v>626.55671412219226</v>
      </c>
      <c r="CX70" s="59">
        <f t="shared" si="68"/>
        <v>919.89004745552552</v>
      </c>
      <c r="CY70" s="59">
        <f ca="1">AVERAGE(OFFSET($CX$3,0,0,'Données projet'!$E$13+1,1))-AVERAGE(OFFSET($H$3,0,0,'Données projet'!$E$13+1,1))</f>
        <v>314.94704727988847</v>
      </c>
      <c r="CZ70" s="59">
        <f t="shared" si="96"/>
        <v>366.49199094166454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1.8817647583004924</v>
      </c>
      <c r="DG70" s="21">
        <f>EXP(-LN(2)/25)*DG69+(1-EXP(-LN(2)/25))/(LN(2)/25)*Calculateur!DB70*Calculateur!DD70*VLOOKUP('Données projet'!$B$13,Paramètres!$A$1:$I$89,3,0)*0.475*44/12</f>
        <v>9.108086845358109</v>
      </c>
      <c r="DH70" s="21">
        <f>EXP(-LN(2)/2)*DH69+(1-EXP(-LN(2)/2))/(LN(2)/2)*DB70*DE70*VLOOKUP('Données projet'!$B$13,Paramètres!$A$1:$I$89,3,0)*0.475*44/12</f>
        <v>7.7871829810831784E-5</v>
      </c>
      <c r="DI70" s="22">
        <f t="shared" si="69"/>
        <v>10.989929475488413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15.8</v>
      </c>
      <c r="N71" s="13">
        <f>IF('Données projet'!$A$36&gt;35,N70+M71-V70,IF(A71&lt;'Données projet'!$A$36,$K$205^A71,IF(A71='Données projet'!$A$36,'Données projet'!$B$36,N70+M71-V70)))</f>
        <v>709.39999999999907</v>
      </c>
      <c r="O71" s="13">
        <f>N71*VLOOKUP('Données projet'!$B$9,Paramètres!$A$1:$I$89,3,0)*VLOOKUP('Données projet'!$B$9,Paramètres!$A$1:$I$89,5,0)</f>
        <v>396.55459999999948</v>
      </c>
      <c r="P71" s="13">
        <f t="shared" si="87"/>
        <v>91.077811955600495</v>
      </c>
      <c r="Q71" s="20">
        <f t="shared" si="54"/>
        <v>849.29311748933662</v>
      </c>
      <c r="R71" s="59">
        <f t="shared" si="55"/>
        <v>1142.62645082267</v>
      </c>
      <c r="S71" s="59">
        <f ca="1">AVERAGE(OFFSET($R$3,0,0,'Données projet'!$E$9+1,1))-AVERAGE(OFFSET($H$3,0,0,'Données projet'!$E$9+1,1))</f>
        <v>415.91544298418842</v>
      </c>
      <c r="T71" s="59">
        <f t="shared" si="88"/>
        <v>422.79312683312583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5.3805704038694895</v>
      </c>
      <c r="AA71" s="21">
        <f>EXP(-LN(2)/25)*AA70+(1-EXP(-LN(2)/25))/(LN(2)/25)*Calculateur!V71*Calculateur!X71*VLOOKUP('Données projet'!$B$9,Paramètres!$A$1:$I$89,3,0)*0.475*44/12</f>
        <v>13.514860438885179</v>
      </c>
      <c r="AB71" s="21">
        <f>EXP(-LN(2)/2)*AB70+(1-EXP(-LN(2)/2))/(LN(2)/2)*V71*Y71*VLOOKUP('Données projet'!$B$9,Paramètres!$A$1:$I$89,3,0)*0.475*44/12</f>
        <v>6.9564612112110321E-5</v>
      </c>
      <c r="AC71" s="22">
        <f t="shared" si="57"/>
        <v>18.895500407366782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11.8</v>
      </c>
      <c r="AI71" s="13">
        <f>IF('Données projet'!$A$62&gt;35,AI70+AH71-AQ70,IF(A71&lt;'Données projet'!$A$62,$AF$205^A71,IF(A71='Données projet'!$A$62,'Données projet'!$B$62,AI70+AH71-AQ70)))</f>
        <v>529.4000000000002</v>
      </c>
      <c r="AJ71" s="13">
        <f>AI71*VLOOKUP('Données projet'!$B$10,Paramètres!$A$1:$I$89,3,0)*VLOOKUP('Données projet'!$B$10,Paramètres!$A$1:$I$89,5,0)</f>
        <v>316.58120000000014</v>
      </c>
      <c r="AK71" s="13">
        <f t="shared" si="89"/>
        <v>74.641561754153898</v>
      </c>
      <c r="AL71" s="20">
        <f t="shared" si="58"/>
        <v>681.37964338848485</v>
      </c>
      <c r="AM71" s="59">
        <f t="shared" si="59"/>
        <v>974.71297672181822</v>
      </c>
      <c r="AN71" s="59">
        <f ca="1">AVERAGE(OFFSET($AM$3,0,0,'Données projet'!$E$10+1,1))-AVERAGE(OFFSET($H$3,0,0,'Données projet'!$E$10+1,1))</f>
        <v>311.06126148520821</v>
      </c>
      <c r="AO71" s="59">
        <f t="shared" si="90"/>
        <v>321.1728368524748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1.648297360508856</v>
      </c>
      <c r="AV71" s="21">
        <f>EXP(-LN(2)/25)*AV70+(1-EXP(-LN(2)/25))/(LN(2)/25)*Calculateur!AQ71*Calculateur!AS71*VLOOKUP('Données projet'!$B$10,Paramètres!$A$1:$I$89,3,0)*0.475*44/12</f>
        <v>7.4408591952973291</v>
      </c>
      <c r="AW71" s="21">
        <f>EXP(-LN(2)/2)*AW70+(1-EXP(-LN(2)/2))/(LN(2)/2)*AQ71*AT71*VLOOKUP('Données projet'!$B$10,Paramètres!$A$1:$I$89,3,0)*0.475*44/12</f>
        <v>5.7799022896135359E-5</v>
      </c>
      <c r="AX71" s="21">
        <f t="shared" si="60"/>
        <v>9.08921435482908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20.3</v>
      </c>
      <c r="BD71" s="12">
        <f>IF('Données projet'!$A$88&gt;35,BD70+BC71-BL70,IF(A71&lt;'Données projet'!$A$88,$BA$205^A71,IF(A71='Données projet'!$A$88,'Données projet'!$B$88,BD70+BC71-BL70)))</f>
        <v>786.3999999999993</v>
      </c>
      <c r="BE71" s="13">
        <f>BD71*VLOOKUP('Données projet'!$B$11,Paramètres!$A$1:$I$89,3,0)*VLOOKUP('Données projet'!$B$11,Paramètres!$A$1:$I$89,5,0)</f>
        <v>378.25839999999965</v>
      </c>
      <c r="BF71" s="13">
        <f t="shared" si="91"/>
        <v>87.354655477034314</v>
      </c>
      <c r="BG71" s="20">
        <f t="shared" si="61"/>
        <v>810.94273828916755</v>
      </c>
      <c r="BH71" s="59">
        <f t="shared" si="62"/>
        <v>1104.2760716225009</v>
      </c>
      <c r="BI71" s="59">
        <f ca="1">AVERAGE(OFFSET($BH$3,0,0,'Données projet'!$E$11+1,1))-AVERAGE(OFFSET($H$3,0,0,'Données projet'!$E$11+1,1))</f>
        <v>371.85813103419366</v>
      </c>
      <c r="BJ71" s="59">
        <f t="shared" si="92"/>
        <v>370.01698880104584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13.095464715649543</v>
      </c>
      <c r="BQ71" s="21">
        <f>EXP(-LN(2)/25)*BQ70+(1-EXP(-LN(2)/25))/(LN(2)/25)*Calculateur!BL71*Calculateur!BN71*VLOOKUP('Données projet'!$B$11,Paramètres!$A$1:$I$89,3,0)*0.475*44/12</f>
        <v>15.722480112171949</v>
      </c>
      <c r="BR71" s="21">
        <f>EXP(-LN(2)/2)*BR70+(1-EXP(-LN(2)/2))/(LN(2)/2)*BL71*BO71*VLOOKUP('Données projet'!$B$11,Paramètres!$A$1:$I$89,3,0)*0.475*44/12</f>
        <v>1.6872857539233369E-3</v>
      </c>
      <c r="BS71" s="22">
        <f t="shared" si="63"/>
        <v>28.819632113575416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9.8000000000000007</v>
      </c>
      <c r="BY71" s="12">
        <f>IF('Données projet'!$A$114&gt;35,BY70+BX71-CG70,IF(A71&lt;'Données projet'!$A$114,$BV$205^A71,IF(A71='Données projet'!$A$114,'Données projet'!$B$114,BY70+BX71-CG70)))</f>
        <v>444.40000000000032</v>
      </c>
      <c r="BZ71" s="13">
        <f>BY71*VLOOKUP('Données projet'!$B$12,Paramètres!$A$1:$I$89,3,0)*VLOOKUP('Données projet'!$B$12,Paramètres!$A$1:$I$89,5,0)</f>
        <v>242.64240000000018</v>
      </c>
      <c r="CA71" s="13">
        <f t="shared" si="93"/>
        <v>59.007692897618305</v>
      </c>
      <c r="CB71" s="20">
        <f t="shared" si="64"/>
        <v>525.37391179668555</v>
      </c>
      <c r="CC71" s="59">
        <f t="shared" si="65"/>
        <v>818.70724513001892</v>
      </c>
      <c r="CD71" s="59">
        <f ca="1">AVERAGE(OFFSET($CC$3,0,0,'Données projet'!$E$12+1,1))-AVERAGE(OFFSET($H$3,0,0,'Données projet'!$E$12+1,1))</f>
        <v>248.1486444660062</v>
      </c>
      <c r="CE71" s="59">
        <f t="shared" si="94"/>
        <v>293.34458072322127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4.0132457473259082</v>
      </c>
      <c r="CL71" s="21">
        <f>EXP(-LN(2)/25)*CL70+(1-EXP(-LN(2)/25))/(LN(2)/25)*Calculateur!CG71*Calculateur!CI71*VLOOKUP('Données projet'!$B$12,Paramètres!$A$1:$I$89,3,0)*0.475*44/12</f>
        <v>11.868480476893337</v>
      </c>
      <c r="CM71" s="21">
        <f>EXP(-LN(2)/2)*CM70+(1-EXP(-LN(2)/2))/(LN(2)/2)*CG71*CJ71*VLOOKUP('Données projet'!$B$12,Paramètres!$A$1:$I$89,3,0)*0.475*44/12</f>
        <v>4.8031666021091944E-5</v>
      </c>
      <c r="CN71" s="22">
        <f t="shared" si="66"/>
        <v>15.881774255885267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5.6</v>
      </c>
      <c r="CT71" s="12">
        <f>IF('Données projet'!$A$140&gt;35,CT70+CS71-DB70,IF(A71&lt;'Données projet'!$A$140,$CQ$205^A71,IF(A71='Données projet'!$A$140,'Données projet'!$B$140,CT70+CS71-DB70)))</f>
        <v>370.79999999999995</v>
      </c>
      <c r="CU71" s="17">
        <f>CT71*VLOOKUP('Données projet'!$B$13,Paramètres!$A$1:$I$89,3,0)*VLOOKUP('Données projet'!$B$13,Paramètres!$A$1:$I$89,5,0)</f>
        <v>295.00847999999996</v>
      </c>
      <c r="CV71" s="13">
        <f t="shared" si="95"/>
        <v>70.12902952701063</v>
      </c>
      <c r="CW71" s="20">
        <f t="shared" si="67"/>
        <v>635.94782909287676</v>
      </c>
      <c r="CX71" s="59">
        <f t="shared" si="68"/>
        <v>929.28116242621013</v>
      </c>
      <c r="CY71" s="59">
        <f ca="1">AVERAGE(OFFSET($CX$3,0,0,'Données projet'!$E$13+1,1))-AVERAGE(OFFSET($H$3,0,0,'Données projet'!$E$13+1,1))</f>
        <v>314.94704727988847</v>
      </c>
      <c r="CZ71" s="59">
        <f t="shared" si="96"/>
        <v>366.49199094166454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1.84486449915339</v>
      </c>
      <c r="DG71" s="21">
        <f>EXP(-LN(2)/25)*DG70+(1-EXP(-LN(2)/25))/(LN(2)/25)*Calculateur!DB71*Calculateur!DD71*VLOOKUP('Données projet'!$B$13,Paramètres!$A$1:$I$89,3,0)*0.475*44/12</f>
        <v>8.8590257315983205</v>
      </c>
      <c r="DH71" s="21">
        <f>EXP(-LN(2)/2)*DH70+(1-EXP(-LN(2)/2))/(LN(2)/2)*DB71*DE71*VLOOKUP('Données projet'!$B$13,Paramètres!$A$1:$I$89,3,0)*0.475*44/12</f>
        <v>5.5063698922643899E-5</v>
      </c>
      <c r="DI71" s="22">
        <f t="shared" si="69"/>
        <v>10.703945294450634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15.8</v>
      </c>
      <c r="N72" s="13">
        <f>IF('Données projet'!$A$36&gt;35,N71+M72-V71,IF(A72&lt;'Données projet'!$A$36,$K$205^A72,IF(A72='Données projet'!$A$36,'Données projet'!$B$36,N71+M72-V71)))</f>
        <v>725.19999999999902</v>
      </c>
      <c r="O72" s="13">
        <f>N72*VLOOKUP('Données projet'!$B$9,Paramètres!$A$1:$I$89,3,0)*VLOOKUP('Données projet'!$B$9,Paramètres!$A$1:$I$89,5,0)</f>
        <v>405.38679999999943</v>
      </c>
      <c r="P72" s="13">
        <f t="shared" si="87"/>
        <v>92.867904553465792</v>
      </c>
      <c r="Q72" s="20">
        <f t="shared" si="54"/>
        <v>867.79361043061851</v>
      </c>
      <c r="R72" s="59">
        <f t="shared" si="55"/>
        <v>1161.1269437639519</v>
      </c>
      <c r="S72" s="59">
        <f ca="1">AVERAGE(OFFSET($R$3,0,0,'Données projet'!$E$9+1,1))-AVERAGE(OFFSET($H$3,0,0,'Données projet'!$E$9+1,1))</f>
        <v>415.91544298418842</v>
      </c>
      <c r="T72" s="59">
        <f t="shared" si="88"/>
        <v>422.79312683312583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5.2750607000735021</v>
      </c>
      <c r="AA72" s="21">
        <f>EXP(-LN(2)/25)*AA71+(1-EXP(-LN(2)/25))/(LN(2)/25)*Calculateur!V72*Calculateur!X72*VLOOKUP('Données projet'!$B$9,Paramètres!$A$1:$I$89,3,0)*0.475*44/12</f>
        <v>13.145295869468242</v>
      </c>
      <c r="AB72" s="21">
        <f>EXP(-LN(2)/2)*AB71+(1-EXP(-LN(2)/2))/(LN(2)/2)*V72*Y72*VLOOKUP('Données projet'!$B$9,Paramètres!$A$1:$I$89,3,0)*0.475*44/12</f>
        <v>4.9189608955085047E-5</v>
      </c>
      <c r="AC72" s="22">
        <f t="shared" si="57"/>
        <v>18.4204057591507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11.8</v>
      </c>
      <c r="AI72" s="13">
        <f>IF('Données projet'!$A$62&gt;35,AI71+AH72-AQ71,IF(A72&lt;'Données projet'!$A$62,$AF$205^A72,IF(A72='Données projet'!$A$62,'Données projet'!$B$62,AI71+AH72-AQ71)))</f>
        <v>541.20000000000016</v>
      </c>
      <c r="AJ72" s="13">
        <f>AI72*VLOOKUP('Données projet'!$B$10,Paramètres!$A$1:$I$89,3,0)*VLOOKUP('Données projet'!$B$10,Paramètres!$A$1:$I$89,5,0)</f>
        <v>323.63760000000013</v>
      </c>
      <c r="AK72" s="13">
        <f t="shared" si="89"/>
        <v>76.109728452986261</v>
      </c>
      <c r="AL72" s="20">
        <f t="shared" si="58"/>
        <v>696.22659705561784</v>
      </c>
      <c r="AM72" s="59">
        <f t="shared" si="59"/>
        <v>989.55993038895122</v>
      </c>
      <c r="AN72" s="59">
        <f ca="1">AVERAGE(OFFSET($AM$3,0,0,'Données projet'!$E$10+1,1))-AVERAGE(OFFSET($H$3,0,0,'Données projet'!$E$10+1,1))</f>
        <v>311.06126148520821</v>
      </c>
      <c r="AO72" s="59">
        <f t="shared" si="90"/>
        <v>321.1728368524748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1.6159752546313959</v>
      </c>
      <c r="AV72" s="21">
        <f>EXP(-LN(2)/25)*AV71+(1-EXP(-LN(2)/25))/(LN(2)/25)*Calculateur!AQ72*Calculateur!AS72*VLOOKUP('Données projet'!$B$10,Paramètres!$A$1:$I$89,3,0)*0.475*44/12</f>
        <v>7.2373885093041448</v>
      </c>
      <c r="AW72" s="21">
        <f>EXP(-LN(2)/2)*AW71+(1-EXP(-LN(2)/2))/(LN(2)/2)*AQ72*AT72*VLOOKUP('Données projet'!$B$10,Paramètres!$A$1:$I$89,3,0)*0.475*44/12</f>
        <v>4.0870081035813835E-5</v>
      </c>
      <c r="AX72" s="21">
        <f t="shared" si="60"/>
        <v>8.8534046340165755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20.3</v>
      </c>
      <c r="BD72" s="12">
        <f>IF('Données projet'!$A$88&gt;35,BD71+BC72-BL71,IF(A72&lt;'Données projet'!$A$88,$BA$205^A72,IF(A72='Données projet'!$A$88,'Données projet'!$B$88,BD71+BC72-BL71)))</f>
        <v>806.69999999999925</v>
      </c>
      <c r="BE72" s="13">
        <f>BD72*VLOOKUP('Données projet'!$B$11,Paramètres!$A$1:$I$89,3,0)*VLOOKUP('Données projet'!$B$11,Paramètres!$A$1:$I$89,5,0)</f>
        <v>388.02269999999965</v>
      </c>
      <c r="BF72" s="13">
        <f t="shared" si="91"/>
        <v>89.344171901036972</v>
      </c>
      <c r="BG72" s="20">
        <f t="shared" si="61"/>
        <v>831.41396856097208</v>
      </c>
      <c r="BH72" s="59">
        <f t="shared" si="62"/>
        <v>1124.7473018943053</v>
      </c>
      <c r="BI72" s="59">
        <f ca="1">AVERAGE(OFFSET($BH$3,0,0,'Données projet'!$E$11+1,1))-AVERAGE(OFFSET($H$3,0,0,'Données projet'!$E$11+1,1))</f>
        <v>371.85813103419366</v>
      </c>
      <c r="BJ72" s="59">
        <f t="shared" si="92"/>
        <v>370.01698880104584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12.838670640020437</v>
      </c>
      <c r="BQ72" s="21">
        <f>EXP(-LN(2)/25)*BQ71+(1-EXP(-LN(2)/25))/(LN(2)/25)*Calculateur!BL72*Calculateur!BN72*VLOOKUP('Données projet'!$B$11,Paramètres!$A$1:$I$89,3,0)*0.475*44/12</f>
        <v>15.292548066695312</v>
      </c>
      <c r="BR72" s="21">
        <f>EXP(-LN(2)/2)*BR71+(1-EXP(-LN(2)/2))/(LN(2)/2)*BL72*BO72*VLOOKUP('Données projet'!$B$11,Paramètres!$A$1:$I$89,3,0)*0.475*44/12</f>
        <v>1.1930911983986478E-3</v>
      </c>
      <c r="BS72" s="22">
        <f t="shared" si="63"/>
        <v>28.132411797914148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9.8000000000000007</v>
      </c>
      <c r="BY72" s="12">
        <f>IF('Données projet'!$A$114&gt;35,BY71+BX72-CG71,IF(A72&lt;'Données projet'!$A$114,$BV$205^A72,IF(A72='Données projet'!$A$114,'Données projet'!$B$114,BY71+BX72-CG71)))</f>
        <v>454.20000000000033</v>
      </c>
      <c r="BZ72" s="13">
        <f>BY72*VLOOKUP('Données projet'!$B$12,Paramètres!$A$1:$I$89,3,0)*VLOOKUP('Données projet'!$B$12,Paramètres!$A$1:$I$89,5,0)</f>
        <v>247.99320000000017</v>
      </c>
      <c r="CA72" s="13">
        <f t="shared" si="93"/>
        <v>60.15601347301552</v>
      </c>
      <c r="CB72" s="20">
        <f t="shared" si="64"/>
        <v>536.69321346550237</v>
      </c>
      <c r="CC72" s="59">
        <f t="shared" si="65"/>
        <v>830.02654679883562</v>
      </c>
      <c r="CD72" s="59">
        <f ca="1">AVERAGE(OFFSET($CC$3,0,0,'Données projet'!$E$12+1,1))-AVERAGE(OFFSET($H$3,0,0,'Données projet'!$E$12+1,1))</f>
        <v>248.1486444660062</v>
      </c>
      <c r="CE72" s="59">
        <f t="shared" si="94"/>
        <v>293.34458072322127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3.9345484460590492</v>
      </c>
      <c r="CL72" s="21">
        <f>EXP(-LN(2)/25)*CL71+(1-EXP(-LN(2)/25))/(LN(2)/25)*Calculateur!CG72*Calculateur!CI72*VLOOKUP('Données projet'!$B$12,Paramètres!$A$1:$I$89,3,0)*0.475*44/12</f>
        <v>11.543936254116426</v>
      </c>
      <c r="CM72" s="21">
        <f>EXP(-LN(2)/2)*CM71+(1-EXP(-LN(2)/2))/(LN(2)/2)*CG72*CJ72*VLOOKUP('Données projet'!$B$12,Paramètres!$A$1:$I$89,3,0)*0.475*44/12</f>
        <v>3.3963516755201591E-5</v>
      </c>
      <c r="CN72" s="22">
        <f t="shared" si="66"/>
        <v>15.478518663692229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5.6</v>
      </c>
      <c r="CT72" s="12">
        <f>IF('Données projet'!$A$140&gt;35,CT71+CS72-DB71,IF(A72&lt;'Données projet'!$A$140,$CQ$205^A72,IF(A72='Données projet'!$A$140,'Données projet'!$B$140,CT71+CS72-DB71)))</f>
        <v>376.4</v>
      </c>
      <c r="CU72" s="17">
        <f>CT72*VLOOKUP('Données projet'!$B$13,Paramètres!$A$1:$I$89,3,0)*VLOOKUP('Données projet'!$B$13,Paramètres!$A$1:$I$89,5,0)</f>
        <v>299.46384</v>
      </c>
      <c r="CV72" s="13">
        <f t="shared" si="95"/>
        <v>71.064052046510113</v>
      </c>
      <c r="CW72" s="20">
        <f t="shared" si="67"/>
        <v>645.3360786476718</v>
      </c>
      <c r="CX72" s="59">
        <f t="shared" si="68"/>
        <v>938.66941198100517</v>
      </c>
      <c r="CY72" s="59">
        <f ca="1">AVERAGE(OFFSET($CX$3,0,0,'Données projet'!$E$13+1,1))-AVERAGE(OFFSET($H$3,0,0,'Données projet'!$E$13+1,1))</f>
        <v>314.94704727988847</v>
      </c>
      <c r="CZ72" s="59">
        <f t="shared" si="96"/>
        <v>366.49199094166454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1.8086878315812267</v>
      </c>
      <c r="DG72" s="21">
        <f>EXP(-LN(2)/25)*DG71+(1-EXP(-LN(2)/25))/(LN(2)/25)*Calculateur!DB72*Calculateur!DD72*VLOOKUP('Données projet'!$B$13,Paramètres!$A$1:$I$89,3,0)*0.475*44/12</f>
        <v>8.6167752070918482</v>
      </c>
      <c r="DH72" s="21">
        <f>EXP(-LN(2)/2)*DH71+(1-EXP(-LN(2)/2))/(LN(2)/2)*DB72*DE72*VLOOKUP('Données projet'!$B$13,Paramètres!$A$1:$I$89,3,0)*0.475*44/12</f>
        <v>3.8935914905415892E-5</v>
      </c>
      <c r="DI72" s="22">
        <f t="shared" si="69"/>
        <v>10.425501974587979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741</v>
      </c>
      <c r="L73" s="12">
        <f>VLOOKUP(A73,'Données projet'!$A$35:$I$55,9,0)</f>
        <v>15.8</v>
      </c>
      <c r="M73" s="12">
        <f t="array" ref="M73">INDEX(L:L,MIN(IF(ISNUMBER(L73:L269),ROW(L73:L269),"")))</f>
        <v>15.8</v>
      </c>
      <c r="N73" s="13">
        <f>IF('Données projet'!$A$36&gt;35,N72+M73-V72,IF(A73&lt;'Données projet'!$A$36,$K$205^A73,IF(A73='Données projet'!$A$36,'Données projet'!$B$36,N72+M73-V72)))</f>
        <v>740.99999999999898</v>
      </c>
      <c r="O73" s="13">
        <f>N73*VLOOKUP('Données projet'!$B$9,Paramètres!$A$1:$I$89,3,0)*VLOOKUP('Données projet'!$B$9,Paramètres!$A$1:$I$89,5,0)</f>
        <v>414.21899999999943</v>
      </c>
      <c r="P73" s="13">
        <f t="shared" si="87"/>
        <v>94.653462817267581</v>
      </c>
      <c r="Q73" s="20">
        <f t="shared" si="54"/>
        <v>886.28620607340656</v>
      </c>
      <c r="R73" s="59">
        <f t="shared" si="55"/>
        <v>1179.6195394067399</v>
      </c>
      <c r="S73" s="59">
        <f ca="1">AVERAGE(OFFSET($R$3,0,0,'Données projet'!$E$9+1,1))-AVERAGE(OFFSET($H$3,0,0,'Données projet'!$E$9+1,1))</f>
        <v>415.91544298418842</v>
      </c>
      <c r="T73" s="59">
        <f t="shared" si="88"/>
        <v>422.79312683312583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80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5.1716199772143892</v>
      </c>
      <c r="AA73" s="21">
        <f>EXP(-LN(2)/25)*AA72+(1-EXP(-LN(2)/25))/(LN(2)/25)*Calculateur!V73*Calculateur!X73*VLOOKUP('Données projet'!$B$9,Paramètres!$A$1:$I$89,3,0)*0.475*44/12</f>
        <v>12.785837062636567</v>
      </c>
      <c r="AB73" s="21">
        <f>EXP(-LN(2)/2)*AB72+(1-EXP(-LN(2)/2))/(LN(2)/2)*V73*Y73*VLOOKUP('Données projet'!$B$9,Paramètres!$A$1:$I$89,3,0)*0.475*44/12</f>
        <v>3.478230605605516E-5</v>
      </c>
      <c r="AC73" s="22">
        <f t="shared" si="57"/>
        <v>17.957491822157014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553</v>
      </c>
      <c r="AG73" s="12">
        <f>VLOOKUP(A73,'Données projet'!$A$61:$I$81,9,0)</f>
        <v>11.8</v>
      </c>
      <c r="AH73" s="12">
        <f t="array" ref="AH73">INDEX(AG:AG,MIN(IF(ISNUMBER(AG73:AG269),ROW(AG73:AG269),"")))</f>
        <v>11.8</v>
      </c>
      <c r="AI73" s="13">
        <f>IF('Données projet'!$A$62&gt;35,AI72+AH73-AQ72,IF(A73&lt;'Données projet'!$A$62,$AF$205^A73,IF(A73='Données projet'!$A$62,'Données projet'!$B$62,AI72+AH73-AQ72)))</f>
        <v>553.00000000000011</v>
      </c>
      <c r="AJ73" s="13">
        <f>AI73*VLOOKUP('Données projet'!$B$10,Paramètres!$A$1:$I$89,3,0)*VLOOKUP('Données projet'!$B$10,Paramètres!$A$1:$I$89,5,0)</f>
        <v>330.69400000000007</v>
      </c>
      <c r="AK73" s="13">
        <f t="shared" si="89"/>
        <v>77.574173481011158</v>
      </c>
      <c r="AL73" s="20">
        <f t="shared" si="58"/>
        <v>711.06706881276114</v>
      </c>
      <c r="AM73" s="59">
        <f t="shared" si="59"/>
        <v>1004.4004021460944</v>
      </c>
      <c r="AN73" s="59">
        <f ca="1">AVERAGE(OFFSET($AM$3,0,0,'Données projet'!$E$10+1,1))-AVERAGE(OFFSET($H$3,0,0,'Données projet'!$E$10+1,1))</f>
        <v>311.06126148520821</v>
      </c>
      <c r="AO73" s="59">
        <f t="shared" si="90"/>
        <v>321.1728368524748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55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1.5842869655356548</v>
      </c>
      <c r="AV73" s="21">
        <f>EXP(-LN(2)/25)*AV72+(1-EXP(-LN(2)/25))/(LN(2)/25)*Calculateur!AQ73*Calculateur!AS73*VLOOKUP('Données projet'!$B$10,Paramètres!$A$1:$I$89,3,0)*0.475*44/12</f>
        <v>7.0394817399195029</v>
      </c>
      <c r="AW73" s="21">
        <f>EXP(-LN(2)/2)*AW72+(1-EXP(-LN(2)/2))/(LN(2)/2)*AQ73*AT73*VLOOKUP('Données projet'!$B$10,Paramètres!$A$1:$I$89,3,0)*0.475*44/12</f>
        <v>2.889951144806768E-5</v>
      </c>
      <c r="AX73" s="21">
        <f t="shared" si="60"/>
        <v>8.6237976049666063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827</v>
      </c>
      <c r="BB73" s="12">
        <f>VLOOKUP(A73,'Données projet'!$A$87:$I$107,9,0)</f>
        <v>20.3</v>
      </c>
      <c r="BC73" s="12">
        <f t="array" ref="BC73">INDEX(BB:BB,MIN(IF(ISNUMBER(BB73:BB269),ROW(BB73:BB269),"")))</f>
        <v>20.3</v>
      </c>
      <c r="BD73" s="12">
        <f>IF('Données projet'!$A$88&gt;35,BD72+BC73-BL72,IF(A73&lt;'Données projet'!$A$88,$BA$205^A73,IF(A73='Données projet'!$A$88,'Données projet'!$B$88,BD72+BC73-BL72)))</f>
        <v>826.9999999999992</v>
      </c>
      <c r="BE73" s="13">
        <f>BD73*VLOOKUP('Données projet'!$B$11,Paramètres!$A$1:$I$89,3,0)*VLOOKUP('Données projet'!$B$11,Paramètres!$A$1:$I$89,5,0)</f>
        <v>397.78699999999964</v>
      </c>
      <c r="BF73" s="13">
        <f t="shared" si="91"/>
        <v>91.327868672749759</v>
      </c>
      <c r="BG73" s="20">
        <f t="shared" si="61"/>
        <v>851.87506293837168</v>
      </c>
      <c r="BH73" s="59">
        <f t="shared" si="62"/>
        <v>1145.2083962717049</v>
      </c>
      <c r="BI73" s="59">
        <f ca="1">AVERAGE(OFFSET($BH$3,0,0,'Données projet'!$E$11+1,1))-AVERAGE(OFFSET($H$3,0,0,'Données projet'!$E$11+1,1))</f>
        <v>371.85813103419366</v>
      </c>
      <c r="BJ73" s="59">
        <f t="shared" si="92"/>
        <v>370.01698880104584</v>
      </c>
      <c r="BK73" s="15">
        <f>IF(ISNA(VLOOKUP(A73,'Données projet'!$A$87:$I$107,3,0)),0,VLOOKUP(A73,'Données projet'!$A$87:$I$107,3,0))</f>
        <v>7</v>
      </c>
      <c r="BL73" s="15">
        <f>IF(ISNA(VLOOKUP(A73,'Données projet'!$A$87:$I$107,4,0)),0,VLOOKUP(A73,'Données projet'!$A$87:$I$107,4,0))</f>
        <v>110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12.586912139585499</v>
      </c>
      <c r="BQ73" s="21">
        <f>EXP(-LN(2)/25)*BQ72+(1-EXP(-LN(2)/25))/(LN(2)/25)*Calculateur!BL73*Calculateur!BN73*VLOOKUP('Données projet'!$B$11,Paramètres!$A$1:$I$89,3,0)*0.475*44/12</f>
        <v>14.874372535611379</v>
      </c>
      <c r="BR73" s="21">
        <f>EXP(-LN(2)/2)*BR72+(1-EXP(-LN(2)/2))/(LN(2)/2)*BL73*BO73*VLOOKUP('Données projet'!$B$11,Paramètres!$A$1:$I$89,3,0)*0.475*44/12</f>
        <v>8.4364287696166846E-4</v>
      </c>
      <c r="BS73" s="22">
        <f t="shared" si="63"/>
        <v>27.462128318073841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464</v>
      </c>
      <c r="BW73" s="12">
        <f>VLOOKUP(A73,'Données projet'!$A$113:$I$133,9,0)</f>
        <v>9.8000000000000007</v>
      </c>
      <c r="BX73" s="12">
        <f t="array" ref="BX73">INDEX(BW:BW,MIN(IF(ISNUMBER(BW73:BW269),ROW(BW73:BW269),"")))</f>
        <v>9.8000000000000007</v>
      </c>
      <c r="BY73" s="12">
        <f>IF('Données projet'!$A$114&gt;35,BY72+BX73-CG72,IF(A73&lt;'Données projet'!$A$114,$BV$205^A73,IF(A73='Données projet'!$A$114,'Données projet'!$B$114,BY72+BX73-CG72)))</f>
        <v>464.00000000000034</v>
      </c>
      <c r="BZ73" s="13">
        <f>BY73*VLOOKUP('Données projet'!$B$12,Paramètres!$A$1:$I$89,3,0)*VLOOKUP('Données projet'!$B$12,Paramètres!$A$1:$I$89,5,0)</f>
        <v>253.34400000000019</v>
      </c>
      <c r="CA73" s="13">
        <f t="shared" si="93"/>
        <v>61.301453431926305</v>
      </c>
      <c r="CB73" s="20">
        <f t="shared" si="64"/>
        <v>548.00749806060537</v>
      </c>
      <c r="CC73" s="59">
        <f t="shared" si="65"/>
        <v>841.34083139393874</v>
      </c>
      <c r="CD73" s="59">
        <f ca="1">AVERAGE(OFFSET($CC$3,0,0,'Données projet'!$E$12+1,1))-AVERAGE(OFFSET($H$3,0,0,'Données projet'!$E$12+1,1))</f>
        <v>248.1486444660062</v>
      </c>
      <c r="CE73" s="59">
        <f t="shared" si="94"/>
        <v>293.34458072322127</v>
      </c>
      <c r="CF73" s="15">
        <f>IF(ISNA(VLOOKUP(A73,'Données projet'!$A$113:$I$133,3,0)),0,VLOOKUP(A73,'Données projet'!$A$113:$I$133,3,0))</f>
        <v>7</v>
      </c>
      <c r="CG73" s="15">
        <f>IF(ISNA(VLOOKUP(A73,'Données projet'!$A$113:$I$133,4,0)),0,VLOOKUP(A73,'Données projet'!$A$113:$I$133,4,0))</f>
        <v>63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3.8573943508694191</v>
      </c>
      <c r="CL73" s="21">
        <f>EXP(-LN(2)/25)*CL72+(1-EXP(-LN(2)/25))/(LN(2)/25)*Calculateur!CG73*Calculateur!CI73*VLOOKUP('Données projet'!$B$12,Paramètres!$A$1:$I$89,3,0)*0.475*44/12</f>
        <v>11.228266710178389</v>
      </c>
      <c r="CM73" s="21">
        <f>EXP(-LN(2)/2)*CM72+(1-EXP(-LN(2)/2))/(LN(2)/2)*CG73*CJ73*VLOOKUP('Données projet'!$B$12,Paramètres!$A$1:$I$89,3,0)*0.475*44/12</f>
        <v>2.4015833010545972E-5</v>
      </c>
      <c r="CN73" s="22">
        <f t="shared" si="66"/>
        <v>15.08568507688082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382</v>
      </c>
      <c r="CR73" s="12">
        <f>VLOOKUP(A73,'Données projet'!$A$139:$I$159,9,0)</f>
        <v>5.6</v>
      </c>
      <c r="CS73" s="12">
        <f t="array" ref="CS73">INDEX(CR:CR,MIN(IF(ISNUMBER(CR73:CR269),ROW(CR73:CR269),"")))</f>
        <v>5.6</v>
      </c>
      <c r="CT73" s="12">
        <f>IF('Données projet'!$A$140&gt;35,CT72+CS73-DB72,IF(A73&lt;'Données projet'!$A$140,$CQ$205^A73,IF(A73='Données projet'!$A$140,'Données projet'!$B$140,CT72+CS73-DB72)))</f>
        <v>382</v>
      </c>
      <c r="CU73" s="17">
        <f>CT73*VLOOKUP('Données projet'!$B$13,Paramètres!$A$1:$I$89,3,0)*VLOOKUP('Données projet'!$B$13,Paramètres!$A$1:$I$89,5,0)</f>
        <v>303.91919999999999</v>
      </c>
      <c r="CV73" s="13">
        <f t="shared" si="95"/>
        <v>71.997456655827349</v>
      </c>
      <c r="CW73" s="20">
        <f t="shared" si="67"/>
        <v>654.72151034223259</v>
      </c>
      <c r="CX73" s="59">
        <f t="shared" si="68"/>
        <v>948.05484367556596</v>
      </c>
      <c r="CY73" s="59">
        <f ca="1">AVERAGE(OFFSET($CX$3,0,0,'Données projet'!$E$13+1,1))-AVERAGE(OFFSET($H$3,0,0,'Données projet'!$E$13+1,1))</f>
        <v>314.94704727988847</v>
      </c>
      <c r="CZ73" s="59">
        <f t="shared" si="96"/>
        <v>366.49199094166454</v>
      </c>
      <c r="DA73" s="15">
        <f>IF(ISNA(VLOOKUP(A73,'Données projet'!$A$139:$I$159,3,0)),0,VLOOKUP(A73,'Données projet'!$A$139:$I$159,3,0))</f>
        <v>7</v>
      </c>
      <c r="DB73" s="15">
        <f>IF(ISNA(VLOOKUP(A73,'Données projet'!$A$139:$I$159,4,0)),0,VLOOKUP(A73,'Données projet'!$A$139:$I$159,4,0))</f>
        <v>31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1.773220566394565</v>
      </c>
      <c r="DG73" s="21">
        <f>EXP(-LN(2)/25)*DG72+(1-EXP(-LN(2)/25))/(LN(2)/25)*Calculateur!DB73*Calculateur!DD73*VLOOKUP('Données projet'!$B$13,Paramètres!$A$1:$I$89,3,0)*0.475*44/12</f>
        <v>8.3811490359174066</v>
      </c>
      <c r="DH73" s="21">
        <f>EXP(-LN(2)/2)*DH72+(1-EXP(-LN(2)/2))/(LN(2)/2)*DB73*DE73*VLOOKUP('Données projet'!$B$13,Paramètres!$A$1:$I$89,3,0)*0.475*44/12</f>
        <v>2.753184946132195E-5</v>
      </c>
      <c r="DI73" s="22">
        <f t="shared" si="69"/>
        <v>10.154397134161433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12.9</v>
      </c>
      <c r="N74" s="13">
        <f>IF('Données projet'!$A$36&gt;35,N73+M74-V73,IF(A74&lt;'Données projet'!$A$36,$K$205^A74,IF(A74='Données projet'!$A$36,'Données projet'!$B$36,N73+M74-V73)))</f>
        <v>673.89999999999895</v>
      </c>
      <c r="O74" s="13">
        <f>N74*VLOOKUP('Données projet'!$B$9,Paramètres!$A$1:$I$89,3,0)*VLOOKUP('Données projet'!$B$9,Paramètres!$A$1:$I$89,5,0)</f>
        <v>376.71009999999939</v>
      </c>
      <c r="P74" s="13">
        <f t="shared" si="87"/>
        <v>87.038637418312646</v>
      </c>
      <c r="Q74" s="20">
        <f t="shared" si="54"/>
        <v>807.69571767022671</v>
      </c>
      <c r="R74" s="59">
        <f t="shared" si="55"/>
        <v>1101.02905100356</v>
      </c>
      <c r="S74" s="59">
        <f ca="1">AVERAGE(OFFSET($R$3,0,0,'Données projet'!$E$9+1,1))-AVERAGE(OFFSET($H$3,0,0,'Données projet'!$E$9+1,1))</f>
        <v>415.91544298418842</v>
      </c>
      <c r="T74" s="59">
        <f t="shared" si="88"/>
        <v>422.79312683312583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5.0702076638379321</v>
      </c>
      <c r="AA74" s="21">
        <f>EXP(-LN(2)/25)*AA73+(1-EXP(-LN(2)/25))/(LN(2)/25)*Calculateur!V74*Calculateur!X74*VLOOKUP('Données projet'!$B$9,Paramètres!$A$1:$I$89,3,0)*0.475*44/12</f>
        <v>12.436207675780821</v>
      </c>
      <c r="AB74" s="21">
        <f>EXP(-LN(2)/2)*AB73+(1-EXP(-LN(2)/2))/(LN(2)/2)*V74*Y74*VLOOKUP('Données projet'!$B$9,Paramètres!$A$1:$I$89,3,0)*0.475*44/12</f>
        <v>2.4594804477542523E-5</v>
      </c>
      <c r="AC74" s="22">
        <f t="shared" si="57"/>
        <v>17.506439934423234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9.4</v>
      </c>
      <c r="AI74" s="13">
        <f>IF('Données projet'!$A$62&gt;35,AI73+AH74-AQ73,IF(A74&lt;'Données projet'!$A$62,$AF$205^A74,IF(A74='Données projet'!$A$62,'Données projet'!$B$62,AI73+AH74-AQ73)))</f>
        <v>507.40000000000009</v>
      </c>
      <c r="AJ74" s="13">
        <f>AI74*VLOOKUP('Données projet'!$B$10,Paramètres!$A$1:$I$89,3,0)*VLOOKUP('Données projet'!$B$10,Paramètres!$A$1:$I$89,5,0)</f>
        <v>303.42520000000007</v>
      </c>
      <c r="AK74" s="13">
        <f t="shared" si="89"/>
        <v>71.89404183566603</v>
      </c>
      <c r="AL74" s="20">
        <f t="shared" si="58"/>
        <v>653.6810128637851</v>
      </c>
      <c r="AM74" s="59">
        <f t="shared" si="59"/>
        <v>947.01434619711836</v>
      </c>
      <c r="AN74" s="59">
        <f ca="1">AVERAGE(OFFSET($AM$3,0,0,'Données projet'!$E$10+1,1))-AVERAGE(OFFSET($H$3,0,0,'Données projet'!$E$10+1,1))</f>
        <v>311.06126148520821</v>
      </c>
      <c r="AO74" s="59">
        <f t="shared" si="90"/>
        <v>321.1728368524748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1.5532200644611336</v>
      </c>
      <c r="AV74" s="21">
        <f>EXP(-LN(2)/25)*AV73+(1-EXP(-LN(2)/25))/(LN(2)/25)*Calculateur!AQ74*Calculateur!AS74*VLOOKUP('Données projet'!$B$10,Paramètres!$A$1:$I$89,3,0)*0.475*44/12</f>
        <v>6.8469867415511487</v>
      </c>
      <c r="AW74" s="21">
        <f>EXP(-LN(2)/2)*AW73+(1-EXP(-LN(2)/2))/(LN(2)/2)*AQ74*AT74*VLOOKUP('Données projet'!$B$10,Paramètres!$A$1:$I$89,3,0)*0.475*44/12</f>
        <v>2.0435040517906918E-5</v>
      </c>
      <c r="AX74" s="21">
        <f t="shared" si="60"/>
        <v>8.4002272410528001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17.5</v>
      </c>
      <c r="BD74" s="12">
        <f>IF('Données projet'!$A$88&gt;35,BD73+BC74-BL73,IF(A74&lt;'Données projet'!$A$88,$BA$205^A74,IF(A74='Données projet'!$A$88,'Données projet'!$B$88,BD73+BC74-BL73)))</f>
        <v>734.4999999999992</v>
      </c>
      <c r="BE74" s="13">
        <f>BD74*VLOOKUP('Données projet'!$B$11,Paramètres!$A$1:$I$89,3,0)*VLOOKUP('Données projet'!$B$11,Paramètres!$A$1:$I$89,5,0)</f>
        <v>353.29449999999963</v>
      </c>
      <c r="BF74" s="13">
        <f t="shared" si="91"/>
        <v>82.240512667208606</v>
      </c>
      <c r="BG74" s="20">
        <f t="shared" si="61"/>
        <v>758.55681372872095</v>
      </c>
      <c r="BH74" s="59">
        <f t="shared" si="62"/>
        <v>1051.8901470620542</v>
      </c>
      <c r="BI74" s="59">
        <f ca="1">AVERAGE(OFFSET($BH$3,0,0,'Données projet'!$E$11+1,1))-AVERAGE(OFFSET($H$3,0,0,'Données projet'!$E$11+1,1))</f>
        <v>371.85813103419366</v>
      </c>
      <c r="BJ74" s="59">
        <f t="shared" si="92"/>
        <v>370.01698880104584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12.340090469786565</v>
      </c>
      <c r="BQ74" s="21">
        <f>EXP(-LN(2)/25)*BQ73+(1-EXP(-LN(2)/25))/(LN(2)/25)*Calculateur!BL74*Calculateur!BN74*VLOOKUP('Données projet'!$B$11,Paramètres!$A$1:$I$89,3,0)*0.475*44/12</f>
        <v>14.46763203641583</v>
      </c>
      <c r="BR74" s="21">
        <f>EXP(-LN(2)/2)*BR73+(1-EXP(-LN(2)/2))/(LN(2)/2)*BL74*BO74*VLOOKUP('Données projet'!$B$11,Paramètres!$A$1:$I$89,3,0)*0.475*44/12</f>
        <v>5.9654559919932392E-4</v>
      </c>
      <c r="BS74" s="22">
        <f t="shared" si="63"/>
        <v>26.808319051801593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8.6</v>
      </c>
      <c r="BY74" s="12">
        <f>IF('Données projet'!$A$114&gt;35,BY73+BX74-CG73,IF(A74&lt;'Données projet'!$A$114,$BV$205^A74,IF(A74='Données projet'!$A$114,'Données projet'!$B$114,BY73+BX74-CG73)))</f>
        <v>409.60000000000036</v>
      </c>
      <c r="BZ74" s="13">
        <f>BY74*VLOOKUP('Données projet'!$B$12,Paramètres!$A$1:$I$89,3,0)*VLOOKUP('Données projet'!$B$12,Paramètres!$A$1:$I$89,5,0)</f>
        <v>223.64160000000021</v>
      </c>
      <c r="CA74" s="13">
        <f t="shared" si="93"/>
        <v>54.905611653539268</v>
      </c>
      <c r="CB74" s="20">
        <f t="shared" si="64"/>
        <v>485.13639362991449</v>
      </c>
      <c r="CC74" s="59">
        <f t="shared" si="65"/>
        <v>778.46972696324781</v>
      </c>
      <c r="CD74" s="59">
        <f ca="1">AVERAGE(OFFSET($CC$3,0,0,'Données projet'!$E$12+1,1))-AVERAGE(OFFSET($H$3,0,0,'Données projet'!$E$12+1,1))</f>
        <v>248.1486444660062</v>
      </c>
      <c r="CE74" s="59">
        <f t="shared" si="94"/>
        <v>293.34458072322127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3.7817532004271062</v>
      </c>
      <c r="CL74" s="21">
        <f>EXP(-LN(2)/25)*CL73+(1-EXP(-LN(2)/25))/(LN(2)/25)*Calculateur!CG74*Calculateur!CI74*VLOOKUP('Données projet'!$B$12,Paramètres!$A$1:$I$89,3,0)*0.475*44/12</f>
        <v>10.921229166519677</v>
      </c>
      <c r="CM74" s="21">
        <f>EXP(-LN(2)/2)*CM73+(1-EXP(-LN(2)/2))/(LN(2)/2)*CG74*CJ74*VLOOKUP('Données projet'!$B$12,Paramètres!$A$1:$I$89,3,0)*0.475*44/12</f>
        <v>1.6981758377600795E-5</v>
      </c>
      <c r="CN74" s="22">
        <f t="shared" si="66"/>
        <v>14.702999348705161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4.4000000000000004</v>
      </c>
      <c r="CT74" s="12">
        <f>IF('Données projet'!$A$140&gt;35,CT73+CS74-DB73,IF(A74&lt;'Données projet'!$A$140,$CQ$205^A74,IF(A74='Données projet'!$A$140,'Données projet'!$B$140,CT73+CS74-DB73)))</f>
        <v>355.4</v>
      </c>
      <c r="CU74" s="17">
        <f>CT74*VLOOKUP('Données projet'!$B$13,Paramètres!$A$1:$I$89,3,0)*VLOOKUP('Données projet'!$B$13,Paramètres!$A$1:$I$89,5,0)</f>
        <v>282.75623999999999</v>
      </c>
      <c r="CV74" s="13">
        <f t="shared" si="95"/>
        <v>67.549149140642555</v>
      </c>
      <c r="CW74" s="20">
        <f t="shared" si="67"/>
        <v>610.11521941995238</v>
      </c>
      <c r="CX74" s="59">
        <f t="shared" si="68"/>
        <v>903.44855275328564</v>
      </c>
      <c r="CY74" s="59">
        <f ca="1">AVERAGE(OFFSET($CX$3,0,0,'Données projet'!$E$13+1,1))-AVERAGE(OFFSET($H$3,0,0,'Données projet'!$E$13+1,1))</f>
        <v>314.94704727988847</v>
      </c>
      <c r="CZ74" s="59">
        <f t="shared" si="96"/>
        <v>366.49199094166454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1.7384487926453183</v>
      </c>
      <c r="DG74" s="21">
        <f>EXP(-LN(2)/25)*DG73+(1-EXP(-LN(2)/25))/(LN(2)/25)*Calculateur!DB74*Calculateur!DD74*VLOOKUP('Données projet'!$B$13,Paramètres!$A$1:$I$89,3,0)*0.475*44/12</f>
        <v>8.151966074784772</v>
      </c>
      <c r="DH74" s="21">
        <f>EXP(-LN(2)/2)*DH73+(1-EXP(-LN(2)/2))/(LN(2)/2)*DB74*DE74*VLOOKUP('Données projet'!$B$13,Paramètres!$A$1:$I$89,3,0)*0.475*44/12</f>
        <v>1.9467957452707946E-5</v>
      </c>
      <c r="DI74" s="22">
        <f t="shared" si="69"/>
        <v>9.8904343353875426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12.9</v>
      </c>
      <c r="N75" s="13">
        <f>IF('Données projet'!$A$36&gt;35,N74+M75-V74,IF(A75&lt;'Données projet'!$A$36,$K$205^A75,IF(A75='Données projet'!$A$36,'Données projet'!$B$36,N74+M75-V74)))</f>
        <v>686.79999999999893</v>
      </c>
      <c r="O75" s="13">
        <f>N75*VLOOKUP('Données projet'!$B$9,Paramètres!$A$1:$I$89,3,0)*VLOOKUP('Données projet'!$B$9,Paramètres!$A$1:$I$89,5,0)</f>
        <v>383.92119999999943</v>
      </c>
      <c r="P75" s="13">
        <f t="shared" si="87"/>
        <v>88.509192685867021</v>
      </c>
      <c r="Q75" s="20">
        <f t="shared" si="54"/>
        <v>822.81626726121738</v>
      </c>
      <c r="R75" s="59">
        <f t="shared" si="55"/>
        <v>1116.1496005945507</v>
      </c>
      <c r="S75" s="59">
        <f ca="1">AVERAGE(OFFSET($R$3,0,0,'Données projet'!$E$9+1,1))-AVERAGE(OFFSET($H$3,0,0,'Données projet'!$E$9+1,1))</f>
        <v>415.91544298418842</v>
      </c>
      <c r="T75" s="59">
        <f t="shared" si="88"/>
        <v>422.79312683312583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4.9707839840713843</v>
      </c>
      <c r="AA75" s="21">
        <f>EXP(-LN(2)/25)*AA74+(1-EXP(-LN(2)/25))/(LN(2)/25)*Calculateur!V75*Calculateur!X75*VLOOKUP('Données projet'!$B$9,Paramètres!$A$1:$I$89,3,0)*0.475*44/12</f>
        <v>12.096138922894855</v>
      </c>
      <c r="AB75" s="21">
        <f>EXP(-LN(2)/2)*AB74+(1-EXP(-LN(2)/2))/(LN(2)/2)*V75*Y75*VLOOKUP('Données projet'!$B$9,Paramètres!$A$1:$I$89,3,0)*0.475*44/12</f>
        <v>1.739115302802758E-5</v>
      </c>
      <c r="AC75" s="22">
        <f t="shared" si="57"/>
        <v>17.06694029811927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9.4</v>
      </c>
      <c r="AI75" s="13">
        <f>IF('Données projet'!$A$62&gt;35,AI74+AH75-AQ74,IF(A75&lt;'Données projet'!$A$62,$AF$205^A75,IF(A75='Données projet'!$A$62,'Données projet'!$B$62,AI74+AH75-AQ74)))</f>
        <v>516.80000000000007</v>
      </c>
      <c r="AJ75" s="13">
        <f>AI75*VLOOKUP('Données projet'!$B$10,Paramètres!$A$1:$I$89,3,0)*VLOOKUP('Données projet'!$B$10,Paramètres!$A$1:$I$89,5,0)</f>
        <v>309.04640000000006</v>
      </c>
      <c r="AK75" s="13">
        <f t="shared" si="89"/>
        <v>73.069644842674492</v>
      </c>
      <c r="AL75" s="20">
        <f t="shared" si="58"/>
        <v>665.51877810099154</v>
      </c>
      <c r="AM75" s="59">
        <f t="shared" si="59"/>
        <v>958.8521114343248</v>
      </c>
      <c r="AN75" s="59">
        <f ca="1">AVERAGE(OFFSET($AM$3,0,0,'Données projet'!$E$10+1,1))-AVERAGE(OFFSET($H$3,0,0,'Données projet'!$E$10+1,1))</f>
        <v>311.06126148520821</v>
      </c>
      <c r="AO75" s="59">
        <f t="shared" si="90"/>
        <v>321.1728368524748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1.522762366367745</v>
      </c>
      <c r="AV75" s="21">
        <f>EXP(-LN(2)/25)*AV74+(1-EXP(-LN(2)/25))/(LN(2)/25)*Calculateur!AQ75*Calculateur!AS75*VLOOKUP('Données projet'!$B$10,Paramètres!$A$1:$I$89,3,0)*0.475*44/12</f>
        <v>6.6597555290360484</v>
      </c>
      <c r="AW75" s="21">
        <f>EXP(-LN(2)/2)*AW74+(1-EXP(-LN(2)/2))/(LN(2)/2)*AQ75*AT75*VLOOKUP('Données projet'!$B$10,Paramètres!$A$1:$I$89,3,0)*0.475*44/12</f>
        <v>1.444975572403384E-5</v>
      </c>
      <c r="AX75" s="21">
        <f t="shared" si="60"/>
        <v>8.1825323451595171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17.5</v>
      </c>
      <c r="BD75" s="12">
        <f>IF('Données projet'!$A$88&gt;35,BD74+BC75-BL74,IF(A75&lt;'Données projet'!$A$88,$BA$205^A75,IF(A75='Données projet'!$A$88,'Données projet'!$B$88,BD74+BC75-BL74)))</f>
        <v>751.9999999999992</v>
      </c>
      <c r="BE75" s="13">
        <f>BD75*VLOOKUP('Données projet'!$B$11,Paramètres!$A$1:$I$89,3,0)*VLOOKUP('Données projet'!$B$11,Paramètres!$A$1:$I$89,5,0)</f>
        <v>361.71199999999965</v>
      </c>
      <c r="BF75" s="13">
        <f t="shared" si="91"/>
        <v>83.969494418440931</v>
      </c>
      <c r="BG75" s="20">
        <f t="shared" si="61"/>
        <v>776.22860277878408</v>
      </c>
      <c r="BH75" s="59">
        <f t="shared" si="62"/>
        <v>1069.5619361121173</v>
      </c>
      <c r="BI75" s="59">
        <f ca="1">AVERAGE(OFFSET($BH$3,0,0,'Données projet'!$E$11+1,1))-AVERAGE(OFFSET($H$3,0,0,'Données projet'!$E$11+1,1))</f>
        <v>371.85813103419366</v>
      </c>
      <c r="BJ75" s="59">
        <f t="shared" si="92"/>
        <v>370.01698880104584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12.098108822386036</v>
      </c>
      <c r="BQ75" s="21">
        <f>EXP(-LN(2)/25)*BQ74+(1-EXP(-LN(2)/25))/(LN(2)/25)*Calculateur!BL75*Calculateur!BN75*VLOOKUP('Données projet'!$B$11,Paramètres!$A$1:$I$89,3,0)*0.475*44/12</f>
        <v>14.072013877560337</v>
      </c>
      <c r="BR75" s="21">
        <f>EXP(-LN(2)/2)*BR74+(1-EXP(-LN(2)/2))/(LN(2)/2)*BL75*BO75*VLOOKUP('Données projet'!$B$11,Paramètres!$A$1:$I$89,3,0)*0.475*44/12</f>
        <v>4.2182143848083423E-4</v>
      </c>
      <c r="BS75" s="22">
        <f t="shared" si="63"/>
        <v>26.170544521384855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8.6</v>
      </c>
      <c r="BY75" s="12">
        <f>IF('Données projet'!$A$114&gt;35,BY74+BX75-CG74,IF(A75&lt;'Données projet'!$A$114,$BV$205^A75,IF(A75='Données projet'!$A$114,'Données projet'!$B$114,BY74+BX75-CG74)))</f>
        <v>418.20000000000039</v>
      </c>
      <c r="BZ75" s="13">
        <f>BY75*VLOOKUP('Données projet'!$B$12,Paramètres!$A$1:$I$89,3,0)*VLOOKUP('Données projet'!$B$12,Paramètres!$A$1:$I$89,5,0)</f>
        <v>228.33720000000019</v>
      </c>
      <c r="CA75" s="13">
        <f t="shared" si="93"/>
        <v>55.922993607595103</v>
      </c>
      <c r="CB75" s="20">
        <f t="shared" si="64"/>
        <v>495.08650386656171</v>
      </c>
      <c r="CC75" s="59">
        <f t="shared" si="65"/>
        <v>788.41983719989503</v>
      </c>
      <c r="CD75" s="59">
        <f ca="1">AVERAGE(OFFSET($CC$3,0,0,'Données projet'!$E$12+1,1))-AVERAGE(OFFSET($H$3,0,0,'Données projet'!$E$12+1,1))</f>
        <v>248.1486444660062</v>
      </c>
      <c r="CE75" s="59">
        <f t="shared" si="94"/>
        <v>293.34458072322127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3.7075953268084207</v>
      </c>
      <c r="CL75" s="21">
        <f>EXP(-LN(2)/25)*CL74+(1-EXP(-LN(2)/25))/(LN(2)/25)*Calculateur!CG75*Calculateur!CI75*VLOOKUP('Données projet'!$B$12,Paramètres!$A$1:$I$89,3,0)*0.475*44/12</f>
        <v>10.622587580638715</v>
      </c>
      <c r="CM75" s="21">
        <f>EXP(-LN(2)/2)*CM74+(1-EXP(-LN(2)/2))/(LN(2)/2)*CG75*CJ75*VLOOKUP('Données projet'!$B$12,Paramètres!$A$1:$I$89,3,0)*0.475*44/12</f>
        <v>1.2007916505272986E-5</v>
      </c>
      <c r="CN75" s="22">
        <f t="shared" si="66"/>
        <v>14.33019491536364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4.4000000000000004</v>
      </c>
      <c r="CT75" s="12">
        <f>IF('Données projet'!$A$140&gt;35,CT74+CS75-DB74,IF(A75&lt;'Données projet'!$A$140,$CQ$205^A75,IF(A75='Données projet'!$A$140,'Données projet'!$B$140,CT74+CS75-DB74)))</f>
        <v>359.79999999999995</v>
      </c>
      <c r="CU75" s="17">
        <f>CT75*VLOOKUP('Données projet'!$B$13,Paramètres!$A$1:$I$89,3,0)*VLOOKUP('Données projet'!$B$13,Paramètres!$A$1:$I$89,5,0)</f>
        <v>286.25687999999997</v>
      </c>
      <c r="CV75" s="13">
        <f t="shared" si="95"/>
        <v>68.287561975908019</v>
      </c>
      <c r="CW75" s="20">
        <f t="shared" si="67"/>
        <v>617.49823644137302</v>
      </c>
      <c r="CX75" s="59">
        <f t="shared" si="68"/>
        <v>910.8315697747064</v>
      </c>
      <c r="CY75" s="59">
        <f ca="1">AVERAGE(OFFSET($CX$3,0,0,'Données projet'!$E$13+1,1))-AVERAGE(OFFSET($H$3,0,0,'Données projet'!$E$13+1,1))</f>
        <v>314.94704727988847</v>
      </c>
      <c r="CZ75" s="59">
        <f t="shared" si="96"/>
        <v>366.49199094166454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1.7043588721706062</v>
      </c>
      <c r="DG75" s="21">
        <f>EXP(-LN(2)/25)*DG74+(1-EXP(-LN(2)/25))/(LN(2)/25)*Calculateur!DB75*Calculateur!DD75*VLOOKUP('Données projet'!$B$13,Paramètres!$A$1:$I$89,3,0)*0.475*44/12</f>
        <v>7.929050133776518</v>
      </c>
      <c r="DH75" s="21">
        <f>EXP(-LN(2)/2)*DH74+(1-EXP(-LN(2)/2))/(LN(2)/2)*DB75*DE75*VLOOKUP('Données projet'!$B$13,Paramètres!$A$1:$I$89,3,0)*0.475*44/12</f>
        <v>1.3765924730660975E-5</v>
      </c>
      <c r="DI75" s="22">
        <f t="shared" si="69"/>
        <v>9.6334227718718548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12.9</v>
      </c>
      <c r="N76" s="13">
        <f>IF('Données projet'!$A$36&gt;35,N75+M76-V75,IF(A76&lt;'Données projet'!$A$36,$K$205^A76,IF(A76='Données projet'!$A$36,'Données projet'!$B$36,N75+M76-V75)))</f>
        <v>699.69999999999891</v>
      </c>
      <c r="O76" s="13">
        <f>N76*VLOOKUP('Données projet'!$B$9,Paramètres!$A$1:$I$89,3,0)*VLOOKUP('Données projet'!$B$9,Paramètres!$A$1:$I$89,5,0)</f>
        <v>391.13229999999942</v>
      </c>
      <c r="P76" s="13">
        <f t="shared" si="87"/>
        <v>89.976536171230705</v>
      </c>
      <c r="Q76" s="20">
        <f t="shared" si="54"/>
        <v>837.93122299822573</v>
      </c>
      <c r="R76" s="59">
        <f t="shared" si="55"/>
        <v>1131.2645563315591</v>
      </c>
      <c r="S76" s="59">
        <f ca="1">AVERAGE(OFFSET($R$3,0,0,'Données projet'!$E$9+1,1))-AVERAGE(OFFSET($H$3,0,0,'Données projet'!$E$9+1,1))</f>
        <v>415.91544298418842</v>
      </c>
      <c r="T76" s="59">
        <f t="shared" si="88"/>
        <v>422.79312683312583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4.873309942022602</v>
      </c>
      <c r="AA76" s="21">
        <f>EXP(-LN(2)/25)*AA75+(1-EXP(-LN(2)/25))/(LN(2)/25)*Calculateur!V76*Calculateur!X76*VLOOKUP('Données projet'!$B$9,Paramètres!$A$1:$I$89,3,0)*0.475*44/12</f>
        <v>11.765369367939996</v>
      </c>
      <c r="AB76" s="21">
        <f>EXP(-LN(2)/2)*AB75+(1-EXP(-LN(2)/2))/(LN(2)/2)*V76*Y76*VLOOKUP('Données projet'!$B$9,Paramètres!$A$1:$I$89,3,0)*0.475*44/12</f>
        <v>1.2297402238771262E-5</v>
      </c>
      <c r="AC76" s="22">
        <f t="shared" si="57"/>
        <v>16.638691607364837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9.4</v>
      </c>
      <c r="AI76" s="13">
        <f>IF('Données projet'!$A$62&gt;35,AI75+AH76-AQ75,IF(A76&lt;'Données projet'!$A$62,$AF$205^A76,IF(A76='Données projet'!$A$62,'Données projet'!$B$62,AI75+AH76-AQ75)))</f>
        <v>526.20000000000005</v>
      </c>
      <c r="AJ76" s="13">
        <f>AI76*VLOOKUP('Données projet'!$B$10,Paramètres!$A$1:$I$89,3,0)*VLOOKUP('Données projet'!$B$10,Paramètres!$A$1:$I$89,5,0)</f>
        <v>314.66760000000005</v>
      </c>
      <c r="AK76" s="13">
        <f t="shared" si="89"/>
        <v>74.24276137137872</v>
      </c>
      <c r="AL76" s="20">
        <f t="shared" si="58"/>
        <v>677.35221272181798</v>
      </c>
      <c r="AM76" s="59">
        <f t="shared" si="59"/>
        <v>970.68554605515124</v>
      </c>
      <c r="AN76" s="59">
        <f ca="1">AVERAGE(OFFSET($AM$3,0,0,'Données projet'!$E$10+1,1))-AVERAGE(OFFSET($H$3,0,0,'Données projet'!$E$10+1,1))</f>
        <v>311.06126148520821</v>
      </c>
      <c r="AO76" s="59">
        <f t="shared" si="90"/>
        <v>321.1728368524748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1.4929019251566062</v>
      </c>
      <c r="AV76" s="21">
        <f>EXP(-LN(2)/25)*AV75+(1-EXP(-LN(2)/25))/(LN(2)/25)*Calculateur!AQ76*Calculateur!AS76*VLOOKUP('Données projet'!$B$10,Paramètres!$A$1:$I$89,3,0)*0.475*44/12</f>
        <v>6.4776441638732356</v>
      </c>
      <c r="AW76" s="21">
        <f>EXP(-LN(2)/2)*AW75+(1-EXP(-LN(2)/2))/(LN(2)/2)*AQ76*AT76*VLOOKUP('Données projet'!$B$10,Paramètres!$A$1:$I$89,3,0)*0.475*44/12</f>
        <v>1.0217520258953459E-5</v>
      </c>
      <c r="AX76" s="21">
        <f t="shared" si="60"/>
        <v>7.9705563065501011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17.5</v>
      </c>
      <c r="BD76" s="12">
        <f>IF('Données projet'!$A$88&gt;35,BD75+BC76-BL75,IF(A76&lt;'Données projet'!$A$88,$BA$205^A76,IF(A76='Données projet'!$A$88,'Données projet'!$B$88,BD75+BC76-BL75)))</f>
        <v>769.4999999999992</v>
      </c>
      <c r="BE76" s="13">
        <f>BD76*VLOOKUP('Données projet'!$B$11,Paramètres!$A$1:$I$89,3,0)*VLOOKUP('Données projet'!$B$11,Paramètres!$A$1:$I$89,5,0)</f>
        <v>370.12949999999961</v>
      </c>
      <c r="BF76" s="13">
        <f t="shared" si="91"/>
        <v>85.693798635610591</v>
      </c>
      <c r="BG76" s="20">
        <f t="shared" si="61"/>
        <v>793.89224512368764</v>
      </c>
      <c r="BH76" s="59">
        <f t="shared" si="62"/>
        <v>1087.2255784570209</v>
      </c>
      <c r="BI76" s="59">
        <f ca="1">AVERAGE(OFFSET($BH$3,0,0,'Données projet'!$E$11+1,1))-AVERAGE(OFFSET($H$3,0,0,'Données projet'!$E$11+1,1))</f>
        <v>371.85813103419366</v>
      </c>
      <c r="BJ76" s="59">
        <f t="shared" si="92"/>
        <v>370.01698880104584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11.8608722874968</v>
      </c>
      <c r="BQ76" s="21">
        <f>EXP(-LN(2)/25)*BQ75+(1-EXP(-LN(2)/25))/(LN(2)/25)*Calculateur!BL76*Calculateur!BN76*VLOOKUP('Données projet'!$B$11,Paramètres!$A$1:$I$89,3,0)*0.475*44/12</f>
        <v>13.687213918063403</v>
      </c>
      <c r="BR76" s="21">
        <f>EXP(-LN(2)/2)*BR75+(1-EXP(-LN(2)/2))/(LN(2)/2)*BL76*BO76*VLOOKUP('Données projet'!$B$11,Paramètres!$A$1:$I$89,3,0)*0.475*44/12</f>
        <v>2.9827279959966196E-4</v>
      </c>
      <c r="BS76" s="22">
        <f t="shared" si="63"/>
        <v>25.548384478359804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8.6</v>
      </c>
      <c r="BY76" s="12">
        <f>IF('Données projet'!$A$114&gt;35,BY75+BX76-CG75,IF(A76&lt;'Données projet'!$A$114,$BV$205^A76,IF(A76='Données projet'!$A$114,'Données projet'!$B$114,BY75+BX76-CG75)))</f>
        <v>426.80000000000041</v>
      </c>
      <c r="BZ76" s="13">
        <f>BY76*VLOOKUP('Données projet'!$B$12,Paramètres!$A$1:$I$89,3,0)*VLOOKUP('Données projet'!$B$12,Paramètres!$A$1:$I$89,5,0)</f>
        <v>233.03280000000024</v>
      </c>
      <c r="CA76" s="13">
        <f t="shared" si="93"/>
        <v>56.937942998569035</v>
      </c>
      <c r="CB76" s="20">
        <f t="shared" si="64"/>
        <v>505.03237738917477</v>
      </c>
      <c r="CC76" s="59">
        <f t="shared" si="65"/>
        <v>798.36571072250808</v>
      </c>
      <c r="CD76" s="59">
        <f ca="1">AVERAGE(OFFSET($CC$3,0,0,'Données projet'!$E$12+1,1))-AVERAGE(OFFSET($H$3,0,0,'Données projet'!$E$12+1,1))</f>
        <v>248.1486444660062</v>
      </c>
      <c r="CE76" s="59">
        <f t="shared" si="94"/>
        <v>293.34458072322127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3.6348916438595613</v>
      </c>
      <c r="CL76" s="21">
        <f>EXP(-LN(2)/25)*CL75+(1-EXP(-LN(2)/25))/(LN(2)/25)*Calculateur!CG76*Calculateur!CI76*VLOOKUP('Données projet'!$B$12,Paramètres!$A$1:$I$89,3,0)*0.475*44/12</f>
        <v>10.332112364628546</v>
      </c>
      <c r="CM76" s="21">
        <f>EXP(-LN(2)/2)*CM75+(1-EXP(-LN(2)/2))/(LN(2)/2)*CG76*CJ76*VLOOKUP('Données projet'!$B$12,Paramètres!$A$1:$I$89,3,0)*0.475*44/12</f>
        <v>8.4908791888003976E-6</v>
      </c>
      <c r="CN76" s="22">
        <f t="shared" si="66"/>
        <v>13.967012499367296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4.4000000000000004</v>
      </c>
      <c r="CT76" s="12">
        <f>IF('Données projet'!$A$140&gt;35,CT75+CS76-DB75,IF(A76&lt;'Données projet'!$A$140,$CQ$205^A76,IF(A76='Données projet'!$A$140,'Données projet'!$B$140,CT75+CS76-DB75)))</f>
        <v>364.19999999999993</v>
      </c>
      <c r="CU76" s="17">
        <f>CT76*VLOOKUP('Données projet'!$B$13,Paramètres!$A$1:$I$89,3,0)*VLOOKUP('Données projet'!$B$13,Paramètres!$A$1:$I$89,5,0)</f>
        <v>289.75751999999994</v>
      </c>
      <c r="CV76" s="13">
        <f t="shared" si="95"/>
        <v>69.024924431959747</v>
      </c>
      <c r="CW76" s="20">
        <f t="shared" si="67"/>
        <v>624.8794240523298</v>
      </c>
      <c r="CX76" s="59">
        <f t="shared" si="68"/>
        <v>918.21275738566305</v>
      </c>
      <c r="CY76" s="59">
        <f ca="1">AVERAGE(OFFSET($CX$3,0,0,'Données projet'!$E$13+1,1))-AVERAGE(OFFSET($H$3,0,0,'Données projet'!$E$13+1,1))</f>
        <v>314.94704727988847</v>
      </c>
      <c r="CZ76" s="59">
        <f t="shared" si="96"/>
        <v>366.49199094166454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1.670937434243605</v>
      </c>
      <c r="DG76" s="21">
        <f>EXP(-LN(2)/25)*DG75+(1-EXP(-LN(2)/25))/(LN(2)/25)*Calculateur!DB76*Calculateur!DD76*VLOOKUP('Données projet'!$B$13,Paramètres!$A$1:$I$89,3,0)*0.475*44/12</f>
        <v>7.7122298408977743</v>
      </c>
      <c r="DH76" s="21">
        <f>EXP(-LN(2)/2)*DH75+(1-EXP(-LN(2)/2))/(LN(2)/2)*DB76*DE76*VLOOKUP('Données projet'!$B$13,Paramètres!$A$1:$I$89,3,0)*0.475*44/12</f>
        <v>9.733978726353973E-6</v>
      </c>
      <c r="DI76" s="22">
        <f t="shared" si="69"/>
        <v>9.3831770091201054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12.9</v>
      </c>
      <c r="N77" s="13">
        <f>IF('Données projet'!$A$36&gt;35,N76+M77-V76,IF(A77&lt;'Données projet'!$A$36,$K$205^A77,IF(A77='Données projet'!$A$36,'Données projet'!$B$36,N76+M77-V76)))</f>
        <v>712.59999999999889</v>
      </c>
      <c r="O77" s="13">
        <f>N77*VLOOKUP('Données projet'!$B$9,Paramètres!$A$1:$I$89,3,0)*VLOOKUP('Données projet'!$B$9,Paramètres!$A$1:$I$89,5,0)</f>
        <v>398.34339999999935</v>
      </c>
      <c r="P77" s="13">
        <f t="shared" si="87"/>
        <v>91.440733917504517</v>
      </c>
      <c r="Q77" s="20">
        <f t="shared" si="54"/>
        <v>853.04069990631922</v>
      </c>
      <c r="R77" s="59">
        <f t="shared" si="55"/>
        <v>1146.3740332396526</v>
      </c>
      <c r="S77" s="59">
        <f ca="1">AVERAGE(OFFSET($R$3,0,0,'Données projet'!$E$9+1,1))-AVERAGE(OFFSET($H$3,0,0,'Données projet'!$E$9+1,1))</f>
        <v>415.91544298418842</v>
      </c>
      <c r="T77" s="59">
        <f t="shared" si="88"/>
        <v>422.79312683312583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4.777747306485101</v>
      </c>
      <c r="AA77" s="21">
        <f>EXP(-LN(2)/25)*AA76+(1-EXP(-LN(2)/25))/(LN(2)/25)*Calculateur!V77*Calculateur!X77*VLOOKUP('Données projet'!$B$9,Paramètres!$A$1:$I$89,3,0)*0.475*44/12</f>
        <v>11.443644723859792</v>
      </c>
      <c r="AB77" s="21">
        <f>EXP(-LN(2)/2)*AB76+(1-EXP(-LN(2)/2))/(LN(2)/2)*V77*Y77*VLOOKUP('Données projet'!$B$9,Paramètres!$A$1:$I$89,3,0)*0.475*44/12</f>
        <v>8.6955765140137901E-6</v>
      </c>
      <c r="AC77" s="22">
        <f t="shared" si="57"/>
        <v>16.221400725921409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9.4</v>
      </c>
      <c r="AI77" s="13">
        <f>IF('Données projet'!$A$62&gt;35,AI76+AH77-AQ76,IF(A77&lt;'Données projet'!$A$62,$AF$205^A77,IF(A77='Données projet'!$A$62,'Données projet'!$B$62,AI76+AH77-AQ76)))</f>
        <v>535.6</v>
      </c>
      <c r="AJ77" s="13">
        <f>AI77*VLOOKUP('Données projet'!$B$10,Paramètres!$A$1:$I$89,3,0)*VLOOKUP('Données projet'!$B$10,Paramètres!$A$1:$I$89,5,0)</f>
        <v>320.28880000000004</v>
      </c>
      <c r="AK77" s="13">
        <f t="shared" si="89"/>
        <v>75.413440964132491</v>
      </c>
      <c r="AL77" s="20">
        <f t="shared" si="58"/>
        <v>689.18140301253072</v>
      </c>
      <c r="AM77" s="59">
        <f t="shared" si="59"/>
        <v>982.51473634586409</v>
      </c>
      <c r="AN77" s="59">
        <f ca="1">AVERAGE(OFFSET($AM$3,0,0,'Données projet'!$E$10+1,1))-AVERAGE(OFFSET($H$3,0,0,'Données projet'!$E$10+1,1))</f>
        <v>311.06126148520821</v>
      </c>
      <c r="AO77" s="59">
        <f t="shared" si="90"/>
        <v>321.1728368524748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1.4636270289845472</v>
      </c>
      <c r="AV77" s="21">
        <f>EXP(-LN(2)/25)*AV76+(1-EXP(-LN(2)/25))/(LN(2)/25)*Calculateur!AQ77*Calculateur!AS77*VLOOKUP('Données projet'!$B$10,Paramètres!$A$1:$I$89,3,0)*0.475*44/12</f>
        <v>6.30051264356762</v>
      </c>
      <c r="AW77" s="21">
        <f>EXP(-LN(2)/2)*AW76+(1-EXP(-LN(2)/2))/(LN(2)/2)*AQ77*AT77*VLOOKUP('Données projet'!$B$10,Paramètres!$A$1:$I$89,3,0)*0.475*44/12</f>
        <v>7.2248778620169199E-6</v>
      </c>
      <c r="AX77" s="21">
        <f t="shared" si="60"/>
        <v>7.7641468974300292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17.5</v>
      </c>
      <c r="BD77" s="12">
        <f>IF('Données projet'!$A$88&gt;35,BD76+BC77-BL76,IF(A77&lt;'Données projet'!$A$88,$BA$205^A77,IF(A77='Données projet'!$A$88,'Données projet'!$B$88,BD76+BC77-BL76)))</f>
        <v>786.9999999999992</v>
      </c>
      <c r="BE77" s="13">
        <f>BD77*VLOOKUP('Données projet'!$B$11,Paramètres!$A$1:$I$89,3,0)*VLOOKUP('Données projet'!$B$11,Paramètres!$A$1:$I$89,5,0)</f>
        <v>378.54699999999963</v>
      </c>
      <c r="BF77" s="13">
        <f t="shared" si="91"/>
        <v>87.413543941244455</v>
      </c>
      <c r="BG77" s="20">
        <f t="shared" si="61"/>
        <v>811.54794736433348</v>
      </c>
      <c r="BH77" s="59">
        <f t="shared" si="62"/>
        <v>1104.8812806976669</v>
      </c>
      <c r="BI77" s="59">
        <f ca="1">AVERAGE(OFFSET($BH$3,0,0,'Données projet'!$E$11+1,1))-AVERAGE(OFFSET($H$3,0,0,'Données projet'!$E$11+1,1))</f>
        <v>371.85813103419366</v>
      </c>
      <c r="BJ77" s="59">
        <f t="shared" si="92"/>
        <v>370.01698880104584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11.628287816356744</v>
      </c>
      <c r="BQ77" s="21">
        <f>EXP(-LN(2)/25)*BQ76+(1-EXP(-LN(2)/25))/(LN(2)/25)*Calculateur!BL77*Calculateur!BN77*VLOOKUP('Données projet'!$B$11,Paramètres!$A$1:$I$89,3,0)*0.475*44/12</f>
        <v>13.312936333694662</v>
      </c>
      <c r="BR77" s="21">
        <f>EXP(-LN(2)/2)*BR76+(1-EXP(-LN(2)/2))/(LN(2)/2)*BL77*BO77*VLOOKUP('Données projet'!$B$11,Paramètres!$A$1:$I$89,3,0)*0.475*44/12</f>
        <v>2.1091071924041711E-4</v>
      </c>
      <c r="BS77" s="22">
        <f t="shared" si="63"/>
        <v>24.941435060770644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8.6</v>
      </c>
      <c r="BY77" s="12">
        <f>IF('Données projet'!$A$114&gt;35,BY76+BX77-CG76,IF(A77&lt;'Données projet'!$A$114,$BV$205^A77,IF(A77='Données projet'!$A$114,'Données projet'!$B$114,BY76+BX77-CG76)))</f>
        <v>435.40000000000043</v>
      </c>
      <c r="BZ77" s="13">
        <f>BY77*VLOOKUP('Données projet'!$B$12,Paramètres!$A$1:$I$89,3,0)*VLOOKUP('Données projet'!$B$12,Paramètres!$A$1:$I$89,5,0)</f>
        <v>237.72840000000022</v>
      </c>
      <c r="CA77" s="13">
        <f t="shared" si="93"/>
        <v>57.950514491302194</v>
      </c>
      <c r="CB77" s="20">
        <f t="shared" si="64"/>
        <v>514.974109405685</v>
      </c>
      <c r="CC77" s="59">
        <f t="shared" si="65"/>
        <v>808.30744273901837</v>
      </c>
      <c r="CD77" s="59">
        <f ca="1">AVERAGE(OFFSET($CC$3,0,0,'Données projet'!$E$12+1,1))-AVERAGE(OFFSET($H$3,0,0,'Données projet'!$E$12+1,1))</f>
        <v>248.1486444660062</v>
      </c>
      <c r="CE77" s="59">
        <f t="shared" si="94"/>
        <v>293.34458072322127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3.5636136357884611</v>
      </c>
      <c r="CL77" s="21">
        <f>EXP(-LN(2)/25)*CL76+(1-EXP(-LN(2)/25))/(LN(2)/25)*Calculateur!CG77*Calculateur!CI77*VLOOKUP('Données projet'!$B$12,Paramètres!$A$1:$I$89,3,0)*0.475*44/12</f>
        <v>10.049580208675604</v>
      </c>
      <c r="CM77" s="21">
        <f>EXP(-LN(2)/2)*CM76+(1-EXP(-LN(2)/2))/(LN(2)/2)*CG77*CJ77*VLOOKUP('Données projet'!$B$12,Paramètres!$A$1:$I$89,3,0)*0.475*44/12</f>
        <v>6.003958252636493E-6</v>
      </c>
      <c r="CN77" s="22">
        <f t="shared" si="66"/>
        <v>13.613199848422317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4.4000000000000004</v>
      </c>
      <c r="CT77" s="12">
        <f>IF('Données projet'!$A$140&gt;35,CT76+CS77-DB76,IF(A77&lt;'Données projet'!$A$140,$CQ$205^A77,IF(A77='Données projet'!$A$140,'Données projet'!$B$140,CT76+CS77-DB76)))</f>
        <v>368.59999999999991</v>
      </c>
      <c r="CU77" s="17">
        <f>CT77*VLOOKUP('Données projet'!$B$13,Paramètres!$A$1:$I$89,3,0)*VLOOKUP('Données projet'!$B$13,Paramètres!$A$1:$I$89,5,0)</f>
        <v>293.25815999999998</v>
      </c>
      <c r="CV77" s="13">
        <f t="shared" si="95"/>
        <v>69.761250666559334</v>
      </c>
      <c r="CW77" s="20">
        <f t="shared" si="67"/>
        <v>632.25880691092414</v>
      </c>
      <c r="CX77" s="59">
        <f t="shared" si="68"/>
        <v>925.59214024425751</v>
      </c>
      <c r="CY77" s="59">
        <f ca="1">AVERAGE(OFFSET($CX$3,0,0,'Données projet'!$E$13+1,1))-AVERAGE(OFFSET($H$3,0,0,'Données projet'!$E$13+1,1))</f>
        <v>314.94704727988847</v>
      </c>
      <c r="CZ77" s="59">
        <f t="shared" si="96"/>
        <v>366.49199094166454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1.6381713703292879</v>
      </c>
      <c r="DG77" s="21">
        <f>EXP(-LN(2)/25)*DG76+(1-EXP(-LN(2)/25))/(LN(2)/25)*Calculateur!DB77*Calculateur!DD77*VLOOKUP('Données projet'!$B$13,Paramètres!$A$1:$I$89,3,0)*0.475*44/12</f>
        <v>7.5013385103298837</v>
      </c>
      <c r="DH77" s="21">
        <f>EXP(-LN(2)/2)*DH76+(1-EXP(-LN(2)/2))/(LN(2)/2)*DB77*DE77*VLOOKUP('Données projet'!$B$13,Paramètres!$A$1:$I$89,3,0)*0.475*44/12</f>
        <v>6.8829623653304874E-6</v>
      </c>
      <c r="DI77" s="22">
        <f t="shared" si="69"/>
        <v>9.139516763621538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12.9</v>
      </c>
      <c r="N78" s="13">
        <f>IF('Données projet'!$A$36&gt;35,N77+M78-V77,IF(A78&lt;'Données projet'!$A$36,$K$205^A78,IF(A78='Données projet'!$A$36,'Données projet'!$B$36,N77+M78-V77)))</f>
        <v>725.49999999999886</v>
      </c>
      <c r="O78" s="13">
        <f>N78*VLOOKUP('Données projet'!$B$9,Paramètres!$A$1:$I$89,3,0)*VLOOKUP('Données projet'!$B$9,Paramètres!$A$1:$I$89,5,0)</f>
        <v>405.55449999999939</v>
      </c>
      <c r="P78" s="13">
        <f t="shared" si="87"/>
        <v>92.901849439756845</v>
      </c>
      <c r="Q78" s="20">
        <f t="shared" si="54"/>
        <v>868.14480860757533</v>
      </c>
      <c r="R78" s="59">
        <f t="shared" si="55"/>
        <v>1161.4781419409087</v>
      </c>
      <c r="S78" s="59">
        <f ca="1">AVERAGE(OFFSET($R$3,0,0,'Données projet'!$E$9+1,1))-AVERAGE(OFFSET($H$3,0,0,'Données projet'!$E$9+1,1))</f>
        <v>415.91544298418842</v>
      </c>
      <c r="T78" s="59">
        <f t="shared" si="88"/>
        <v>422.79312683312583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4.6840585959430383</v>
      </c>
      <c r="AA78" s="21">
        <f>EXP(-LN(2)/25)*AA77+(1-EXP(-LN(2)/25))/(LN(2)/25)*Calculateur!V78*Calculateur!X78*VLOOKUP('Données projet'!$B$9,Paramètres!$A$1:$I$89,3,0)*0.475*44/12</f>
        <v>11.130717657090726</v>
      </c>
      <c r="AB78" s="21">
        <f>EXP(-LN(2)/2)*AB77+(1-EXP(-LN(2)/2))/(LN(2)/2)*V78*Y78*VLOOKUP('Données projet'!$B$9,Paramètres!$A$1:$I$89,3,0)*0.475*44/12</f>
        <v>6.1487011193856308E-6</v>
      </c>
      <c r="AC78" s="22">
        <f t="shared" si="57"/>
        <v>15.814782401734883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9.4</v>
      </c>
      <c r="AI78" s="13">
        <f>IF('Données projet'!$A$62&gt;35,AI77+AH78-AQ77,IF(A78&lt;'Données projet'!$A$62,$AF$205^A78,IF(A78='Données projet'!$A$62,'Données projet'!$B$62,AI77+AH78-AQ77)))</f>
        <v>545</v>
      </c>
      <c r="AJ78" s="13">
        <f>AI78*VLOOKUP('Données projet'!$B$10,Paramètres!$A$1:$I$89,3,0)*VLOOKUP('Données projet'!$B$10,Paramètres!$A$1:$I$89,5,0)</f>
        <v>325.91000000000003</v>
      </c>
      <c r="AK78" s="13">
        <f t="shared" si="89"/>
        <v>76.581731324699831</v>
      </c>
      <c r="AL78" s="20">
        <f t="shared" si="58"/>
        <v>701.00643205718552</v>
      </c>
      <c r="AM78" s="59">
        <f t="shared" si="59"/>
        <v>994.33976539051878</v>
      </c>
      <c r="AN78" s="59">
        <f ca="1">AVERAGE(OFFSET($AM$3,0,0,'Données projet'!$E$10+1,1))-AVERAGE(OFFSET($H$3,0,0,'Données projet'!$E$10+1,1))</f>
        <v>311.06126148520821</v>
      </c>
      <c r="AO78" s="59">
        <f t="shared" si="90"/>
        <v>321.1728368524748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1.4349261956704986</v>
      </c>
      <c r="AV78" s="21">
        <f>EXP(-LN(2)/25)*AV77+(1-EXP(-LN(2)/25))/(LN(2)/25)*Calculateur!AQ78*Calculateur!AS78*VLOOKUP('Données projet'!$B$10,Paramètres!$A$1:$I$89,3,0)*0.475*44/12</f>
        <v>6.1282247939997037</v>
      </c>
      <c r="AW78" s="21">
        <f>EXP(-LN(2)/2)*AW77+(1-EXP(-LN(2)/2))/(LN(2)/2)*AQ78*AT78*VLOOKUP('Données projet'!$B$10,Paramètres!$A$1:$I$89,3,0)*0.475*44/12</f>
        <v>5.1087601294767294E-6</v>
      </c>
      <c r="AX78" s="21">
        <f t="shared" si="60"/>
        <v>7.5631560984303317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17.5</v>
      </c>
      <c r="BD78" s="12">
        <f>IF('Données projet'!$A$88&gt;35,BD77+BC78-BL77,IF(A78&lt;'Données projet'!$A$88,$BA$205^A78,IF(A78='Données projet'!$A$88,'Données projet'!$B$88,BD77+BC78-BL77)))</f>
        <v>804.4999999999992</v>
      </c>
      <c r="BE78" s="13">
        <f>BD78*VLOOKUP('Données projet'!$B$11,Paramètres!$A$1:$I$89,3,0)*VLOOKUP('Données projet'!$B$11,Paramètres!$A$1:$I$89,5,0)</f>
        <v>386.96449999999959</v>
      </c>
      <c r="BF78" s="13">
        <f t="shared" si="91"/>
        <v>89.128843381212619</v>
      </c>
      <c r="BG78" s="20">
        <f t="shared" si="61"/>
        <v>829.19590638894454</v>
      </c>
      <c r="BH78" s="59">
        <f t="shared" si="62"/>
        <v>1122.5292397222779</v>
      </c>
      <c r="BI78" s="59">
        <f ca="1">AVERAGE(OFFSET($BH$3,0,0,'Données projet'!$E$11+1,1))-AVERAGE(OFFSET($H$3,0,0,'Données projet'!$E$11+1,1))</f>
        <v>371.85813103419366</v>
      </c>
      <c r="BJ78" s="59">
        <f t="shared" si="92"/>
        <v>370.01698880104584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11.400264184833224</v>
      </c>
      <c r="BQ78" s="21">
        <f>EXP(-LN(2)/25)*BQ77+(1-EXP(-LN(2)/25))/(LN(2)/25)*Calculateur!BL78*Calculateur!BN78*VLOOKUP('Données projet'!$B$11,Paramètres!$A$1:$I$89,3,0)*0.475*44/12</f>
        <v>12.948893389552886</v>
      </c>
      <c r="BR78" s="21">
        <f>EXP(-LN(2)/2)*BR77+(1-EXP(-LN(2)/2))/(LN(2)/2)*BL78*BO78*VLOOKUP('Données projet'!$B$11,Paramètres!$A$1:$I$89,3,0)*0.475*44/12</f>
        <v>1.4913639979983098E-4</v>
      </c>
      <c r="BS78" s="22">
        <f t="shared" si="63"/>
        <v>24.34930671078591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8.6</v>
      </c>
      <c r="BY78" s="12">
        <f>IF('Données projet'!$A$114&gt;35,BY77+BX78-CG77,IF(A78&lt;'Données projet'!$A$114,$BV$205^A78,IF(A78='Données projet'!$A$114,'Données projet'!$B$114,BY77+BX78-CG77)))</f>
        <v>444.00000000000045</v>
      </c>
      <c r="BZ78" s="13">
        <f>BY78*VLOOKUP('Données projet'!$B$12,Paramètres!$A$1:$I$89,3,0)*VLOOKUP('Données projet'!$B$12,Paramètres!$A$1:$I$89,5,0)</f>
        <v>242.42400000000026</v>
      </c>
      <c r="CA78" s="13">
        <f t="shared" si="93"/>
        <v>58.960760467659817</v>
      </c>
      <c r="CB78" s="20">
        <f t="shared" si="64"/>
        <v>524.91179114784131</v>
      </c>
      <c r="CC78" s="59">
        <f t="shared" si="65"/>
        <v>818.24512448117457</v>
      </c>
      <c r="CD78" s="59">
        <f ca="1">AVERAGE(OFFSET($CC$3,0,0,'Données projet'!$E$12+1,1))-AVERAGE(OFFSET($H$3,0,0,'Données projet'!$E$12+1,1))</f>
        <v>248.1486444660062</v>
      </c>
      <c r="CE78" s="59">
        <f t="shared" si="94"/>
        <v>293.34458072322127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3.4937333459803432</v>
      </c>
      <c r="CL78" s="21">
        <f>EXP(-LN(2)/25)*CL77+(1-EXP(-LN(2)/25))/(LN(2)/25)*Calculateur!CG78*Calculateur!CI78*VLOOKUP('Données projet'!$B$12,Paramètres!$A$1:$I$89,3,0)*0.475*44/12</f>
        <v>9.7747739093849155</v>
      </c>
      <c r="CM78" s="21">
        <f>EXP(-LN(2)/2)*CM77+(1-EXP(-LN(2)/2))/(LN(2)/2)*CG78*CJ78*VLOOKUP('Données projet'!$B$12,Paramètres!$A$1:$I$89,3,0)*0.475*44/12</f>
        <v>4.2454395944001988E-6</v>
      </c>
      <c r="CN78" s="22">
        <f t="shared" si="66"/>
        <v>13.268511500804854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4.4000000000000004</v>
      </c>
      <c r="CT78" s="12">
        <f>IF('Données projet'!$A$140&gt;35,CT77+CS78-DB77,IF(A78&lt;'Données projet'!$A$140,$CQ$205^A78,IF(A78='Données projet'!$A$140,'Données projet'!$B$140,CT77+CS78-DB77)))</f>
        <v>372.99999999999989</v>
      </c>
      <c r="CU78" s="17">
        <f>CT78*VLOOKUP('Données projet'!$B$13,Paramètres!$A$1:$I$89,3,0)*VLOOKUP('Données projet'!$B$13,Paramètres!$A$1:$I$89,5,0)</f>
        <v>296.75879999999989</v>
      </c>
      <c r="CV78" s="13">
        <f t="shared" si="95"/>
        <v>70.496554480015604</v>
      </c>
      <c r="CW78" s="20">
        <f t="shared" si="67"/>
        <v>639.63640905269369</v>
      </c>
      <c r="CX78" s="59">
        <f t="shared" si="68"/>
        <v>932.96974238602706</v>
      </c>
      <c r="CY78" s="59">
        <f ca="1">AVERAGE(OFFSET($CX$3,0,0,'Données projet'!$E$13+1,1))-AVERAGE(OFFSET($H$3,0,0,'Données projet'!$E$13+1,1))</f>
        <v>314.94704727988847</v>
      </c>
      <c r="CZ78" s="59">
        <f t="shared" si="96"/>
        <v>366.49199094166454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1.6060478289430051</v>
      </c>
      <c r="DG78" s="21">
        <f>EXP(-LN(2)/25)*DG77+(1-EXP(-LN(2)/25))/(LN(2)/25)*Calculateur!DB78*Calculateur!DD78*VLOOKUP('Données projet'!$B$13,Paramètres!$A$1:$I$89,3,0)*0.475*44/12</f>
        <v>7.2962140142866652</v>
      </c>
      <c r="DH78" s="21">
        <f>EXP(-LN(2)/2)*DH77+(1-EXP(-LN(2)/2))/(LN(2)/2)*DB78*DE78*VLOOKUP('Données projet'!$B$13,Paramètres!$A$1:$I$89,3,0)*0.475*44/12</f>
        <v>4.8669893631769865E-6</v>
      </c>
      <c r="DI78" s="22">
        <f t="shared" si="69"/>
        <v>8.9022667102190329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12.9</v>
      </c>
      <c r="N79" s="13">
        <f>IF('Données projet'!$A$36&gt;35,N78+M79-V78,IF(A79&lt;'Données projet'!$A$36,$K$205^A79,IF(A79='Données projet'!$A$36,'Données projet'!$B$36,N78+M79-V78)))</f>
        <v>738.39999999999884</v>
      </c>
      <c r="O79" s="13">
        <f>N79*VLOOKUP('Données projet'!$B$9,Paramètres!$A$1:$I$89,3,0)*VLOOKUP('Données projet'!$B$9,Paramètres!$A$1:$I$89,5,0)</f>
        <v>412.76559999999932</v>
      </c>
      <c r="P79" s="13">
        <f t="shared" si="87"/>
        <v>94.359943864992076</v>
      </c>
      <c r="Q79" s="20">
        <f t="shared" si="54"/>
        <v>883.24365556486009</v>
      </c>
      <c r="R79" s="59">
        <f t="shared" si="55"/>
        <v>1176.5769888981933</v>
      </c>
      <c r="S79" s="59">
        <f ca="1">AVERAGE(OFFSET($R$3,0,0,'Données projet'!$E$9+1,1))-AVERAGE(OFFSET($H$3,0,0,'Données projet'!$E$9+1,1))</f>
        <v>415.91544298418842</v>
      </c>
      <c r="T79" s="59">
        <f t="shared" si="88"/>
        <v>422.79312683312583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4.5922070638702346</v>
      </c>
      <c r="AA79" s="21">
        <f>EXP(-LN(2)/25)*AA78+(1-EXP(-LN(2)/25))/(LN(2)/25)*Calculateur!V79*Calculateur!X79*VLOOKUP('Données projet'!$B$9,Paramètres!$A$1:$I$89,3,0)*0.475*44/12</f>
        <v>10.826347597418577</v>
      </c>
      <c r="AB79" s="21">
        <f>EXP(-LN(2)/2)*AB78+(1-EXP(-LN(2)/2))/(LN(2)/2)*V79*Y79*VLOOKUP('Données projet'!$B$9,Paramètres!$A$1:$I$89,3,0)*0.475*44/12</f>
        <v>4.347788257006895E-6</v>
      </c>
      <c r="AC79" s="22">
        <f t="shared" si="57"/>
        <v>15.41855900907707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9.4</v>
      </c>
      <c r="AI79" s="13">
        <f>IF('Données projet'!$A$62&gt;35,AI78+AH79-AQ78,IF(A79&lt;'Données projet'!$A$62,$AF$205^A79,IF(A79='Données projet'!$A$62,'Données projet'!$B$62,AI78+AH79-AQ78)))</f>
        <v>554.4</v>
      </c>
      <c r="AJ79" s="13">
        <f>AI79*VLOOKUP('Données projet'!$B$10,Paramètres!$A$1:$I$89,3,0)*VLOOKUP('Données projet'!$B$10,Paramètres!$A$1:$I$89,5,0)</f>
        <v>331.53120000000001</v>
      </c>
      <c r="AK79" s="13">
        <f t="shared" si="89"/>
        <v>77.747678417000927</v>
      </c>
      <c r="AL79" s="20">
        <f t="shared" si="58"/>
        <v>712.82737990961004</v>
      </c>
      <c r="AM79" s="59">
        <f t="shared" si="59"/>
        <v>1006.1607132429433</v>
      </c>
      <c r="AN79" s="59">
        <f ca="1">AVERAGE(OFFSET($AM$3,0,0,'Données projet'!$E$10+1,1))-AVERAGE(OFFSET($H$3,0,0,'Données projet'!$E$10+1,1))</f>
        <v>311.06126148520821</v>
      </c>
      <c r="AO79" s="59">
        <f t="shared" si="90"/>
        <v>321.1728368524748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1.4067881681919587</v>
      </c>
      <c r="AV79" s="21">
        <f>EXP(-LN(2)/25)*AV78+(1-EXP(-LN(2)/25))/(LN(2)/25)*Calculateur!AQ79*Calculateur!AS79*VLOOKUP('Données projet'!$B$10,Paramètres!$A$1:$I$89,3,0)*0.475*44/12</f>
        <v>5.9606481647384459</v>
      </c>
      <c r="AW79" s="21">
        <f>EXP(-LN(2)/2)*AW78+(1-EXP(-LN(2)/2))/(LN(2)/2)*AQ79*AT79*VLOOKUP('Données projet'!$B$10,Paramètres!$A$1:$I$89,3,0)*0.475*44/12</f>
        <v>3.61243893100846E-6</v>
      </c>
      <c r="AX79" s="21">
        <f t="shared" si="60"/>
        <v>7.3674399453693358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17.5</v>
      </c>
      <c r="BD79" s="12">
        <f>IF('Données projet'!$A$88&gt;35,BD78+BC79-BL78,IF(A79&lt;'Données projet'!$A$88,$BA$205^A79,IF(A79='Données projet'!$A$88,'Données projet'!$B$88,BD78+BC79-BL78)))</f>
        <v>821.9999999999992</v>
      </c>
      <c r="BE79" s="13">
        <f>BD79*VLOOKUP('Données projet'!$B$11,Paramètres!$A$1:$I$89,3,0)*VLOOKUP('Données projet'!$B$11,Paramètres!$A$1:$I$89,5,0)</f>
        <v>395.38199999999961</v>
      </c>
      <c r="BF79" s="13">
        <f t="shared" si="91"/>
        <v>90.839804802410697</v>
      </c>
      <c r="BG79" s="20">
        <f t="shared" si="61"/>
        <v>846.83631003086464</v>
      </c>
      <c r="BH79" s="59">
        <f t="shared" si="62"/>
        <v>1140.169643364198</v>
      </c>
      <c r="BI79" s="59">
        <f ca="1">AVERAGE(OFFSET($BH$3,0,0,'Données projet'!$E$11+1,1))-AVERAGE(OFFSET($H$3,0,0,'Données projet'!$E$11+1,1))</f>
        <v>371.85813103419366</v>
      </c>
      <c r="BJ79" s="59">
        <f t="shared" si="92"/>
        <v>370.01698880104584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11.176711957643199</v>
      </c>
      <c r="BQ79" s="21">
        <f>EXP(-LN(2)/25)*BQ78+(1-EXP(-LN(2)/25))/(LN(2)/25)*Calculateur!BL79*Calculateur!BN79*VLOOKUP('Données projet'!$B$11,Paramètres!$A$1:$I$89,3,0)*0.475*44/12</f>
        <v>12.594805218862854</v>
      </c>
      <c r="BR79" s="21">
        <f>EXP(-LN(2)/2)*BR78+(1-EXP(-LN(2)/2))/(LN(2)/2)*BL79*BO79*VLOOKUP('Données projet'!$B$11,Paramètres!$A$1:$I$89,3,0)*0.475*44/12</f>
        <v>1.0545535962020856E-4</v>
      </c>
      <c r="BS79" s="22">
        <f t="shared" si="63"/>
        <v>23.771622631865672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8.6</v>
      </c>
      <c r="BY79" s="12">
        <f>IF('Données projet'!$A$114&gt;35,BY78+BX79-CG78,IF(A79&lt;'Données projet'!$A$114,$BV$205^A79,IF(A79='Données projet'!$A$114,'Données projet'!$B$114,BY78+BX79-CG78)))</f>
        <v>452.60000000000048</v>
      </c>
      <c r="BZ79" s="13">
        <f>BY79*VLOOKUP('Données projet'!$B$12,Paramètres!$A$1:$I$89,3,0)*VLOOKUP('Données projet'!$B$12,Paramètres!$A$1:$I$89,5,0)</f>
        <v>247.11960000000025</v>
      </c>
      <c r="CA79" s="13">
        <f t="shared" si="93"/>
        <v>59.968731164216315</v>
      </c>
      <c r="CB79" s="20">
        <f t="shared" si="64"/>
        <v>534.84551011101053</v>
      </c>
      <c r="CC79" s="59">
        <f t="shared" si="65"/>
        <v>828.17884344434378</v>
      </c>
      <c r="CD79" s="59">
        <f ca="1">AVERAGE(OFFSET($CC$3,0,0,'Données projet'!$E$12+1,1))-AVERAGE(OFFSET($H$3,0,0,'Données projet'!$E$12+1,1))</f>
        <v>248.1486444660062</v>
      </c>
      <c r="CE79" s="59">
        <f t="shared" si="94"/>
        <v>293.34458072322127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3.4252233660325944</v>
      </c>
      <c r="CL79" s="21">
        <f>EXP(-LN(2)/25)*CL78+(1-EXP(-LN(2)/25))/(LN(2)/25)*Calculateur!CG79*Calculateur!CI79*VLOOKUP('Données projet'!$B$12,Paramètres!$A$1:$I$89,3,0)*0.475*44/12</f>
        <v>9.5074822027997659</v>
      </c>
      <c r="CM79" s="21">
        <f>EXP(-LN(2)/2)*CM78+(1-EXP(-LN(2)/2))/(LN(2)/2)*CG79*CJ79*VLOOKUP('Données projet'!$B$12,Paramètres!$A$1:$I$89,3,0)*0.475*44/12</f>
        <v>3.0019791263182465E-6</v>
      </c>
      <c r="CN79" s="22">
        <f t="shared" si="66"/>
        <v>12.932708570811487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4.4000000000000004</v>
      </c>
      <c r="CT79" s="12">
        <f>IF('Données projet'!$A$140&gt;35,CT78+CS79-DB78,IF(A79&lt;'Données projet'!$A$140,$CQ$205^A79,IF(A79='Données projet'!$A$140,'Données projet'!$B$140,CT78+CS79-DB78)))</f>
        <v>377.39999999999986</v>
      </c>
      <c r="CU79" s="17">
        <f>CT79*VLOOKUP('Données projet'!$B$13,Paramètres!$A$1:$I$89,3,0)*VLOOKUP('Données projet'!$B$13,Paramètres!$A$1:$I$89,5,0)</f>
        <v>300.25943999999993</v>
      </c>
      <c r="CV79" s="13">
        <f t="shared" si="95"/>
        <v>71.230849328317547</v>
      </c>
      <c r="CW79" s="20">
        <f t="shared" si="67"/>
        <v>647.01225391348623</v>
      </c>
      <c r="CX79" s="59">
        <f t="shared" si="68"/>
        <v>940.3455872468196</v>
      </c>
      <c r="CY79" s="59">
        <f ca="1">AVERAGE(OFFSET($CX$3,0,0,'Données projet'!$E$13+1,1))-AVERAGE(OFFSET($H$3,0,0,'Données projet'!$E$13+1,1))</f>
        <v>314.94704727988847</v>
      </c>
      <c r="CZ79" s="59">
        <f t="shared" si="96"/>
        <v>366.49199094166454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1.5745542106098818</v>
      </c>
      <c r="DG79" s="21">
        <f>EXP(-LN(2)/25)*DG78+(1-EXP(-LN(2)/25))/(LN(2)/25)*Calculateur!DB79*Calculateur!DD79*VLOOKUP('Données projet'!$B$13,Paramètres!$A$1:$I$89,3,0)*0.475*44/12</f>
        <v>7.0966986583747769</v>
      </c>
      <c r="DH79" s="21">
        <f>EXP(-LN(2)/2)*DH78+(1-EXP(-LN(2)/2))/(LN(2)/2)*DB79*DE79*VLOOKUP('Données projet'!$B$13,Paramètres!$A$1:$I$89,3,0)*0.475*44/12</f>
        <v>3.4414811826652437E-6</v>
      </c>
      <c r="DI79" s="22">
        <f t="shared" si="69"/>
        <v>8.6712563104658411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12.9</v>
      </c>
      <c r="N80" s="13">
        <f>IF('Données projet'!$A$36&gt;35,N79+M80-V79,IF(A80&lt;'Données projet'!$A$36,$K$205^A80,IF(A80='Données projet'!$A$36,'Données projet'!$B$36,N79+M80-V79)))</f>
        <v>751.29999999999882</v>
      </c>
      <c r="O80" s="13">
        <f>N80*VLOOKUP('Données projet'!$B$9,Paramètres!$A$1:$I$89,3,0)*VLOOKUP('Données projet'!$B$9,Paramètres!$A$1:$I$89,5,0)</f>
        <v>419.97669999999937</v>
      </c>
      <c r="P80" s="13">
        <f t="shared" si="87"/>
        <v>95.815076062060939</v>
      </c>
      <c r="Q80" s="20">
        <f t="shared" si="54"/>
        <v>898.33734330808841</v>
      </c>
      <c r="R80" s="59">
        <f t="shared" si="55"/>
        <v>1191.6706766414218</v>
      </c>
      <c r="S80" s="59">
        <f ca="1">AVERAGE(OFFSET($R$3,0,0,'Données projet'!$E$9+1,1))-AVERAGE(OFFSET($H$3,0,0,'Données projet'!$E$9+1,1))</f>
        <v>415.91544298418842</v>
      </c>
      <c r="T80" s="59">
        <f t="shared" si="88"/>
        <v>422.79312683312583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4.5021566843174758</v>
      </c>
      <c r="AA80" s="21">
        <f>EXP(-LN(2)/25)*AA79+(1-EXP(-LN(2)/25))/(LN(2)/25)*Calculateur!V80*Calculateur!X80*VLOOKUP('Données projet'!$B$9,Paramètres!$A$1:$I$89,3,0)*0.475*44/12</f>
        <v>10.530300553034289</v>
      </c>
      <c r="AB80" s="21">
        <f>EXP(-LN(2)/2)*AB79+(1-EXP(-LN(2)/2))/(LN(2)/2)*V80*Y80*VLOOKUP('Données projet'!$B$9,Paramètres!$A$1:$I$89,3,0)*0.475*44/12</f>
        <v>3.0743505596928154E-6</v>
      </c>
      <c r="AC80" s="22">
        <f t="shared" si="57"/>
        <v>15.032460311702323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9.4</v>
      </c>
      <c r="AI80" s="13">
        <f>IF('Données projet'!$A$62&gt;35,AI79+AH80-AQ79,IF(A80&lt;'Données projet'!$A$62,$AF$205^A80,IF(A80='Données projet'!$A$62,'Données projet'!$B$62,AI79+AH80-AQ79)))</f>
        <v>563.79999999999995</v>
      </c>
      <c r="AJ80" s="13">
        <f>AI80*VLOOKUP('Données projet'!$B$10,Paramètres!$A$1:$I$89,3,0)*VLOOKUP('Données projet'!$B$10,Paramètres!$A$1:$I$89,5,0)</f>
        <v>337.15240000000006</v>
      </c>
      <c r="AK80" s="13">
        <f t="shared" si="89"/>
        <v>78.911326556971218</v>
      </c>
      <c r="AL80" s="20">
        <f t="shared" si="58"/>
        <v>724.64432375339163</v>
      </c>
      <c r="AM80" s="59">
        <f t="shared" si="59"/>
        <v>1017.977657086725</v>
      </c>
      <c r="AN80" s="59">
        <f ca="1">AVERAGE(OFFSET($AM$3,0,0,'Données projet'!$E$10+1,1))-AVERAGE(OFFSET($H$3,0,0,'Données projet'!$E$10+1,1))</f>
        <v>311.06126148520821</v>
      </c>
      <c r="AO80" s="59">
        <f t="shared" si="90"/>
        <v>321.1728368524748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1.379201910269771</v>
      </c>
      <c r="AV80" s="21">
        <f>EXP(-LN(2)/25)*AV79+(1-EXP(-LN(2)/25))/(LN(2)/25)*Calculateur!AQ80*Calculateur!AS80*VLOOKUP('Données projet'!$B$10,Paramètres!$A$1:$I$89,3,0)*0.475*44/12</f>
        <v>5.7976539272168095</v>
      </c>
      <c r="AW80" s="21">
        <f>EXP(-LN(2)/2)*AW79+(1-EXP(-LN(2)/2))/(LN(2)/2)*AQ80*AT80*VLOOKUP('Données projet'!$B$10,Paramètres!$A$1:$I$89,3,0)*0.475*44/12</f>
        <v>2.5543800647383647E-6</v>
      </c>
      <c r="AX80" s="21">
        <f t="shared" si="60"/>
        <v>7.1768583918666451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17.5</v>
      </c>
      <c r="BD80" s="12">
        <f>IF('Données projet'!$A$88&gt;35,BD79+BC80-BL79,IF(A80&lt;'Données projet'!$A$88,$BA$205^A80,IF(A80='Données projet'!$A$88,'Données projet'!$B$88,BD79+BC80-BL79)))</f>
        <v>839.4999999999992</v>
      </c>
      <c r="BE80" s="13">
        <f>BD80*VLOOKUP('Données projet'!$B$11,Paramètres!$A$1:$I$89,3,0)*VLOOKUP('Données projet'!$B$11,Paramètres!$A$1:$I$89,5,0)</f>
        <v>403.79949999999968</v>
      </c>
      <c r="BF80" s="13">
        <f t="shared" si="91"/>
        <v>92.546531197372275</v>
      </c>
      <c r="BG80" s="20">
        <f t="shared" si="61"/>
        <v>864.46933766875611</v>
      </c>
      <c r="BH80" s="59">
        <f t="shared" si="62"/>
        <v>1157.8026710020895</v>
      </c>
      <c r="BI80" s="59">
        <f ca="1">AVERAGE(OFFSET($BH$3,0,0,'Données projet'!$E$11+1,1))-AVERAGE(OFFSET($H$3,0,0,'Données projet'!$E$11+1,1))</f>
        <v>371.85813103419366</v>
      </c>
      <c r="BJ80" s="59">
        <f t="shared" si="92"/>
        <v>370.01698880104584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10.957543453274976</v>
      </c>
      <c r="BQ80" s="21">
        <f>EXP(-LN(2)/25)*BQ79+(1-EXP(-LN(2)/25))/(LN(2)/25)*Calculateur!BL80*Calculateur!BN80*VLOOKUP('Données projet'!$B$11,Paramètres!$A$1:$I$89,3,0)*0.475*44/12</f>
        <v>12.250399607821029</v>
      </c>
      <c r="BR80" s="21">
        <f>EXP(-LN(2)/2)*BR79+(1-EXP(-LN(2)/2))/(LN(2)/2)*BL80*BO80*VLOOKUP('Données projet'!$B$11,Paramètres!$A$1:$I$89,3,0)*0.475*44/12</f>
        <v>7.456819989991549E-5</v>
      </c>
      <c r="BS80" s="22">
        <f t="shared" si="63"/>
        <v>23.208017629295902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8.6</v>
      </c>
      <c r="BY80" s="12">
        <f>IF('Données projet'!$A$114&gt;35,BY79+BX80-CG79,IF(A80&lt;'Données projet'!$A$114,$BV$205^A80,IF(A80='Données projet'!$A$114,'Données projet'!$B$114,BY79+BX80-CG79)))</f>
        <v>461.2000000000005</v>
      </c>
      <c r="BZ80" s="13">
        <f>BY80*VLOOKUP('Données projet'!$B$12,Paramètres!$A$1:$I$89,3,0)*VLOOKUP('Données projet'!$B$12,Paramètres!$A$1:$I$89,5,0)</f>
        <v>251.81520000000029</v>
      </c>
      <c r="CA80" s="13">
        <f t="shared" si="93"/>
        <v>60.974474799180804</v>
      </c>
      <c r="CB80" s="20">
        <f t="shared" si="64"/>
        <v>544.77535027524038</v>
      </c>
      <c r="CC80" s="59">
        <f t="shared" si="65"/>
        <v>838.10868360857376</v>
      </c>
      <c r="CD80" s="59">
        <f ca="1">AVERAGE(OFFSET($CC$3,0,0,'Données projet'!$E$12+1,1))-AVERAGE(OFFSET($H$3,0,0,'Données projet'!$E$12+1,1))</f>
        <v>248.1486444660062</v>
      </c>
      <c r="CE80" s="59">
        <f t="shared" si="94"/>
        <v>293.34458072322127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3.3580568250046592</v>
      </c>
      <c r="CL80" s="21">
        <f>EXP(-LN(2)/25)*CL79+(1-EXP(-LN(2)/25))/(LN(2)/25)*Calculateur!CG80*Calculateur!CI80*VLOOKUP('Données projet'!$B$12,Paramètres!$A$1:$I$89,3,0)*0.475*44/12</f>
        <v>9.247499601987446</v>
      </c>
      <c r="CM80" s="21">
        <f>EXP(-LN(2)/2)*CM79+(1-EXP(-LN(2)/2))/(LN(2)/2)*CG80*CJ80*VLOOKUP('Données projet'!$B$12,Paramètres!$A$1:$I$89,3,0)*0.475*44/12</f>
        <v>2.1227197972000994E-6</v>
      </c>
      <c r="CN80" s="22">
        <f t="shared" si="66"/>
        <v>12.605558549711903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4.4000000000000004</v>
      </c>
      <c r="CT80" s="12">
        <f>IF('Données projet'!$A$140&gt;35,CT79+CS80-DB79,IF(A80&lt;'Données projet'!$A$140,$CQ$205^A80,IF(A80='Données projet'!$A$140,'Données projet'!$B$140,CT79+CS80-DB79)))</f>
        <v>381.79999999999984</v>
      </c>
      <c r="CU80" s="17">
        <f>CT80*VLOOKUP('Données projet'!$B$13,Paramètres!$A$1:$I$89,3,0)*VLOOKUP('Données projet'!$B$13,Paramètres!$A$1:$I$89,5,0)</f>
        <v>303.7600799999999</v>
      </c>
      <c r="CV80" s="13">
        <f t="shared" si="95"/>
        <v>71.964148335636722</v>
      </c>
      <c r="CW80" s="20">
        <f t="shared" si="67"/>
        <v>654.38636435123374</v>
      </c>
      <c r="CX80" s="59">
        <f t="shared" si="68"/>
        <v>947.71969768456711</v>
      </c>
      <c r="CY80" s="59">
        <f ca="1">AVERAGE(OFFSET($CX$3,0,0,'Données projet'!$E$13+1,1))-AVERAGE(OFFSET($H$3,0,0,'Données projet'!$E$13+1,1))</f>
        <v>314.94704727988847</v>
      </c>
      <c r="CZ80" s="59">
        <f t="shared" si="96"/>
        <v>366.49199094166454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1.5436781629230605</v>
      </c>
      <c r="DG80" s="21">
        <f>EXP(-LN(2)/25)*DG79+(1-EXP(-LN(2)/25))/(LN(2)/25)*Calculateur!DB80*Calculateur!DD80*VLOOKUP('Données projet'!$B$13,Paramètres!$A$1:$I$89,3,0)*0.475*44/12</f>
        <v>6.9026390603623557</v>
      </c>
      <c r="DH80" s="21">
        <f>EXP(-LN(2)/2)*DH79+(1-EXP(-LN(2)/2))/(LN(2)/2)*DB80*DE80*VLOOKUP('Données projet'!$B$13,Paramètres!$A$1:$I$89,3,0)*0.475*44/12</f>
        <v>2.4334946815884932E-6</v>
      </c>
      <c r="DI80" s="22">
        <f t="shared" si="69"/>
        <v>8.4463196567800978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12.9</v>
      </c>
      <c r="N81" s="13">
        <f>IF('Données projet'!$A$36&gt;35,N80+M81-V80,IF(A81&lt;'Données projet'!$A$36,$K$205^A81,IF(A81='Données projet'!$A$36,'Données projet'!$B$36,N80+M81-V80)))</f>
        <v>764.19999999999879</v>
      </c>
      <c r="O81" s="13">
        <f>N81*VLOOKUP('Données projet'!$B$9,Paramètres!$A$1:$I$89,3,0)*VLOOKUP('Données projet'!$B$9,Paramètres!$A$1:$I$89,5,0)</f>
        <v>427.18779999999936</v>
      </c>
      <c r="P81" s="13">
        <f t="shared" si="87"/>
        <v>97.267302762395772</v>
      </c>
      <c r="Q81" s="20">
        <f t="shared" si="54"/>
        <v>913.42597064450467</v>
      </c>
      <c r="R81" s="59">
        <f t="shared" si="55"/>
        <v>1206.759303977838</v>
      </c>
      <c r="S81" s="59">
        <f ca="1">AVERAGE(OFFSET($R$3,0,0,'Données projet'!$E$9+1,1))-AVERAGE(OFFSET($H$3,0,0,'Données projet'!$E$9+1,1))</f>
        <v>415.91544298418842</v>
      </c>
      <c r="T81" s="59">
        <f t="shared" si="88"/>
        <v>422.79312683312583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4.4138721377824384</v>
      </c>
      <c r="AA81" s="21">
        <f>EXP(-LN(2)/25)*AA80+(1-EXP(-LN(2)/25))/(LN(2)/25)*Calculateur!V81*Calculateur!X81*VLOOKUP('Données projet'!$B$9,Paramètres!$A$1:$I$89,3,0)*0.475*44/12</f>
        <v>10.242348930647127</v>
      </c>
      <c r="AB81" s="21">
        <f>EXP(-LN(2)/2)*AB80+(1-EXP(-LN(2)/2))/(LN(2)/2)*V81*Y81*VLOOKUP('Données projet'!$B$9,Paramètres!$A$1:$I$89,3,0)*0.475*44/12</f>
        <v>2.1738941285034475E-6</v>
      </c>
      <c r="AC81" s="22">
        <f t="shared" si="57"/>
        <v>14.656223242323694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9.4</v>
      </c>
      <c r="AI81" s="13">
        <f>IF('Données projet'!$A$62&gt;35,AI80+AH81-AQ80,IF(A81&lt;'Données projet'!$A$62,$AF$205^A81,IF(A81='Données projet'!$A$62,'Données projet'!$B$62,AI80+AH81-AQ80)))</f>
        <v>573.19999999999993</v>
      </c>
      <c r="AJ81" s="13">
        <f>AI81*VLOOKUP('Données projet'!$B$10,Paramètres!$A$1:$I$89,3,0)*VLOOKUP('Données projet'!$B$10,Paramètres!$A$1:$I$89,5,0)</f>
        <v>342.77359999999999</v>
      </c>
      <c r="AK81" s="13">
        <f t="shared" si="89"/>
        <v>80.07271849812058</v>
      </c>
      <c r="AL81" s="20">
        <f t="shared" si="58"/>
        <v>736.45733805089333</v>
      </c>
      <c r="AM81" s="59">
        <f t="shared" si="59"/>
        <v>1029.7906713842267</v>
      </c>
      <c r="AN81" s="59">
        <f ca="1">AVERAGE(OFFSET($AM$3,0,0,'Données projet'!$E$10+1,1))-AVERAGE(OFFSET($H$3,0,0,'Données projet'!$E$10+1,1))</f>
        <v>311.06126148520821</v>
      </c>
      <c r="AO81" s="59">
        <f t="shared" si="90"/>
        <v>321.1728368524748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1.3521566020394815</v>
      </c>
      <c r="AV81" s="21">
        <f>EXP(-LN(2)/25)*AV80+(1-EXP(-LN(2)/25))/(LN(2)/25)*Calculateur!AQ81*Calculateur!AS81*VLOOKUP('Données projet'!$B$10,Paramètres!$A$1:$I$89,3,0)*0.475*44/12</f>
        <v>5.6391167756916962</v>
      </c>
      <c r="AW81" s="21">
        <f>EXP(-LN(2)/2)*AW80+(1-EXP(-LN(2)/2))/(LN(2)/2)*AQ81*AT81*VLOOKUP('Données projet'!$B$10,Paramètres!$A$1:$I$89,3,0)*0.475*44/12</f>
        <v>1.80621946550423E-6</v>
      </c>
      <c r="AX81" s="21">
        <f t="shared" si="60"/>
        <v>6.9912751839506431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17.5</v>
      </c>
      <c r="BD81" s="12">
        <f>IF('Données projet'!$A$88&gt;35,BD80+BC81-BL80,IF(A81&lt;'Données projet'!$A$88,$BA$205^A81,IF(A81='Données projet'!$A$88,'Données projet'!$B$88,BD80+BC81-BL80)))</f>
        <v>856.9999999999992</v>
      </c>
      <c r="BE81" s="13">
        <f>BD81*VLOOKUP('Données projet'!$B$11,Paramètres!$A$1:$I$89,3,0)*VLOOKUP('Données projet'!$B$11,Paramètres!$A$1:$I$89,5,0)</f>
        <v>412.21699999999959</v>
      </c>
      <c r="BF81" s="13">
        <f t="shared" si="91"/>
        <v>94.249121019335064</v>
      </c>
      <c r="BG81" s="20">
        <f t="shared" si="61"/>
        <v>882.09516077534101</v>
      </c>
      <c r="BH81" s="59">
        <f t="shared" si="62"/>
        <v>1175.4284941086744</v>
      </c>
      <c r="BI81" s="59">
        <f ca="1">AVERAGE(OFFSET($BH$3,0,0,'Données projet'!$E$11+1,1))-AVERAGE(OFFSET($H$3,0,0,'Données projet'!$E$11+1,1))</f>
        <v>371.85813103419366</v>
      </c>
      <c r="BJ81" s="59">
        <f t="shared" si="92"/>
        <v>370.01698880104584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10.742672709597825</v>
      </c>
      <c r="BQ81" s="21">
        <f>EXP(-LN(2)/25)*BQ80+(1-EXP(-LN(2)/25))/(LN(2)/25)*Calculateur!BL81*Calculateur!BN81*VLOOKUP('Données projet'!$B$11,Paramètres!$A$1:$I$89,3,0)*0.475*44/12</f>
        <v>11.915411786324647</v>
      </c>
      <c r="BR81" s="21">
        <f>EXP(-LN(2)/2)*BR80+(1-EXP(-LN(2)/2))/(LN(2)/2)*BL81*BO81*VLOOKUP('Données projet'!$B$11,Paramètres!$A$1:$I$89,3,0)*0.475*44/12</f>
        <v>5.2727679810104278E-5</v>
      </c>
      <c r="BS81" s="22">
        <f t="shared" si="63"/>
        <v>22.658137223602285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8.6</v>
      </c>
      <c r="BY81" s="12">
        <f>IF('Données projet'!$A$114&gt;35,BY80+BX81-CG80,IF(A81&lt;'Données projet'!$A$114,$BV$205^A81,IF(A81='Données projet'!$A$114,'Données projet'!$B$114,BY80+BX81-CG80)))</f>
        <v>469.80000000000052</v>
      </c>
      <c r="BZ81" s="13">
        <f>BY81*VLOOKUP('Données projet'!$B$12,Paramètres!$A$1:$I$89,3,0)*VLOOKUP('Données projet'!$B$12,Paramètres!$A$1:$I$89,5,0)</f>
        <v>256.51080000000024</v>
      </c>
      <c r="CA81" s="13">
        <f t="shared" si="93"/>
        <v>61.978037689587218</v>
      </c>
      <c r="CB81" s="20">
        <f t="shared" si="64"/>
        <v>554.70139230936479</v>
      </c>
      <c r="CC81" s="59">
        <f t="shared" si="65"/>
        <v>848.03472564269805</v>
      </c>
      <c r="CD81" s="59">
        <f ca="1">AVERAGE(OFFSET($CC$3,0,0,'Données projet'!$E$12+1,1))-AVERAGE(OFFSET($H$3,0,0,'Données projet'!$E$12+1,1))</f>
        <v>248.1486444660062</v>
      </c>
      <c r="CE81" s="59">
        <f t="shared" si="94"/>
        <v>293.34458072322127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3.2922073788787367</v>
      </c>
      <c r="CL81" s="21">
        <f>EXP(-LN(2)/25)*CL80+(1-EXP(-LN(2)/25))/(LN(2)/25)*Calculateur!CG81*Calculateur!CI81*VLOOKUP('Données projet'!$B$12,Paramètres!$A$1:$I$89,3,0)*0.475*44/12</f>
        <v>8.9946262390662302</v>
      </c>
      <c r="CM81" s="21">
        <f>EXP(-LN(2)/2)*CM80+(1-EXP(-LN(2)/2))/(LN(2)/2)*CG81*CJ81*VLOOKUP('Données projet'!$B$12,Paramètres!$A$1:$I$89,3,0)*0.475*44/12</f>
        <v>1.5009895631591232E-6</v>
      </c>
      <c r="CN81" s="22">
        <f t="shared" si="66"/>
        <v>12.286835118934532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4.4000000000000004</v>
      </c>
      <c r="CT81" s="12">
        <f>IF('Données projet'!$A$140&gt;35,CT80+CS81-DB80,IF(A81&lt;'Données projet'!$A$140,$CQ$205^A81,IF(A81='Données projet'!$A$140,'Données projet'!$B$140,CT80+CS81-DB80)))</f>
        <v>386.19999999999982</v>
      </c>
      <c r="CU81" s="17">
        <f>CT81*VLOOKUP('Données projet'!$B$13,Paramètres!$A$1:$I$89,3,0)*VLOOKUP('Données projet'!$B$13,Paramètres!$A$1:$I$89,5,0)</f>
        <v>307.26071999999988</v>
      </c>
      <c r="CV81" s="13">
        <f t="shared" si="95"/>
        <v>72.696464306238028</v>
      </c>
      <c r="CW81" s="20">
        <f t="shared" si="67"/>
        <v>661.75876266669763</v>
      </c>
      <c r="CX81" s="59">
        <f t="shared" si="68"/>
        <v>955.09209600003101</v>
      </c>
      <c r="CY81" s="59">
        <f ca="1">AVERAGE(OFFSET($CX$3,0,0,'Données projet'!$E$13+1,1))-AVERAGE(OFFSET($H$3,0,0,'Données projet'!$E$13+1,1))</f>
        <v>314.94704727988847</v>
      </c>
      <c r="CZ81" s="59">
        <f t="shared" si="96"/>
        <v>366.49199094166454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1.5134075756988483</v>
      </c>
      <c r="DG81" s="21">
        <f>EXP(-LN(2)/25)*DG80+(1-EXP(-LN(2)/25))/(LN(2)/25)*Calculateur!DB81*Calculateur!DD81*VLOOKUP('Données projet'!$B$13,Paramètres!$A$1:$I$89,3,0)*0.475*44/12</f>
        <v>6.7138860322627352</v>
      </c>
      <c r="DH81" s="21">
        <f>EXP(-LN(2)/2)*DH80+(1-EXP(-LN(2)/2))/(LN(2)/2)*DB81*DE81*VLOOKUP('Données projet'!$B$13,Paramètres!$A$1:$I$89,3,0)*0.475*44/12</f>
        <v>1.7207405913326219E-6</v>
      </c>
      <c r="DI81" s="22">
        <f t="shared" si="69"/>
        <v>8.2272953287021746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12.9</v>
      </c>
      <c r="N82" s="13">
        <f>IF('Données projet'!$A$36&gt;35,N81+M82-V81,IF(A82&lt;'Données projet'!$A$36,$K$205^A82,IF(A82='Données projet'!$A$36,'Données projet'!$B$36,N81+M82-V81)))</f>
        <v>777.09999999999877</v>
      </c>
      <c r="O82" s="13">
        <f>N82*VLOOKUP('Données projet'!$B$9,Paramètres!$A$1:$I$89,3,0)*VLOOKUP('Données projet'!$B$9,Paramètres!$A$1:$I$89,5,0)</f>
        <v>434.39889999999929</v>
      </c>
      <c r="P82" s="13">
        <f t="shared" si="87"/>
        <v>98.716678672362434</v>
      </c>
      <c r="Q82" s="20">
        <f t="shared" si="54"/>
        <v>928.50963285436319</v>
      </c>
      <c r="R82" s="59">
        <f t="shared" si="55"/>
        <v>1221.8429661876964</v>
      </c>
      <c r="S82" s="59">
        <f ca="1">AVERAGE(OFFSET($R$3,0,0,'Données projet'!$E$9+1,1))-AVERAGE(OFFSET($H$3,0,0,'Données projet'!$E$9+1,1))</f>
        <v>415.91544298418842</v>
      </c>
      <c r="T82" s="59">
        <f t="shared" si="88"/>
        <v>422.79312683312583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4.3273187973566962</v>
      </c>
      <c r="AA82" s="21">
        <f>EXP(-LN(2)/25)*AA81+(1-EXP(-LN(2)/25))/(LN(2)/25)*Calculateur!V82*Calculateur!X82*VLOOKUP('Données projet'!$B$9,Paramètres!$A$1:$I$89,3,0)*0.475*44/12</f>
        <v>9.9622713605168602</v>
      </c>
      <c r="AB82" s="21">
        <f>EXP(-LN(2)/2)*AB81+(1-EXP(-LN(2)/2))/(LN(2)/2)*V82*Y82*VLOOKUP('Données projet'!$B$9,Paramètres!$A$1:$I$89,3,0)*0.475*44/12</f>
        <v>1.5371752798464077E-6</v>
      </c>
      <c r="AC82" s="22">
        <f t="shared" si="57"/>
        <v>14.289591695048836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9.4</v>
      </c>
      <c r="AI82" s="13">
        <f>IF('Données projet'!$A$62&gt;35,AI81+AH82-AQ81,IF(A82&lt;'Données projet'!$A$62,$AF$205^A82,IF(A82='Données projet'!$A$62,'Données projet'!$B$62,AI81+AH82-AQ81)))</f>
        <v>582.59999999999991</v>
      </c>
      <c r="AJ82" s="13">
        <f>AI82*VLOOKUP('Données projet'!$B$10,Paramètres!$A$1:$I$89,3,0)*VLOOKUP('Données projet'!$B$10,Paramètres!$A$1:$I$89,5,0)</f>
        <v>348.39479999999998</v>
      </c>
      <c r="AK82" s="13">
        <f t="shared" si="89"/>
        <v>81.231895511321952</v>
      </c>
      <c r="AL82" s="20">
        <f t="shared" si="58"/>
        <v>748.2664946822191</v>
      </c>
      <c r="AM82" s="59">
        <f t="shared" si="59"/>
        <v>1041.5998280155525</v>
      </c>
      <c r="AN82" s="59">
        <f ca="1">AVERAGE(OFFSET($AM$3,0,0,'Données projet'!$E$10+1,1))-AVERAGE(OFFSET($H$3,0,0,'Données projet'!$E$10+1,1))</f>
        <v>311.06126148520821</v>
      </c>
      <c r="AO82" s="59">
        <f t="shared" si="90"/>
        <v>321.1728368524748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1.3256416358075789</v>
      </c>
      <c r="AV82" s="21">
        <f>EXP(-LN(2)/25)*AV81+(1-EXP(-LN(2)/25))/(LN(2)/25)*Calculateur!AQ82*Calculateur!AS82*VLOOKUP('Données projet'!$B$10,Paramètres!$A$1:$I$89,3,0)*0.475*44/12</f>
        <v>5.4849148309121443</v>
      </c>
      <c r="AW82" s="21">
        <f>EXP(-LN(2)/2)*AW81+(1-EXP(-LN(2)/2))/(LN(2)/2)*AQ82*AT82*VLOOKUP('Données projet'!$B$10,Paramètres!$A$1:$I$89,3,0)*0.475*44/12</f>
        <v>1.2771900323691824E-6</v>
      </c>
      <c r="AX82" s="21">
        <f t="shared" si="60"/>
        <v>6.8105577439097553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17.5</v>
      </c>
      <c r="BD82" s="12">
        <f>IF('Données projet'!$A$88&gt;35,BD81+BC82-BL81,IF(A82&lt;'Données projet'!$A$88,$BA$205^A82,IF(A82='Données projet'!$A$88,'Données projet'!$B$88,BD81+BC82-BL81)))</f>
        <v>874.4999999999992</v>
      </c>
      <c r="BE82" s="13">
        <f>BD82*VLOOKUP('Données projet'!$B$11,Paramètres!$A$1:$I$89,3,0)*VLOOKUP('Données projet'!$B$11,Paramètres!$A$1:$I$89,5,0)</f>
        <v>420.63449999999966</v>
      </c>
      <c r="BF82" s="13">
        <f t="shared" si="91"/>
        <v>95.947668470845713</v>
      </c>
      <c r="BG82" s="20">
        <f t="shared" si="61"/>
        <v>899.71394342005567</v>
      </c>
      <c r="BH82" s="59">
        <f t="shared" si="62"/>
        <v>1193.047276753389</v>
      </c>
      <c r="BI82" s="59">
        <f ca="1">AVERAGE(OFFSET($BH$3,0,0,'Données projet'!$E$11+1,1))-AVERAGE(OFFSET($H$3,0,0,'Données projet'!$E$11+1,1))</f>
        <v>371.85813103419366</v>
      </c>
      <c r="BJ82" s="59">
        <f t="shared" si="92"/>
        <v>370.01698880104584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10.53201545014597</v>
      </c>
      <c r="BQ82" s="21">
        <f>EXP(-LN(2)/25)*BQ81+(1-EXP(-LN(2)/25))/(LN(2)/25)*Calculateur!BL82*Calculateur!BN82*VLOOKUP('Données projet'!$B$11,Paramètres!$A$1:$I$89,3,0)*0.475*44/12</f>
        <v>11.589584224423326</v>
      </c>
      <c r="BR82" s="21">
        <f>EXP(-LN(2)/2)*BR81+(1-EXP(-LN(2)/2))/(LN(2)/2)*BL82*BO82*VLOOKUP('Données projet'!$B$11,Paramètres!$A$1:$I$89,3,0)*0.475*44/12</f>
        <v>3.7284099949957745E-5</v>
      </c>
      <c r="BS82" s="22">
        <f t="shared" si="63"/>
        <v>22.121636958669246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8.6</v>
      </c>
      <c r="BY82" s="12">
        <f>IF('Données projet'!$A$114&gt;35,BY81+BX82-CG81,IF(A82&lt;'Données projet'!$A$114,$BV$205^A82,IF(A82='Données projet'!$A$114,'Données projet'!$B$114,BY81+BX82-CG81)))</f>
        <v>478.40000000000055</v>
      </c>
      <c r="BZ82" s="13">
        <f>BY82*VLOOKUP('Données projet'!$B$12,Paramètres!$A$1:$I$89,3,0)*VLOOKUP('Données projet'!$B$12,Paramètres!$A$1:$I$89,5,0)</f>
        <v>261.20640000000031</v>
      </c>
      <c r="CA82" s="13">
        <f t="shared" si="93"/>
        <v>62.979464359660597</v>
      </c>
      <c r="CB82" s="20">
        <f t="shared" si="64"/>
        <v>564.62371375974271</v>
      </c>
      <c r="CC82" s="59">
        <f t="shared" si="65"/>
        <v>857.95704709307597</v>
      </c>
      <c r="CD82" s="59">
        <f ca="1">AVERAGE(OFFSET($CC$3,0,0,'Données projet'!$E$12+1,1))-AVERAGE(OFFSET($H$3,0,0,'Données projet'!$E$12+1,1))</f>
        <v>248.1486444660062</v>
      </c>
      <c r="CE82" s="59">
        <f t="shared" si="94"/>
        <v>293.34458072322127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3.2276492002271473</v>
      </c>
      <c r="CL82" s="21">
        <f>EXP(-LN(2)/25)*CL81+(1-EXP(-LN(2)/25))/(LN(2)/25)*Calculateur!CG82*Calculateur!CI82*VLOOKUP('Données projet'!$B$12,Paramètres!$A$1:$I$89,3,0)*0.475*44/12</f>
        <v>8.7486677115521285</v>
      </c>
      <c r="CM82" s="21">
        <f>EXP(-LN(2)/2)*CM81+(1-EXP(-LN(2)/2))/(LN(2)/2)*CG82*CJ82*VLOOKUP('Données projet'!$B$12,Paramètres!$A$1:$I$89,3,0)*0.475*44/12</f>
        <v>1.0613598986000497E-6</v>
      </c>
      <c r="CN82" s="22">
        <f t="shared" si="66"/>
        <v>11.976317973139173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4.4000000000000004</v>
      </c>
      <c r="CT82" s="12">
        <f>IF('Données projet'!$A$140&gt;35,CT81+CS82-DB81,IF(A82&lt;'Données projet'!$A$140,$CQ$205^A82,IF(A82='Données projet'!$A$140,'Données projet'!$B$140,CT81+CS82-DB81)))</f>
        <v>390.5999999999998</v>
      </c>
      <c r="CU82" s="17">
        <f>CT82*VLOOKUP('Données projet'!$B$13,Paramètres!$A$1:$I$89,3,0)*VLOOKUP('Données projet'!$B$13,Paramètres!$A$1:$I$89,5,0)</f>
        <v>310.76135999999985</v>
      </c>
      <c r="CV82" s="13">
        <f t="shared" si="95"/>
        <v>73.427809735831019</v>
      </c>
      <c r="CW82" s="20">
        <f t="shared" si="67"/>
        <v>669.12947062323872</v>
      </c>
      <c r="CX82" s="59">
        <f t="shared" si="68"/>
        <v>962.46280395657209</v>
      </c>
      <c r="CY82" s="59">
        <f ca="1">AVERAGE(OFFSET($CX$3,0,0,'Données projet'!$E$13+1,1))-AVERAGE(OFFSET($H$3,0,0,'Données projet'!$E$13+1,1))</f>
        <v>314.94704727988847</v>
      </c>
      <c r="CZ82" s="59">
        <f t="shared" si="96"/>
        <v>366.49199094166454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1.4837305762268678</v>
      </c>
      <c r="DG82" s="21">
        <f>EXP(-LN(2)/25)*DG81+(1-EXP(-LN(2)/25))/(LN(2)/25)*Calculateur!DB82*Calculateur!DD82*VLOOKUP('Données projet'!$B$13,Paramètres!$A$1:$I$89,3,0)*0.475*44/12</f>
        <v>6.530294465642589</v>
      </c>
      <c r="DH82" s="21">
        <f>EXP(-LN(2)/2)*DH81+(1-EXP(-LN(2)/2))/(LN(2)/2)*DB82*DE82*VLOOKUP('Données projet'!$B$13,Paramètres!$A$1:$I$89,3,0)*0.475*44/12</f>
        <v>1.2167473407942466E-6</v>
      </c>
      <c r="DI82" s="22">
        <f t="shared" si="69"/>
        <v>8.0140262586167985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790</v>
      </c>
      <c r="L83" s="12">
        <f>VLOOKUP(A83,'Données projet'!$A$35:$I$55,9,0)</f>
        <v>12.9</v>
      </c>
      <c r="M83" s="12">
        <f t="array" ref="M83">INDEX(L:L,MIN(IF(ISNUMBER(L83:L279),ROW(L83:L279),"")))</f>
        <v>12.9</v>
      </c>
      <c r="N83" s="13">
        <f>IF('Données projet'!$A$36&gt;35,N82+M83-V82,IF(A83&lt;'Données projet'!$A$36,$K$205^A83,IF(A83='Données projet'!$A$36,'Données projet'!$B$36,N82+M83-V82)))</f>
        <v>789.99999999999875</v>
      </c>
      <c r="O83" s="13">
        <f>N83*VLOOKUP('Données projet'!$B$9,Paramètres!$A$1:$I$89,3,0)*VLOOKUP('Données projet'!$B$9,Paramètres!$A$1:$I$89,5,0)</f>
        <v>441.60999999999933</v>
      </c>
      <c r="P83" s="13">
        <f t="shared" si="87"/>
        <v>100.16325657794113</v>
      </c>
      <c r="Q83" s="20">
        <f t="shared" si="54"/>
        <v>943.58842187324615</v>
      </c>
      <c r="R83" s="59">
        <f t="shared" si="55"/>
        <v>1236.9217552065795</v>
      </c>
      <c r="S83" s="59">
        <f ca="1">AVERAGE(OFFSET($R$3,0,0,'Données projet'!$E$9+1,1))-AVERAGE(OFFSET($H$3,0,0,'Données projet'!$E$9+1,1))</f>
        <v>415.91544298418842</v>
      </c>
      <c r="T83" s="59">
        <f t="shared" si="88"/>
        <v>422.79312683312583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790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4.2424627151443781</v>
      </c>
      <c r="AA83" s="21">
        <f>EXP(-LN(2)/25)*AA82+(1-EXP(-LN(2)/25))/(LN(2)/25)*Calculateur!V83*Calculateur!X83*VLOOKUP('Données projet'!$B$9,Paramètres!$A$1:$I$89,3,0)*0.475*44/12</f>
        <v>9.6898525262704442</v>
      </c>
      <c r="AB83" s="21">
        <f>EXP(-LN(2)/2)*AB82+(1-EXP(-LN(2)/2))/(LN(2)/2)*V83*Y83*VLOOKUP('Données projet'!$B$9,Paramètres!$A$1:$I$89,3,0)*0.475*44/12</f>
        <v>1.0869470642517238E-6</v>
      </c>
      <c r="AC83" s="22">
        <f t="shared" si="57"/>
        <v>13.932316328361887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592</v>
      </c>
      <c r="AG83" s="12">
        <f>VLOOKUP(A83,'Données projet'!$A$61:$I$81,9,0)</f>
        <v>9.4</v>
      </c>
      <c r="AH83" s="12">
        <f t="array" ref="AH83">INDEX(AG:AG,MIN(IF(ISNUMBER(AG83:AG279),ROW(AG83:AG279),"")))</f>
        <v>9.4</v>
      </c>
      <c r="AI83" s="13">
        <f>IF('Données projet'!$A$62&gt;35,AI82+AH83-AQ82,IF(A83&lt;'Données projet'!$A$62,$AF$205^A83,IF(A83='Données projet'!$A$62,'Données projet'!$B$62,AI82+AH83-AQ82)))</f>
        <v>591.99999999999989</v>
      </c>
      <c r="AJ83" s="13">
        <f>AI83*VLOOKUP('Données projet'!$B$10,Paramètres!$A$1:$I$89,3,0)*VLOOKUP('Données projet'!$B$10,Paramètres!$A$1:$I$89,5,0)</f>
        <v>354.01599999999991</v>
      </c>
      <c r="AK83" s="13">
        <f t="shared" si="89"/>
        <v>82.388897459302981</v>
      </c>
      <c r="AL83" s="20">
        <f t="shared" si="58"/>
        <v>760.07186307495249</v>
      </c>
      <c r="AM83" s="59">
        <f t="shared" si="59"/>
        <v>1053.4051964082857</v>
      </c>
      <c r="AN83" s="59">
        <f ca="1">AVERAGE(OFFSET($AM$3,0,0,'Données projet'!$E$10+1,1))-AVERAGE(OFFSET($H$3,0,0,'Données projet'!$E$10+1,1))</f>
        <v>311.06126148520821</v>
      </c>
      <c r="AO83" s="59">
        <f t="shared" si="90"/>
        <v>321.1728368524748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592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1.2996466118909513</v>
      </c>
      <c r="AV83" s="21">
        <f>EXP(-LN(2)/25)*AV82+(1-EXP(-LN(2)/25))/(LN(2)/25)*Calculateur!AQ83*Calculateur!AS83*VLOOKUP('Données projet'!$B$10,Paramètres!$A$1:$I$89,3,0)*0.475*44/12</f>
        <v>5.3349295464217166</v>
      </c>
      <c r="AW83" s="21">
        <f>EXP(-LN(2)/2)*AW82+(1-EXP(-LN(2)/2))/(LN(2)/2)*AQ83*AT83*VLOOKUP('Données projet'!$B$10,Paramètres!$A$1:$I$89,3,0)*0.475*44/12</f>
        <v>9.0310973275211499E-7</v>
      </c>
      <c r="AX83" s="21">
        <f t="shared" si="60"/>
        <v>6.6345770614224007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892</v>
      </c>
      <c r="BB83" s="12">
        <f>VLOOKUP(A83,'Données projet'!$A$87:$I$107,9,0)</f>
        <v>17.5</v>
      </c>
      <c r="BC83" s="12">
        <f t="array" ref="BC83">INDEX(BB:BB,MIN(IF(ISNUMBER(BB83:BB279),ROW(BB83:BB279),"")))</f>
        <v>17.5</v>
      </c>
      <c r="BD83" s="12">
        <f>IF('Données projet'!$A$88&gt;35,BD82+BC83-BL82,IF(A83&lt;'Données projet'!$A$88,$BA$205^A83,IF(A83='Données projet'!$A$88,'Données projet'!$B$88,BD82+BC83-BL82)))</f>
        <v>891.9999999999992</v>
      </c>
      <c r="BE83" s="13">
        <f>BD83*VLOOKUP('Données projet'!$B$11,Paramètres!$A$1:$I$89,3,0)*VLOOKUP('Données projet'!$B$11,Paramètres!$A$1:$I$89,5,0)</f>
        <v>429.05199999999962</v>
      </c>
      <c r="BF83" s="13">
        <f t="shared" si="91"/>
        <v>97.642263768610974</v>
      </c>
      <c r="BG83" s="20">
        <f t="shared" si="61"/>
        <v>917.32584273033024</v>
      </c>
      <c r="BH83" s="59">
        <f t="shared" si="62"/>
        <v>1210.6591760636636</v>
      </c>
      <c r="BI83" s="59">
        <f ca="1">AVERAGE(OFFSET($BH$3,0,0,'Données projet'!$E$11+1,1))-AVERAGE(OFFSET($H$3,0,0,'Données projet'!$E$11+1,1))</f>
        <v>371.85813103419366</v>
      </c>
      <c r="BJ83" s="59">
        <f t="shared" si="92"/>
        <v>370.01698880104584</v>
      </c>
      <c r="BK83" s="15">
        <f>IF(ISNA(VLOOKUP(A83,'Données projet'!$A$87:$I$107,3,0)),0,VLOOKUP(A83,'Données projet'!$A$87:$I$107,3,0))</f>
        <v>8</v>
      </c>
      <c r="BL83" s="21">
        <f>IF(ISNA(VLOOKUP(A83,'Données projet'!$A$87:$I$107,4,0)),0,VLOOKUP(A83,'Données projet'!$A$87:$I$107,4,0))</f>
        <v>892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10.325489051063725</v>
      </c>
      <c r="BQ83" s="21">
        <f>EXP(-LN(2)/25)*BQ82+(1-EXP(-LN(2)/25))/(LN(2)/25)*Calculateur!BL83*Calculateur!BN83*VLOOKUP('Données projet'!$B$11,Paramètres!$A$1:$I$89,3,0)*0.475*44/12</f>
        <v>11.272666434336724</v>
      </c>
      <c r="BR83" s="21">
        <f>EXP(-LN(2)/2)*BR82+(1-EXP(-LN(2)/2))/(LN(2)/2)*BL83*BO83*VLOOKUP('Données projet'!$B$11,Paramètres!$A$1:$I$89,3,0)*0.475*44/12</f>
        <v>2.6363839905052139E-5</v>
      </c>
      <c r="BS83" s="22">
        <f t="shared" si="63"/>
        <v>21.598181849240351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487</v>
      </c>
      <c r="BW83" s="12">
        <f>VLOOKUP(A83,'Données projet'!$A$113:$I$133,9,0)</f>
        <v>8.6</v>
      </c>
      <c r="BX83" s="12">
        <f t="array" ref="BX83">INDEX(BW:BW,MIN(IF(ISNUMBER(BW83:BW279),ROW(BW83:BW279),"")))</f>
        <v>8.6</v>
      </c>
      <c r="BY83" s="12">
        <f>IF('Données projet'!$A$114&gt;35,BY82+BX83-CG82,IF(A83&lt;'Données projet'!$A$114,$BV$205^A83,IF(A83='Données projet'!$A$114,'Données projet'!$B$114,BY82+BX83-CG82)))</f>
        <v>487.00000000000057</v>
      </c>
      <c r="BZ83" s="13">
        <f>BY83*VLOOKUP('Données projet'!$B$12,Paramètres!$A$1:$I$89,3,0)*VLOOKUP('Données projet'!$B$12,Paramètres!$A$1:$I$89,5,0)</f>
        <v>265.90200000000027</v>
      </c>
      <c r="CA83" s="13">
        <f t="shared" si="93"/>
        <v>63.978797641171262</v>
      </c>
      <c r="CB83" s="20">
        <f t="shared" si="64"/>
        <v>574.54238922504044</v>
      </c>
      <c r="CC83" s="59">
        <f t="shared" si="65"/>
        <v>867.87572255837381</v>
      </c>
      <c r="CD83" s="59">
        <f ca="1">AVERAGE(OFFSET($CC$3,0,0,'Données projet'!$E$12+1,1))-AVERAGE(OFFSET($H$3,0,0,'Données projet'!$E$12+1,1))</f>
        <v>248.1486444660062</v>
      </c>
      <c r="CE83" s="59">
        <f t="shared" si="94"/>
        <v>293.34458072322127</v>
      </c>
      <c r="CF83" s="15">
        <f>IF(ISNA(VLOOKUP(A83,'Données projet'!$A$113:$I$133,3,0)),0,VLOOKUP(A83,'Données projet'!$A$113:$I$133,3,0))</f>
        <v>8</v>
      </c>
      <c r="CG83" s="15">
        <f>IF(ISNA(VLOOKUP(A83,'Données projet'!$A$113:$I$133,4,0)),0,VLOOKUP(A83,'Données projet'!$A$113:$I$133,4,0))</f>
        <v>487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3.1643569680823149</v>
      </c>
      <c r="CL83" s="21">
        <f>EXP(-LN(2)/25)*CL82+(1-EXP(-LN(2)/25))/(LN(2)/25)*Calculateur!CG83*Calculateur!CI83*VLOOKUP('Données projet'!$B$12,Paramètres!$A$1:$I$89,3,0)*0.475*44/12</f>
        <v>8.5094349329072951</v>
      </c>
      <c r="CM83" s="21">
        <f>EXP(-LN(2)/2)*CM82+(1-EXP(-LN(2)/2))/(LN(2)/2)*CG83*CJ83*VLOOKUP('Données projet'!$B$12,Paramètres!$A$1:$I$89,3,0)*0.475*44/12</f>
        <v>7.5049478157956162E-7</v>
      </c>
      <c r="CN83" s="22">
        <f t="shared" si="66"/>
        <v>11.673792651484391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395</v>
      </c>
      <c r="CR83" s="12">
        <f>VLOOKUP(A83,'Données projet'!$A$139:$I$159,9,0)</f>
        <v>4.4000000000000004</v>
      </c>
      <c r="CS83" s="12">
        <f t="array" ref="CS83">INDEX(CR:CR,MIN(IF(ISNUMBER(CR83:CR279),ROW(CR83:CR279),"")))</f>
        <v>4.4000000000000004</v>
      </c>
      <c r="CT83" s="12">
        <f>IF('Données projet'!$A$140&gt;35,CT82+CS83-DB82,IF(A83&lt;'Données projet'!$A$140,$CQ$205^A83,IF(A83='Données projet'!$A$140,'Données projet'!$B$140,CT82+CS83-DB82)))</f>
        <v>394.99999999999977</v>
      </c>
      <c r="CU83" s="17">
        <f>CT83*VLOOKUP('Données projet'!$B$13,Paramètres!$A$1:$I$89,3,0)*VLOOKUP('Données projet'!$B$13,Paramètres!$A$1:$I$89,5,0)</f>
        <v>314.26199999999983</v>
      </c>
      <c r="CV83" s="13">
        <f t="shared" si="95"/>
        <v>74.158196822395908</v>
      </c>
      <c r="CW83" s="20">
        <f t="shared" si="67"/>
        <v>676.49850946567256</v>
      </c>
      <c r="CX83" s="59">
        <f t="shared" si="68"/>
        <v>969.83184279900593</v>
      </c>
      <c r="CY83" s="59">
        <f ca="1">AVERAGE(OFFSET($CX$3,0,0,'Données projet'!$E$13+1,1))-AVERAGE(OFFSET($H$3,0,0,'Données projet'!$E$13+1,1))</f>
        <v>314.94704727988847</v>
      </c>
      <c r="CZ83" s="59">
        <f t="shared" si="96"/>
        <v>366.49199094166454</v>
      </c>
      <c r="DA83" s="15">
        <f>IF(ISNA(VLOOKUP(A83,'Données projet'!$A$139:$I$159,3,0)),0,VLOOKUP(A83,'Données projet'!$A$139:$I$159,3,0))</f>
        <v>8</v>
      </c>
      <c r="DB83" s="15">
        <f>IF(ISNA(VLOOKUP(A83,'Données projet'!$A$139:$I$159,4,0)),0,VLOOKUP(A83,'Données projet'!$A$139:$I$159,4,0))</f>
        <v>395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1.4546355246133504</v>
      </c>
      <c r="DG83" s="21">
        <f>EXP(-LN(2)/25)*DG82+(1-EXP(-LN(2)/25))/(LN(2)/25)*Calculateur!DB83*Calculateur!DD83*VLOOKUP('Données projet'!$B$13,Paramètres!$A$1:$I$89,3,0)*0.475*44/12</f>
        <v>6.3517232200663321</v>
      </c>
      <c r="DH83" s="21">
        <f>EXP(-LN(2)/2)*DH82+(1-EXP(-LN(2)/2))/(LN(2)/2)*DB83*DE83*VLOOKUP('Données projet'!$B$13,Paramètres!$A$1:$I$89,3,0)*0.475*44/12</f>
        <v>8.6037029566631093E-7</v>
      </c>
      <c r="DI83" s="22">
        <f t="shared" si="69"/>
        <v>7.8063596050499786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-1.2505552149377763E-12</v>
      </c>
      <c r="O84" s="13">
        <f>N84*VLOOKUP('Données projet'!$B$9,Paramètres!$A$1:$I$89,3,0)*VLOOKUP('Données projet'!$B$9,Paramètres!$A$1:$I$89,5,0)</f>
        <v>-6.9906036515021697E-13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415.91544298418842</v>
      </c>
      <c r="T84" s="59">
        <f t="shared" si="88"/>
        <v>422.79312683312583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4.1592706089471445</v>
      </c>
      <c r="AA84" s="21">
        <f>EXP(-LN(2)/25)*AA83+(1-EXP(-LN(2)/25))/(LN(2)/25)*Calculateur!V84*Calculateur!X84*VLOOKUP('Données projet'!$B$9,Paramètres!$A$1:$I$89,3,0)*0.475*44/12</f>
        <v>9.4248829993723806</v>
      </c>
      <c r="AB84" s="21">
        <f>EXP(-LN(2)/2)*AB83+(1-EXP(-LN(2)/2))/(LN(2)/2)*V84*Y84*VLOOKUP('Données projet'!$B$9,Paramètres!$A$1:$I$89,3,0)*0.475*44/12</f>
        <v>7.6858763992320385E-7</v>
      </c>
      <c r="AC84" s="22">
        <f t="shared" si="57"/>
        <v>13.584154376907165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-1.1368683772161603E-13</v>
      </c>
      <c r="AJ84" s="13">
        <f>AI84*VLOOKUP('Données projet'!$B$10,Paramètres!$A$1:$I$89,3,0)*VLOOKUP('Données projet'!$B$10,Paramètres!$A$1:$I$89,5,0)</f>
        <v>-6.7984728957526396E-14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311.06126148520821</v>
      </c>
      <c r="AO84" s="59">
        <f t="shared" si="90"/>
        <v>321.1728368524748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1.2741613345379297</v>
      </c>
      <c r="AV84" s="21">
        <f>EXP(-LN(2)/25)*AV83+(1-EXP(-LN(2)/25))/(LN(2)/25)*Calculateur!AQ84*Calculateur!AS84*VLOOKUP('Données projet'!$B$10,Paramètres!$A$1:$I$89,3,0)*0.475*44/12</f>
        <v>5.189045617423063</v>
      </c>
      <c r="AW84" s="21">
        <f>EXP(-LN(2)/2)*AW83+(1-EXP(-LN(2)/2))/(LN(2)/2)*AQ84*AT84*VLOOKUP('Données projet'!$B$10,Paramètres!$A$1:$I$89,3,0)*0.475*44/12</f>
        <v>6.3859501618459118E-7</v>
      </c>
      <c r="AX84" s="21">
        <f t="shared" si="60"/>
        <v>6.4632075905560091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-7.9580786405131221E-13</v>
      </c>
      <c r="BE84" s="13">
        <f>BD84*VLOOKUP('Données projet'!$B$11,Paramètres!$A$1:$I$89,3,0)*VLOOKUP('Données projet'!$B$11,Paramètres!$A$1:$I$89,5,0)</f>
        <v>-3.8278358260868117E-13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371.85813103419366</v>
      </c>
      <c r="BJ84" s="59">
        <f t="shared" si="92"/>
        <v>370.01698880104584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10.123012508698817</v>
      </c>
      <c r="BQ84" s="21">
        <f>EXP(-LN(2)/25)*BQ83+(1-EXP(-LN(2)/25))/(LN(2)/25)*Calculateur!BL84*Calculateur!BN84*VLOOKUP('Données projet'!$B$11,Paramètres!$A$1:$I$89,3,0)*0.475*44/12</f>
        <v>10.964414777886022</v>
      </c>
      <c r="BR84" s="21">
        <f>EXP(-LN(2)/2)*BR83+(1-EXP(-LN(2)/2))/(LN(2)/2)*BL84*BO84*VLOOKUP('Données projet'!$B$11,Paramètres!$A$1:$I$89,3,0)*0.475*44/12</f>
        <v>1.8642049974978873E-5</v>
      </c>
      <c r="BS84" s="22">
        <f t="shared" si="63"/>
        <v>21.087445928634818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5.6843418860808015E-13</v>
      </c>
      <c r="BZ84" s="13">
        <f>BY84*VLOOKUP('Données projet'!$B$12,Paramètres!$A$1:$I$89,3,0)*VLOOKUP('Données projet'!$B$12,Paramètres!$A$1:$I$89,5,0)</f>
        <v>3.1036506698001181E-13</v>
      </c>
      <c r="CA84" s="13">
        <f t="shared" si="93"/>
        <v>4.086682523110923E-12</v>
      </c>
      <c r="CB84" s="20">
        <f t="shared" si="64"/>
        <v>7.6581912194083782E-12</v>
      </c>
      <c r="CC84" s="59">
        <f t="shared" si="65"/>
        <v>293.33333333334099</v>
      </c>
      <c r="CD84" s="59">
        <f ca="1">AVERAGE(OFFSET($CC$3,0,0,'Données projet'!$E$12+1,1))-AVERAGE(OFFSET($H$3,0,0,'Données projet'!$E$12+1,1))</f>
        <v>248.1486444660062</v>
      </c>
      <c r="CE84" s="59">
        <f t="shared" si="94"/>
        <v>293.34458072322127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3.1023058580053928</v>
      </c>
      <c r="CL84" s="21">
        <f>EXP(-LN(2)/25)*CL83+(1-EXP(-LN(2)/25))/(LN(2)/25)*Calculateur!CG84*Calculateur!CI84*VLOOKUP('Données projet'!$B$12,Paramètres!$A$1:$I$89,3,0)*0.475*44/12</f>
        <v>8.2767439871752106</v>
      </c>
      <c r="CM84" s="21">
        <f>EXP(-LN(2)/2)*CM83+(1-EXP(-LN(2)/2))/(LN(2)/2)*CG84*CJ84*VLOOKUP('Données projet'!$B$12,Paramètres!$A$1:$I$89,3,0)*0.475*44/12</f>
        <v>5.3067994930002485E-7</v>
      </c>
      <c r="CN84" s="22">
        <f t="shared" si="66"/>
        <v>11.379050375860553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-2.2737367544323206E-13</v>
      </c>
      <c r="CU84" s="17">
        <f>CT84*VLOOKUP('Données projet'!$B$13,Paramètres!$A$1:$I$89,3,0)*VLOOKUP('Données projet'!$B$13,Paramètres!$A$1:$I$89,5,0)</f>
        <v>-1.8089849618263545E-13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314.94704727988847</v>
      </c>
      <c r="CZ84" s="59">
        <f t="shared" si="96"/>
        <v>366.49199094166454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1.426111009215745</v>
      </c>
      <c r="DG84" s="21">
        <f>EXP(-LN(2)/25)*DG83+(1-EXP(-LN(2)/25))/(LN(2)/25)*Calculateur!DB84*Calculateur!DD84*VLOOKUP('Données projet'!$B$13,Paramètres!$A$1:$I$89,3,0)*0.475*44/12</f>
        <v>6.1780350145910115</v>
      </c>
      <c r="DH84" s="21">
        <f>EXP(-LN(2)/2)*DH83+(1-EXP(-LN(2)/2))/(LN(2)/2)*DB84*DE84*VLOOKUP('Données projet'!$B$13,Paramètres!$A$1:$I$89,3,0)*0.475*44/12</f>
        <v>6.0837367039712331E-7</v>
      </c>
      <c r="DI84" s="22">
        <f t="shared" si="69"/>
        <v>7.6041466321804272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-1.2505552149377763E-12</v>
      </c>
      <c r="O85" s="13">
        <f>N85*VLOOKUP('Données projet'!$B$9,Paramètres!$A$1:$I$89,3,0)*VLOOKUP('Données projet'!$B$9,Paramètres!$A$1:$I$89,5,0)</f>
        <v>-6.9906036515021697E-13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415.91544298418842</v>
      </c>
      <c r="T85" s="59">
        <f t="shared" si="88"/>
        <v>422.79312683312583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4.0777098492102644</v>
      </c>
      <c r="AA85" s="21">
        <f>EXP(-LN(2)/25)*AA84+(1-EXP(-LN(2)/25))/(LN(2)/25)*Calculateur!V85*Calculateur!X85*VLOOKUP('Données projet'!$B$9,Paramètres!$A$1:$I$89,3,0)*0.475*44/12</f>
        <v>9.167159078121486</v>
      </c>
      <c r="AB85" s="21">
        <f>EXP(-LN(2)/2)*AB84+(1-EXP(-LN(2)/2))/(LN(2)/2)*V85*Y85*VLOOKUP('Données projet'!$B$9,Paramètres!$A$1:$I$89,3,0)*0.475*44/12</f>
        <v>5.4347353212586188E-7</v>
      </c>
      <c r="AC85" s="22">
        <f t="shared" si="57"/>
        <v>13.244869470805284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-1.1368683772161603E-13</v>
      </c>
      <c r="AJ85" s="13">
        <f>AI85*VLOOKUP('Données projet'!$B$10,Paramètres!$A$1:$I$89,3,0)*VLOOKUP('Données projet'!$B$10,Paramètres!$A$1:$I$89,5,0)</f>
        <v>-6.7984728957526396E-14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311.06126148520821</v>
      </c>
      <c r="AO85" s="59">
        <f t="shared" si="90"/>
        <v>321.1728368524748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1.2491758079293167</v>
      </c>
      <c r="AV85" s="21">
        <f>EXP(-LN(2)/25)*AV84+(1-EXP(-LN(2)/25))/(LN(2)/25)*Calculateur!AQ85*Calculateur!AS85*VLOOKUP('Données projet'!$B$10,Paramètres!$A$1:$I$89,3,0)*0.475*44/12</f>
        <v>5.0471508921345798</v>
      </c>
      <c r="AW85" s="21">
        <f>EXP(-LN(2)/2)*AW84+(1-EXP(-LN(2)/2))/(LN(2)/2)*AQ85*AT85*VLOOKUP('Données projet'!$B$10,Paramètres!$A$1:$I$89,3,0)*0.475*44/12</f>
        <v>4.515548663760575E-7</v>
      </c>
      <c r="AX85" s="21">
        <f t="shared" si="60"/>
        <v>6.2963271516187627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-7.9580786405131221E-13</v>
      </c>
      <c r="BE85" s="13">
        <f>BD85*VLOOKUP('Données projet'!$B$11,Paramètres!$A$1:$I$89,3,0)*VLOOKUP('Données projet'!$B$11,Paramètres!$A$1:$I$89,5,0)</f>
        <v>-3.8278358260868117E-13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371.85813103419366</v>
      </c>
      <c r="BJ85" s="59">
        <f t="shared" si="92"/>
        <v>370.01698880104584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9.9245064078311902</v>
      </c>
      <c r="BQ85" s="21">
        <f>EXP(-LN(2)/25)*BQ84+(1-EXP(-LN(2)/25))/(LN(2)/25)*Calculateur!BL85*Calculateur!BN85*VLOOKUP('Données projet'!$B$11,Paramètres!$A$1:$I$89,3,0)*0.475*44/12</f>
        <v>10.664592279191215</v>
      </c>
      <c r="BR85" s="21">
        <f>EXP(-LN(2)/2)*BR84+(1-EXP(-LN(2)/2))/(LN(2)/2)*BL85*BO85*VLOOKUP('Données projet'!$B$11,Paramètres!$A$1:$I$89,3,0)*0.475*44/12</f>
        <v>1.318191995252607E-5</v>
      </c>
      <c r="BS85" s="22">
        <f t="shared" si="63"/>
        <v>20.589111868942361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5.6843418860808015E-13</v>
      </c>
      <c r="BZ85" s="13">
        <f>BY85*VLOOKUP('Données projet'!$B$12,Paramètres!$A$1:$I$89,3,0)*VLOOKUP('Données projet'!$B$12,Paramètres!$A$1:$I$89,5,0)</f>
        <v>3.1036506698001181E-13</v>
      </c>
      <c r="CA85" s="13">
        <f t="shared" si="93"/>
        <v>4.086682523110923E-12</v>
      </c>
      <c r="CB85" s="20">
        <f t="shared" si="64"/>
        <v>7.6581912194083782E-12</v>
      </c>
      <c r="CC85" s="59">
        <f t="shared" si="65"/>
        <v>293.33333333334099</v>
      </c>
      <c r="CD85" s="59">
        <f ca="1">AVERAGE(OFFSET($CC$3,0,0,'Données projet'!$E$12+1,1))-AVERAGE(OFFSET($H$3,0,0,'Données projet'!$E$12+1,1))</f>
        <v>248.1486444660062</v>
      </c>
      <c r="CE85" s="59">
        <f t="shared" si="94"/>
        <v>293.34458072322127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3.0414715323496391</v>
      </c>
      <c r="CL85" s="21">
        <f>EXP(-LN(2)/25)*CL84+(1-EXP(-LN(2)/25))/(LN(2)/25)*Calculateur!CG85*Calculateur!CI85*VLOOKUP('Données projet'!$B$12,Paramètres!$A$1:$I$89,3,0)*0.475*44/12</f>
        <v>8.0504159875908545</v>
      </c>
      <c r="CM85" s="21">
        <f>EXP(-LN(2)/2)*CM84+(1-EXP(-LN(2)/2))/(LN(2)/2)*CG85*CJ85*VLOOKUP('Données projet'!$B$12,Paramètres!$A$1:$I$89,3,0)*0.475*44/12</f>
        <v>3.7524739078978081E-7</v>
      </c>
      <c r="CN85" s="22">
        <f t="shared" si="66"/>
        <v>11.091887895187885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-2.2737367544323206E-13</v>
      </c>
      <c r="CU85" s="17">
        <f>CT85*VLOOKUP('Données projet'!$B$13,Paramètres!$A$1:$I$89,3,0)*VLOOKUP('Données projet'!$B$13,Paramètres!$A$1:$I$89,5,0)</f>
        <v>-1.8089849618263545E-13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314.94704727988847</v>
      </c>
      <c r="CZ85" s="59">
        <f t="shared" si="96"/>
        <v>366.49199094166454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1.39814584216685</v>
      </c>
      <c r="DG85" s="21">
        <f>EXP(-LN(2)/25)*DG84+(1-EXP(-LN(2)/25))/(LN(2)/25)*Calculateur!DB85*Calculateur!DD85*VLOOKUP('Données projet'!$B$13,Paramètres!$A$1:$I$89,3,0)*0.475*44/12</f>
        <v>6.0090963222282792</v>
      </c>
      <c r="DH85" s="21">
        <f>EXP(-LN(2)/2)*DH84+(1-EXP(-LN(2)/2))/(LN(2)/2)*DB85*DE85*VLOOKUP('Données projet'!$B$13,Paramètres!$A$1:$I$89,3,0)*0.475*44/12</f>
        <v>4.3018514783315546E-7</v>
      </c>
      <c r="DI85" s="22">
        <f t="shared" si="69"/>
        <v>7.4072425945802767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-1.2505552149377763E-12</v>
      </c>
      <c r="O86" s="13">
        <f>N86*VLOOKUP('Données projet'!$B$9,Paramètres!$A$1:$I$89,3,0)*VLOOKUP('Données projet'!$B$9,Paramètres!$A$1:$I$89,5,0)</f>
        <v>-6.9906036515021697E-13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415.91544298418842</v>
      </c>
      <c r="T86" s="59">
        <f t="shared" si="88"/>
        <v>422.79312683312583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3.9977484462246728</v>
      </c>
      <c r="AA86" s="21">
        <f>EXP(-LN(2)/25)*AA85+(1-EXP(-LN(2)/25))/(LN(2)/25)*Calculateur!V86*Calculateur!X86*VLOOKUP('Données projet'!$B$9,Paramètres!$A$1:$I$89,3,0)*0.475*44/12</f>
        <v>8.9164826310503091</v>
      </c>
      <c r="AB86" s="21">
        <f>EXP(-LN(2)/2)*AB85+(1-EXP(-LN(2)/2))/(LN(2)/2)*V86*Y86*VLOOKUP('Données projet'!$B$9,Paramètres!$A$1:$I$89,3,0)*0.475*44/12</f>
        <v>3.8429381996160193E-7</v>
      </c>
      <c r="AC86" s="22">
        <f t="shared" si="57"/>
        <v>12.914231461568802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-1.1368683772161603E-13</v>
      </c>
      <c r="AJ86" s="13">
        <f>AI86*VLOOKUP('Données projet'!$B$10,Paramètres!$A$1:$I$89,3,0)*VLOOKUP('Données projet'!$B$10,Paramètres!$A$1:$I$89,5,0)</f>
        <v>-6.7984728957526396E-14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311.06126148520821</v>
      </c>
      <c r="AO86" s="59">
        <f t="shared" si="90"/>
        <v>321.1728368524748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1.2246802322578321</v>
      </c>
      <c r="AV86" s="21">
        <f>EXP(-LN(2)/25)*AV85+(1-EXP(-LN(2)/25))/(LN(2)/25)*Calculateur!AQ86*Calculateur!AS86*VLOOKUP('Données projet'!$B$10,Paramètres!$A$1:$I$89,3,0)*0.475*44/12</f>
        <v>4.9091362855710301</v>
      </c>
      <c r="AW86" s="21">
        <f>EXP(-LN(2)/2)*AW85+(1-EXP(-LN(2)/2))/(LN(2)/2)*AQ86*AT86*VLOOKUP('Données projet'!$B$10,Paramètres!$A$1:$I$89,3,0)*0.475*44/12</f>
        <v>3.1929750809229559E-7</v>
      </c>
      <c r="AX86" s="21">
        <f t="shared" si="60"/>
        <v>6.1338168371263704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-7.9580786405131221E-13</v>
      </c>
      <c r="BE86" s="13">
        <f>BD86*VLOOKUP('Données projet'!$B$11,Paramètres!$A$1:$I$89,3,0)*VLOOKUP('Données projet'!$B$11,Paramètres!$A$1:$I$89,5,0)</f>
        <v>-3.8278358260868117E-13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371.85813103419366</v>
      </c>
      <c r="BJ86" s="59">
        <f t="shared" si="92"/>
        <v>370.01698880104584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9.7298928905248108</v>
      </c>
      <c r="BQ86" s="21">
        <f>EXP(-LN(2)/25)*BQ85+(1-EXP(-LN(2)/25))/(LN(2)/25)*Calculateur!BL86*Calculateur!BN86*VLOOKUP('Données projet'!$B$11,Paramètres!$A$1:$I$89,3,0)*0.475*44/12</f>
        <v>10.372968442490198</v>
      </c>
      <c r="BR86" s="21">
        <f>EXP(-LN(2)/2)*BR85+(1-EXP(-LN(2)/2))/(LN(2)/2)*BL86*BO86*VLOOKUP('Données projet'!$B$11,Paramètres!$A$1:$I$89,3,0)*0.475*44/12</f>
        <v>9.3210249874894363E-6</v>
      </c>
      <c r="BS86" s="22">
        <f t="shared" si="63"/>
        <v>20.102870654039993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5.6843418860808015E-13</v>
      </c>
      <c r="BZ86" s="13">
        <f>BY86*VLOOKUP('Données projet'!$B$12,Paramètres!$A$1:$I$89,3,0)*VLOOKUP('Données projet'!$B$12,Paramètres!$A$1:$I$89,5,0)</f>
        <v>3.1036506698001181E-13</v>
      </c>
      <c r="CA86" s="13">
        <f t="shared" si="93"/>
        <v>4.086682523110923E-12</v>
      </c>
      <c r="CB86" s="20">
        <f t="shared" si="64"/>
        <v>7.6581912194083782E-12</v>
      </c>
      <c r="CC86" s="59">
        <f t="shared" si="65"/>
        <v>293.33333333334099</v>
      </c>
      <c r="CD86" s="59">
        <f ca="1">AVERAGE(OFFSET($CC$3,0,0,'Données projet'!$E$12+1,1))-AVERAGE(OFFSET($H$3,0,0,'Données projet'!$E$12+1,1))</f>
        <v>248.1486444660062</v>
      </c>
      <c r="CE86" s="59">
        <f t="shared" si="94"/>
        <v>293.34458072322127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2.9818301307147199</v>
      </c>
      <c r="CL86" s="21">
        <f>EXP(-LN(2)/25)*CL85+(1-EXP(-LN(2)/25))/(LN(2)/25)*Calculateur!CG86*Calculateur!CI86*VLOOKUP('Données projet'!$B$12,Paramètres!$A$1:$I$89,3,0)*0.475*44/12</f>
        <v>7.8302769390572049</v>
      </c>
      <c r="CM86" s="21">
        <f>EXP(-LN(2)/2)*CM85+(1-EXP(-LN(2)/2))/(LN(2)/2)*CG86*CJ86*VLOOKUP('Données projet'!$B$12,Paramètres!$A$1:$I$89,3,0)*0.475*44/12</f>
        <v>2.6533997465001243E-7</v>
      </c>
      <c r="CN86" s="22">
        <f t="shared" si="66"/>
        <v>10.812107335111898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-2.2737367544323206E-13</v>
      </c>
      <c r="CU86" s="17">
        <f>CT86*VLOOKUP('Données projet'!$B$13,Paramètres!$A$1:$I$89,3,0)*VLOOKUP('Données projet'!$B$13,Paramètres!$A$1:$I$89,5,0)</f>
        <v>-1.8089849618263545E-13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314.94704727988847</v>
      </c>
      <c r="CZ86" s="59">
        <f t="shared" si="96"/>
        <v>366.49199094166454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1.3707290549867164</v>
      </c>
      <c r="DG86" s="21">
        <f>EXP(-LN(2)/25)*DG85+(1-EXP(-LN(2)/25))/(LN(2)/25)*Calculateur!DB86*Calculateur!DD86*VLOOKUP('Données projet'!$B$13,Paramètres!$A$1:$I$89,3,0)*0.475*44/12</f>
        <v>5.8447772672923053</v>
      </c>
      <c r="DH86" s="21">
        <f>EXP(-LN(2)/2)*DH85+(1-EXP(-LN(2)/2))/(LN(2)/2)*DB86*DE86*VLOOKUP('Données projet'!$B$13,Paramètres!$A$1:$I$89,3,0)*0.475*44/12</f>
        <v>3.0418683519856166E-7</v>
      </c>
      <c r="DI86" s="22">
        <f t="shared" si="69"/>
        <v>7.2155066264658565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-1.2505552149377763E-12</v>
      </c>
      <c r="O87" s="13">
        <f>N87*VLOOKUP('Données projet'!$B$9,Paramètres!$A$1:$I$89,3,0)*VLOOKUP('Données projet'!$B$9,Paramètres!$A$1:$I$89,5,0)</f>
        <v>-6.9906036515021697E-13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415.91544298418842</v>
      </c>
      <c r="T87" s="59">
        <f t="shared" si="88"/>
        <v>422.79312683312583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3.9193550375799888</v>
      </c>
      <c r="AA87" s="21">
        <f>EXP(-LN(2)/25)*AA86+(1-EXP(-LN(2)/25))/(LN(2)/25)*Calculateur!V87*Calculateur!X87*VLOOKUP('Données projet'!$B$9,Paramètres!$A$1:$I$89,3,0)*0.475*44/12</f>
        <v>8.672660944606795</v>
      </c>
      <c r="AB87" s="21">
        <f>EXP(-LN(2)/2)*AB86+(1-EXP(-LN(2)/2))/(LN(2)/2)*V87*Y87*VLOOKUP('Données projet'!$B$9,Paramètres!$A$1:$I$89,3,0)*0.475*44/12</f>
        <v>2.7173676606293094E-7</v>
      </c>
      <c r="AC87" s="22">
        <f t="shared" si="57"/>
        <v>12.59201625392355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-1.1368683772161603E-13</v>
      </c>
      <c r="AJ87" s="13">
        <f>AI87*VLOOKUP('Données projet'!$B$10,Paramètres!$A$1:$I$89,3,0)*VLOOKUP('Données projet'!$B$10,Paramètres!$A$1:$I$89,5,0)</f>
        <v>-6.7984728957526396E-14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311.06126148520821</v>
      </c>
      <c r="AO87" s="59">
        <f t="shared" si="90"/>
        <v>321.1728368524748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1.2006649998844394</v>
      </c>
      <c r="AV87" s="21">
        <f>EXP(-LN(2)/25)*AV86+(1-EXP(-LN(2)/25))/(LN(2)/25)*Calculateur!AQ87*Calculateur!AS87*VLOOKUP('Données projet'!$B$10,Paramètres!$A$1:$I$89,3,0)*0.475*44/12</f>
        <v>4.7748956956818329</v>
      </c>
      <c r="AW87" s="21">
        <f>EXP(-LN(2)/2)*AW86+(1-EXP(-LN(2)/2))/(LN(2)/2)*AQ87*AT87*VLOOKUP('Données projet'!$B$10,Paramètres!$A$1:$I$89,3,0)*0.475*44/12</f>
        <v>2.2577743318802875E-7</v>
      </c>
      <c r="AX87" s="21">
        <f t="shared" si="60"/>
        <v>5.975560921343706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-7.9580786405131221E-13</v>
      </c>
      <c r="BE87" s="13">
        <f>BD87*VLOOKUP('Données projet'!$B$11,Paramètres!$A$1:$I$89,3,0)*VLOOKUP('Données projet'!$B$11,Paramètres!$A$1:$I$89,5,0)</f>
        <v>-3.8278358260868117E-13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371.85813103419366</v>
      </c>
      <c r="BJ87" s="59">
        <f t="shared" si="92"/>
        <v>370.01698880104584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9.539095625590285</v>
      </c>
      <c r="BQ87" s="21">
        <f>EXP(-LN(2)/25)*BQ86+(1-EXP(-LN(2)/25))/(LN(2)/25)*Calculateur!BL87*Calculateur!BN87*VLOOKUP('Données projet'!$B$11,Paramètres!$A$1:$I$89,3,0)*0.475*44/12</f>
        <v>10.089319074939601</v>
      </c>
      <c r="BR87" s="21">
        <f>EXP(-LN(2)/2)*BR86+(1-EXP(-LN(2)/2))/(LN(2)/2)*BL87*BO87*VLOOKUP('Données projet'!$B$11,Paramètres!$A$1:$I$89,3,0)*0.475*44/12</f>
        <v>6.5909599762630348E-6</v>
      </c>
      <c r="BS87" s="22">
        <f t="shared" si="63"/>
        <v>19.628421291489865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5.6843418860808015E-13</v>
      </c>
      <c r="BZ87" s="13">
        <f>BY87*VLOOKUP('Données projet'!$B$12,Paramètres!$A$1:$I$89,3,0)*VLOOKUP('Données projet'!$B$12,Paramètres!$A$1:$I$89,5,0)</f>
        <v>3.1036506698001181E-13</v>
      </c>
      <c r="CA87" s="13">
        <f t="shared" si="93"/>
        <v>4.086682523110923E-12</v>
      </c>
      <c r="CB87" s="20">
        <f t="shared" si="64"/>
        <v>7.6581912194083782E-12</v>
      </c>
      <c r="CC87" s="59">
        <f t="shared" si="65"/>
        <v>293.33333333334099</v>
      </c>
      <c r="CD87" s="59">
        <f ca="1">AVERAGE(OFFSET($CC$3,0,0,'Données projet'!$E$12+1,1))-AVERAGE(OFFSET($H$3,0,0,'Données projet'!$E$12+1,1))</f>
        <v>248.1486444660062</v>
      </c>
      <c r="CE87" s="59">
        <f t="shared" si="94"/>
        <v>293.34458072322127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2.9233582605881985</v>
      </c>
      <c r="CL87" s="21">
        <f>EXP(-LN(2)/25)*CL86+(1-EXP(-LN(2)/25))/(LN(2)/25)*Calculateur!CG87*Calculateur!CI87*VLOOKUP('Données projet'!$B$12,Paramètres!$A$1:$I$89,3,0)*0.475*44/12</f>
        <v>7.6161576043823178</v>
      </c>
      <c r="CM87" s="21">
        <f>EXP(-LN(2)/2)*CM86+(1-EXP(-LN(2)/2))/(LN(2)/2)*CG87*CJ87*VLOOKUP('Données projet'!$B$12,Paramètres!$A$1:$I$89,3,0)*0.475*44/12</f>
        <v>1.876236953948904E-7</v>
      </c>
      <c r="CN87" s="22">
        <f t="shared" si="66"/>
        <v>10.539516052594212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-2.2737367544323206E-13</v>
      </c>
      <c r="CU87" s="17">
        <f>CT87*VLOOKUP('Données projet'!$B$13,Paramètres!$A$1:$I$89,3,0)*VLOOKUP('Données projet'!$B$13,Paramètres!$A$1:$I$89,5,0)</f>
        <v>-1.8089849618263545E-13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314.94704727988847</v>
      </c>
      <c r="CZ87" s="59">
        <f t="shared" si="96"/>
        <v>366.49199094166454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1.3438498942805961</v>
      </c>
      <c r="DG87" s="21">
        <f>EXP(-LN(2)/25)*DG86+(1-EXP(-LN(2)/25))/(LN(2)/25)*Calculateur!DB87*Calculateur!DD87*VLOOKUP('Données projet'!$B$13,Paramètres!$A$1:$I$89,3,0)*0.475*44/12</f>
        <v>5.6849515255547187</v>
      </c>
      <c r="DH87" s="21">
        <f>EXP(-LN(2)/2)*DH86+(1-EXP(-LN(2)/2))/(LN(2)/2)*DB87*DE87*VLOOKUP('Données projet'!$B$13,Paramètres!$A$1:$I$89,3,0)*0.475*44/12</f>
        <v>2.1509257391657773E-7</v>
      </c>
      <c r="DI87" s="22">
        <f t="shared" si="69"/>
        <v>7.0288016349278886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-1.2505552149377763E-12</v>
      </c>
      <c r="O88" s="13">
        <f>N88*VLOOKUP('Données projet'!$B$9,Paramètres!$A$1:$I$89,3,0)*VLOOKUP('Données projet'!$B$9,Paramètres!$A$1:$I$89,5,0)</f>
        <v>-6.9906036515021697E-13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415.91544298418842</v>
      </c>
      <c r="T88" s="59">
        <f t="shared" si="88"/>
        <v>422.79312683312583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3.8424988758635688</v>
      </c>
      <c r="AA88" s="21">
        <f>EXP(-LN(2)/25)*AA87+(1-EXP(-LN(2)/25))/(LN(2)/25)*Calculateur!V88*Calculateur!X88*VLOOKUP('Données projet'!$B$9,Paramètres!$A$1:$I$89,3,0)*0.475*44/12</f>
        <v>8.4355065750011047</v>
      </c>
      <c r="AB88" s="21">
        <f>EXP(-LN(2)/2)*AB87+(1-EXP(-LN(2)/2))/(LN(2)/2)*V88*Y88*VLOOKUP('Données projet'!$B$9,Paramètres!$A$1:$I$89,3,0)*0.475*44/12</f>
        <v>1.9214690998080096E-7</v>
      </c>
      <c r="AC88" s="22">
        <f t="shared" si="57"/>
        <v>12.278005643011584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-1.1368683772161603E-13</v>
      </c>
      <c r="AJ88" s="13">
        <f>AI88*VLOOKUP('Données projet'!$B$10,Paramètres!$A$1:$I$89,3,0)*VLOOKUP('Données projet'!$B$10,Paramètres!$A$1:$I$89,5,0)</f>
        <v>-6.7984728957526396E-14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311.06126148520821</v>
      </c>
      <c r="AO88" s="59">
        <f t="shared" si="90"/>
        <v>321.1728368524748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1.1771206915700436</v>
      </c>
      <c r="AV88" s="21">
        <f>EXP(-LN(2)/25)*AV87+(1-EXP(-LN(2)/25))/(LN(2)/25)*Calculateur!AQ88*Calculateur!AS88*VLOOKUP('Données projet'!$B$10,Paramètres!$A$1:$I$89,3,0)*0.475*44/12</f>
        <v>4.6443259217825617</v>
      </c>
      <c r="AW88" s="21">
        <f>EXP(-LN(2)/2)*AW87+(1-EXP(-LN(2)/2))/(LN(2)/2)*AQ88*AT88*VLOOKUP('Données projet'!$B$10,Paramètres!$A$1:$I$89,3,0)*0.475*44/12</f>
        <v>1.5964875404614779E-7</v>
      </c>
      <c r="AX88" s="21">
        <f t="shared" si="60"/>
        <v>5.8214467730013588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-7.9580786405131221E-13</v>
      </c>
      <c r="BE88" s="13">
        <f>BD88*VLOOKUP('Données projet'!$B$11,Paramètres!$A$1:$I$89,3,0)*VLOOKUP('Données projet'!$B$11,Paramètres!$A$1:$I$89,5,0)</f>
        <v>-3.8278358260868117E-13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371.85813103419366</v>
      </c>
      <c r="BJ88" s="59">
        <f t="shared" si="92"/>
        <v>370.01698880104584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9.3520397786462848</v>
      </c>
      <c r="BQ88" s="21">
        <f>EXP(-LN(2)/25)*BQ87+(1-EXP(-LN(2)/25))/(LN(2)/25)*Calculateur!BL88*Calculateur!BN88*VLOOKUP('Données projet'!$B$11,Paramètres!$A$1:$I$89,3,0)*0.475*44/12</f>
        <v>9.8134261142611461</v>
      </c>
      <c r="BR88" s="21">
        <f>EXP(-LN(2)/2)*BR87+(1-EXP(-LN(2)/2))/(LN(2)/2)*BL88*BO88*VLOOKUP('Données projet'!$B$11,Paramètres!$A$1:$I$89,3,0)*0.475*44/12</f>
        <v>4.6605124937447181E-6</v>
      </c>
      <c r="BS88" s="22">
        <f t="shared" si="63"/>
        <v>19.165470553419926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5.6843418860808015E-13</v>
      </c>
      <c r="BZ88" s="13">
        <f>BY88*VLOOKUP('Données projet'!$B$12,Paramètres!$A$1:$I$89,3,0)*VLOOKUP('Données projet'!$B$12,Paramètres!$A$1:$I$89,5,0)</f>
        <v>3.1036506698001181E-13</v>
      </c>
      <c r="CA88" s="13">
        <f t="shared" si="93"/>
        <v>4.086682523110923E-12</v>
      </c>
      <c r="CB88" s="20">
        <f t="shared" si="64"/>
        <v>7.6581912194083782E-12</v>
      </c>
      <c r="CC88" s="59">
        <f t="shared" si="65"/>
        <v>293.33333333334099</v>
      </c>
      <c r="CD88" s="59">
        <f ca="1">AVERAGE(OFFSET($CC$3,0,0,'Données projet'!$E$12+1,1))-AVERAGE(OFFSET($H$3,0,0,'Données projet'!$E$12+1,1))</f>
        <v>248.1486444660062</v>
      </c>
      <c r="CE88" s="59">
        <f t="shared" si="94"/>
        <v>293.34458072322127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2.8660329881705389</v>
      </c>
      <c r="CL88" s="21">
        <f>EXP(-LN(2)/25)*CL87+(1-EXP(-LN(2)/25))/(LN(2)/25)*Calculateur!CG88*Calculateur!CI88*VLOOKUP('Données projet'!$B$12,Paramètres!$A$1:$I$89,3,0)*0.475*44/12</f>
        <v>7.4078933741741615</v>
      </c>
      <c r="CM88" s="21">
        <f>EXP(-LN(2)/2)*CM87+(1-EXP(-LN(2)/2))/(LN(2)/2)*CG88*CJ88*VLOOKUP('Données projet'!$B$12,Paramètres!$A$1:$I$89,3,0)*0.475*44/12</f>
        <v>1.3266998732500621E-7</v>
      </c>
      <c r="CN88" s="22">
        <f t="shared" si="66"/>
        <v>10.273926495014686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-2.2737367544323206E-13</v>
      </c>
      <c r="CU88" s="17">
        <f>CT88*VLOOKUP('Données projet'!$B$13,Paramètres!$A$1:$I$89,3,0)*VLOOKUP('Données projet'!$B$13,Paramètres!$A$1:$I$89,5,0)</f>
        <v>-1.8089849618263545E-13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314.94704727988847</v>
      </c>
      <c r="CZ88" s="59">
        <f t="shared" si="96"/>
        <v>366.49199094166454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1.3174978175212537</v>
      </c>
      <c r="DG88" s="21">
        <f>EXP(-LN(2)/25)*DG87+(1-EXP(-LN(2)/25))/(LN(2)/25)*Calculateur!DB88*Calculateur!DD88*VLOOKUP('Données projet'!$B$13,Paramètres!$A$1:$I$89,3,0)*0.475*44/12</f>
        <v>5.5294962271298171</v>
      </c>
      <c r="DH88" s="21">
        <f>EXP(-LN(2)/2)*DH87+(1-EXP(-LN(2)/2))/(LN(2)/2)*DB88*DE88*VLOOKUP('Données projet'!$B$13,Paramètres!$A$1:$I$89,3,0)*0.475*44/12</f>
        <v>1.5209341759928083E-7</v>
      </c>
      <c r="DI88" s="22">
        <f t="shared" si="69"/>
        <v>6.8469941967444887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-1.2505552149377763E-12</v>
      </c>
      <c r="O89" s="13">
        <f>N89*VLOOKUP('Données projet'!$B$9,Paramètres!$A$1:$I$89,3,0)*VLOOKUP('Données projet'!$B$9,Paramètres!$A$1:$I$89,5,0)</f>
        <v>-6.9906036515021697E-13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415.91544298418842</v>
      </c>
      <c r="T89" s="59">
        <f t="shared" si="88"/>
        <v>422.79312683312583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3.767149816600778</v>
      </c>
      <c r="AA89" s="21">
        <f>EXP(-LN(2)/25)*AA88+(1-EXP(-LN(2)/25))/(LN(2)/25)*Calculateur!V89*Calculateur!X89*VLOOKUP('Données projet'!$B$9,Paramètres!$A$1:$I$89,3,0)*0.475*44/12</f>
        <v>8.2048372041036881</v>
      </c>
      <c r="AB89" s="21">
        <f>EXP(-LN(2)/2)*AB88+(1-EXP(-LN(2)/2))/(LN(2)/2)*V89*Y89*VLOOKUP('Données projet'!$B$9,Paramètres!$A$1:$I$89,3,0)*0.475*44/12</f>
        <v>1.3586838303146547E-7</v>
      </c>
      <c r="AC89" s="22">
        <f t="shared" si="57"/>
        <v>11.971987156572849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-1.1368683772161603E-13</v>
      </c>
      <c r="AJ89" s="13">
        <f>AI89*VLOOKUP('Données projet'!$B$10,Paramètres!$A$1:$I$89,3,0)*VLOOKUP('Données projet'!$B$10,Paramètres!$A$1:$I$89,5,0)</f>
        <v>-6.7984728957526396E-14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311.06126148520821</v>
      </c>
      <c r="AO89" s="59">
        <f t="shared" si="90"/>
        <v>321.1728368524748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1.1540380727810831</v>
      </c>
      <c r="AV89" s="21">
        <f>EXP(-LN(2)/25)*AV88+(1-EXP(-LN(2)/25))/(LN(2)/25)*Calculateur!AQ89*Calculateur!AS89*VLOOKUP('Données projet'!$B$10,Paramètres!$A$1:$I$89,3,0)*0.475*44/12</f>
        <v>4.5173265852169324</v>
      </c>
      <c r="AW89" s="21">
        <f>EXP(-LN(2)/2)*AW88+(1-EXP(-LN(2)/2))/(LN(2)/2)*AQ89*AT89*VLOOKUP('Données projet'!$B$10,Paramètres!$A$1:$I$89,3,0)*0.475*44/12</f>
        <v>1.1288871659401437E-7</v>
      </c>
      <c r="AX89" s="21">
        <f t="shared" si="60"/>
        <v>5.6713647708867319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-7.9580786405131221E-13</v>
      </c>
      <c r="BE89" s="13">
        <f>BD89*VLOOKUP('Données projet'!$B$11,Paramètres!$A$1:$I$89,3,0)*VLOOKUP('Données projet'!$B$11,Paramètres!$A$1:$I$89,5,0)</f>
        <v>-3.8278358260868117E-13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371.85813103419366</v>
      </c>
      <c r="BJ89" s="59">
        <f t="shared" si="92"/>
        <v>370.01698880104584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9.1686519827680542</v>
      </c>
      <c r="BQ89" s="21">
        <f>EXP(-LN(2)/25)*BQ88+(1-EXP(-LN(2)/25))/(LN(2)/25)*Calculateur!BL89*Calculateur!BN89*VLOOKUP('Données projet'!$B$11,Paramètres!$A$1:$I$89,3,0)*0.475*44/12</f>
        <v>9.545077461101025</v>
      </c>
      <c r="BR89" s="21">
        <f>EXP(-LN(2)/2)*BR88+(1-EXP(-LN(2)/2))/(LN(2)/2)*BL89*BO89*VLOOKUP('Données projet'!$B$11,Paramètres!$A$1:$I$89,3,0)*0.475*44/12</f>
        <v>3.2954799881315174E-6</v>
      </c>
      <c r="BS89" s="22">
        <f t="shared" si="63"/>
        <v>18.713732739349066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5.6843418860808015E-13</v>
      </c>
      <c r="BZ89" s="13">
        <f>BY89*VLOOKUP('Données projet'!$B$12,Paramètres!$A$1:$I$89,3,0)*VLOOKUP('Données projet'!$B$12,Paramètres!$A$1:$I$89,5,0)</f>
        <v>3.1036506698001181E-13</v>
      </c>
      <c r="CA89" s="13">
        <f t="shared" si="93"/>
        <v>4.086682523110923E-12</v>
      </c>
      <c r="CB89" s="20">
        <f t="shared" si="64"/>
        <v>7.6581912194083782E-12</v>
      </c>
      <c r="CC89" s="59">
        <f t="shared" si="65"/>
        <v>293.33333333334099</v>
      </c>
      <c r="CD89" s="59">
        <f ca="1">AVERAGE(OFFSET($CC$3,0,0,'Données projet'!$E$12+1,1))-AVERAGE(OFFSET($H$3,0,0,'Données projet'!$E$12+1,1))</f>
        <v>248.1486444660062</v>
      </c>
      <c r="CE89" s="59">
        <f t="shared" si="94"/>
        <v>293.34458072322127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2.809831829380026</v>
      </c>
      <c r="CL89" s="21">
        <f>EXP(-LN(2)/25)*CL88+(1-EXP(-LN(2)/25))/(LN(2)/25)*Calculateur!CG89*Calculateur!CI89*VLOOKUP('Données projet'!$B$12,Paramètres!$A$1:$I$89,3,0)*0.475*44/12</f>
        <v>7.2053241402931878</v>
      </c>
      <c r="CM89" s="21">
        <f>EXP(-LN(2)/2)*CM88+(1-EXP(-LN(2)/2))/(LN(2)/2)*CG89*CJ89*VLOOKUP('Données projet'!$B$12,Paramètres!$A$1:$I$89,3,0)*0.475*44/12</f>
        <v>9.3811847697445202E-8</v>
      </c>
      <c r="CN89" s="22">
        <f t="shared" si="66"/>
        <v>10.01515606348506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-2.2737367544323206E-13</v>
      </c>
      <c r="CU89" s="17">
        <f>CT89*VLOOKUP('Données projet'!$B$13,Paramètres!$A$1:$I$89,3,0)*VLOOKUP('Données projet'!$B$13,Paramètres!$A$1:$I$89,5,0)</f>
        <v>-1.8089849618263545E-13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314.94704727988847</v>
      </c>
      <c r="CZ89" s="59">
        <f t="shared" si="96"/>
        <v>366.49199094166454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1.2916624889139823</v>
      </c>
      <c r="DG89" s="21">
        <f>EXP(-LN(2)/25)*DG88+(1-EXP(-LN(2)/25))/(LN(2)/25)*Calculateur!DB89*Calculateur!DD89*VLOOKUP('Données projet'!$B$13,Paramètres!$A$1:$I$89,3,0)*0.475*44/12</f>
        <v>5.3782918620153835</v>
      </c>
      <c r="DH89" s="21">
        <f>EXP(-LN(2)/2)*DH88+(1-EXP(-LN(2)/2))/(LN(2)/2)*DB89*DE89*VLOOKUP('Données projet'!$B$13,Paramètres!$A$1:$I$89,3,0)*0.475*44/12</f>
        <v>1.0754628695828887E-7</v>
      </c>
      <c r="DI89" s="22">
        <f t="shared" si="69"/>
        <v>6.6699544584756527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-1.2505552149377763E-12</v>
      </c>
      <c r="O90" s="13">
        <f>N90*VLOOKUP('Données projet'!$B$9,Paramètres!$A$1:$I$89,3,0)*VLOOKUP('Données projet'!$B$9,Paramètres!$A$1:$I$89,5,0)</f>
        <v>-6.9906036515021697E-13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415.91544298418842</v>
      </c>
      <c r="T90" s="59">
        <f t="shared" si="88"/>
        <v>422.79312683312583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3.6932783064317425</v>
      </c>
      <c r="AA90" s="21">
        <f>EXP(-LN(2)/25)*AA89+(1-EXP(-LN(2)/25))/(LN(2)/25)*Calculateur!V90*Calculateur!X90*VLOOKUP('Données projet'!$B$9,Paramètres!$A$1:$I$89,3,0)*0.475*44/12</f>
        <v>7.9804754992838367</v>
      </c>
      <c r="AB90" s="21">
        <f>EXP(-LN(2)/2)*AB89+(1-EXP(-LN(2)/2))/(LN(2)/2)*V90*Y90*VLOOKUP('Données projet'!$B$9,Paramètres!$A$1:$I$89,3,0)*0.475*44/12</f>
        <v>9.6073454990400482E-8</v>
      </c>
      <c r="AC90" s="22">
        <f t="shared" si="57"/>
        <v>11.673753901789034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-1.1368683772161603E-13</v>
      </c>
      <c r="AJ90" s="13">
        <f>AI90*VLOOKUP('Données projet'!$B$10,Paramètres!$A$1:$I$89,3,0)*VLOOKUP('Données projet'!$B$10,Paramètres!$A$1:$I$89,5,0)</f>
        <v>-6.7984728957526396E-14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311.06126148520821</v>
      </c>
      <c r="AO90" s="59">
        <f t="shared" si="90"/>
        <v>321.1728368524748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1.1314080900675667</v>
      </c>
      <c r="AV90" s="21">
        <f>EXP(-LN(2)/25)*AV89+(1-EXP(-LN(2)/25))/(LN(2)/25)*Calculateur!AQ90*Calculateur!AS90*VLOOKUP('Données projet'!$B$10,Paramètres!$A$1:$I$89,3,0)*0.475*44/12</f>
        <v>4.3938000521882952</v>
      </c>
      <c r="AW90" s="21">
        <f>EXP(-LN(2)/2)*AW89+(1-EXP(-LN(2)/2))/(LN(2)/2)*AQ90*AT90*VLOOKUP('Données projet'!$B$10,Paramètres!$A$1:$I$89,3,0)*0.475*44/12</f>
        <v>7.9824377023073897E-8</v>
      </c>
      <c r="AX90" s="21">
        <f t="shared" si="60"/>
        <v>5.5252082220802388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-7.9580786405131221E-13</v>
      </c>
      <c r="BE90" s="13">
        <f>BD90*VLOOKUP('Données projet'!$B$11,Paramètres!$A$1:$I$89,3,0)*VLOOKUP('Données projet'!$B$11,Paramètres!$A$1:$I$89,5,0)</f>
        <v>-3.8278358260868117E-13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371.85813103419366</v>
      </c>
      <c r="BJ90" s="59">
        <f t="shared" si="92"/>
        <v>370.01698880104584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8.9888603097114856</v>
      </c>
      <c r="BQ90" s="21">
        <f>EXP(-LN(2)/25)*BQ89+(1-EXP(-LN(2)/25))/(LN(2)/25)*Calculateur!BL90*Calculateur!BN90*VLOOKUP('Données projet'!$B$11,Paramètres!$A$1:$I$89,3,0)*0.475*44/12</f>
        <v>9.284066815973409</v>
      </c>
      <c r="BR90" s="21">
        <f>EXP(-LN(2)/2)*BR89+(1-EXP(-LN(2)/2))/(LN(2)/2)*BL90*BO90*VLOOKUP('Données projet'!$B$11,Paramètres!$A$1:$I$89,3,0)*0.475*44/12</f>
        <v>2.3302562468723591E-6</v>
      </c>
      <c r="BS90" s="22">
        <f t="shared" si="63"/>
        <v>18.272929455941142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5.6843418860808015E-13</v>
      </c>
      <c r="BZ90" s="13">
        <f>BY90*VLOOKUP('Données projet'!$B$12,Paramètres!$A$1:$I$89,3,0)*VLOOKUP('Données projet'!$B$12,Paramètres!$A$1:$I$89,5,0)</f>
        <v>3.1036506698001181E-13</v>
      </c>
      <c r="CA90" s="13">
        <f t="shared" si="93"/>
        <v>4.086682523110923E-12</v>
      </c>
      <c r="CB90" s="20">
        <f t="shared" si="64"/>
        <v>7.6581912194083782E-12</v>
      </c>
      <c r="CC90" s="59">
        <f t="shared" si="65"/>
        <v>293.33333333334099</v>
      </c>
      <c r="CD90" s="59">
        <f ca="1">AVERAGE(OFFSET($CC$3,0,0,'Données projet'!$E$12+1,1))-AVERAGE(OFFSET($H$3,0,0,'Données projet'!$E$12+1,1))</f>
        <v>248.1486444660062</v>
      </c>
      <c r="CE90" s="59">
        <f t="shared" si="94"/>
        <v>293.34458072322127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2.754732741034073</v>
      </c>
      <c r="CL90" s="21">
        <f>EXP(-LN(2)/25)*CL89+(1-EXP(-LN(2)/25))/(LN(2)/25)*Calculateur!CG90*Calculateur!CI90*VLOOKUP('Données projet'!$B$12,Paramètres!$A$1:$I$89,3,0)*0.475*44/12</f>
        <v>7.0082941727653418</v>
      </c>
      <c r="CM90" s="21">
        <f>EXP(-LN(2)/2)*CM89+(1-EXP(-LN(2)/2))/(LN(2)/2)*CG90*CJ90*VLOOKUP('Données projet'!$B$12,Paramètres!$A$1:$I$89,3,0)*0.475*44/12</f>
        <v>6.6334993662503106E-8</v>
      </c>
      <c r="CN90" s="22">
        <f t="shared" si="66"/>
        <v>9.7630269801344092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-2.2737367544323206E-13</v>
      </c>
      <c r="CU90" s="17">
        <f>CT90*VLOOKUP('Données projet'!$B$13,Paramètres!$A$1:$I$89,3,0)*VLOOKUP('Données projet'!$B$13,Paramètres!$A$1:$I$89,5,0)</f>
        <v>-1.8089849618263545E-13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314.94704727988847</v>
      </c>
      <c r="CZ90" s="59">
        <f t="shared" si="96"/>
        <v>366.49199094166454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1.2663337753427049</v>
      </c>
      <c r="DG90" s="21">
        <f>EXP(-LN(2)/25)*DG89+(1-EXP(-LN(2)/25))/(LN(2)/25)*Calculateur!DB90*Calculateur!DD90*VLOOKUP('Données projet'!$B$13,Paramètres!$A$1:$I$89,3,0)*0.475*44/12</f>
        <v>5.2312221882164964</v>
      </c>
      <c r="DH90" s="21">
        <f>EXP(-LN(2)/2)*DH89+(1-EXP(-LN(2)/2))/(LN(2)/2)*DB90*DE90*VLOOKUP('Données projet'!$B$13,Paramètres!$A$1:$I$89,3,0)*0.475*44/12</f>
        <v>7.6046708799640414E-8</v>
      </c>
      <c r="DI90" s="22">
        <f t="shared" si="69"/>
        <v>6.49755603960591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-1.2505552149377763E-12</v>
      </c>
      <c r="O91" s="13">
        <f>N91*VLOOKUP('Données projet'!$B$9,Paramètres!$A$1:$I$89,3,0)*VLOOKUP('Données projet'!$B$9,Paramètres!$A$1:$I$89,5,0)</f>
        <v>-6.9906036515021697E-13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415.91544298418842</v>
      </c>
      <c r="T91" s="59">
        <f t="shared" si="88"/>
        <v>422.79312683312583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3.6208553715199496</v>
      </c>
      <c r="AA91" s="21">
        <f>EXP(-LN(2)/25)*AA90+(1-EXP(-LN(2)/25))/(LN(2)/25)*Calculateur!V91*Calculateur!X91*VLOOKUP('Données projet'!$B$9,Paramètres!$A$1:$I$89,3,0)*0.475*44/12</f>
        <v>7.7622489770809535</v>
      </c>
      <c r="AB91" s="21">
        <f>EXP(-LN(2)/2)*AB90+(1-EXP(-LN(2)/2))/(LN(2)/2)*V91*Y91*VLOOKUP('Données projet'!$B$9,Paramètres!$A$1:$I$89,3,0)*0.475*44/12</f>
        <v>6.7934191515732735E-8</v>
      </c>
      <c r="AC91" s="22">
        <f t="shared" si="57"/>
        <v>11.383104416535094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-1.1368683772161603E-13</v>
      </c>
      <c r="AJ91" s="13">
        <f>AI91*VLOOKUP('Données projet'!$B$10,Paramètres!$A$1:$I$89,3,0)*VLOOKUP('Données projet'!$B$10,Paramètres!$A$1:$I$89,5,0)</f>
        <v>-6.7984728957526396E-14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311.06126148520821</v>
      </c>
      <c r="AO91" s="59">
        <f t="shared" si="90"/>
        <v>321.1728368524748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1.1092218675121359</v>
      </c>
      <c r="AV91" s="21">
        <f>EXP(-LN(2)/25)*AV90+(1-EXP(-LN(2)/25))/(LN(2)/25)*Calculateur!AQ91*Calculateur!AS91*VLOOKUP('Données projet'!$B$10,Paramètres!$A$1:$I$89,3,0)*0.475*44/12</f>
        <v>4.2736513587013034</v>
      </c>
      <c r="AW91" s="21">
        <f>EXP(-LN(2)/2)*AW90+(1-EXP(-LN(2)/2))/(LN(2)/2)*AQ91*AT91*VLOOKUP('Données projet'!$B$10,Paramètres!$A$1:$I$89,3,0)*0.475*44/12</f>
        <v>5.6444358297007187E-8</v>
      </c>
      <c r="AX91" s="21">
        <f t="shared" si="60"/>
        <v>5.3828732826577976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-7.9580786405131221E-13</v>
      </c>
      <c r="BE91" s="13">
        <f>BD91*VLOOKUP('Données projet'!$B$11,Paramètres!$A$1:$I$89,3,0)*VLOOKUP('Données projet'!$B$11,Paramètres!$A$1:$I$89,5,0)</f>
        <v>-3.8278358260868117E-13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371.85813103419366</v>
      </c>
      <c r="BJ91" s="59">
        <f t="shared" si="92"/>
        <v>370.01698880104584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8.8125942417014649</v>
      </c>
      <c r="BQ91" s="21">
        <f>EXP(-LN(2)/25)*BQ90+(1-EXP(-LN(2)/25))/(LN(2)/25)*Calculateur!BL91*Calculateur!BN91*VLOOKUP('Données projet'!$B$11,Paramètres!$A$1:$I$89,3,0)*0.475*44/12</f>
        <v>9.0301935206627615</v>
      </c>
      <c r="BR91" s="21">
        <f>EXP(-LN(2)/2)*BR90+(1-EXP(-LN(2)/2))/(LN(2)/2)*BL91*BO91*VLOOKUP('Données projet'!$B$11,Paramètres!$A$1:$I$89,3,0)*0.475*44/12</f>
        <v>1.6477399940657587E-6</v>
      </c>
      <c r="BS91" s="22">
        <f t="shared" si="63"/>
        <v>17.842789410104217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5.6843418860808015E-13</v>
      </c>
      <c r="BZ91" s="13">
        <f>BY91*VLOOKUP('Données projet'!$B$12,Paramètres!$A$1:$I$89,3,0)*VLOOKUP('Données projet'!$B$12,Paramètres!$A$1:$I$89,5,0)</f>
        <v>3.1036506698001181E-13</v>
      </c>
      <c r="CA91" s="13">
        <f t="shared" si="93"/>
        <v>4.086682523110923E-12</v>
      </c>
      <c r="CB91" s="20">
        <f t="shared" si="64"/>
        <v>7.6581912194083782E-12</v>
      </c>
      <c r="CC91" s="59">
        <f t="shared" si="65"/>
        <v>293.33333333334099</v>
      </c>
      <c r="CD91" s="59">
        <f ca="1">AVERAGE(OFFSET($CC$3,0,0,'Données projet'!$E$12+1,1))-AVERAGE(OFFSET($H$3,0,0,'Données projet'!$E$12+1,1))</f>
        <v>248.1486444660062</v>
      </c>
      <c r="CE91" s="59">
        <f t="shared" si="94"/>
        <v>293.34458072322127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2.7007141122034586</v>
      </c>
      <c r="CL91" s="21">
        <f>EXP(-LN(2)/25)*CL90+(1-EXP(-LN(2)/25))/(LN(2)/25)*Calculateur!CG91*Calculateur!CI91*VLOOKUP('Données projet'!$B$12,Paramètres!$A$1:$I$89,3,0)*0.475*44/12</f>
        <v>6.816652000060901</v>
      </c>
      <c r="CM91" s="21">
        <f>EXP(-LN(2)/2)*CM90+(1-EXP(-LN(2)/2))/(LN(2)/2)*CG91*CJ91*VLOOKUP('Données projet'!$B$12,Paramètres!$A$1:$I$89,3,0)*0.475*44/12</f>
        <v>4.6905923848722601E-8</v>
      </c>
      <c r="CN91" s="22">
        <f t="shared" si="66"/>
        <v>9.5173661591702832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-2.2737367544323206E-13</v>
      </c>
      <c r="CU91" s="17">
        <f>CT91*VLOOKUP('Données projet'!$B$13,Paramètres!$A$1:$I$89,3,0)*VLOOKUP('Données projet'!$B$13,Paramètres!$A$1:$I$89,5,0)</f>
        <v>-1.8089849618263545E-13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314.94704727988847</v>
      </c>
      <c r="CZ91" s="59">
        <f t="shared" si="96"/>
        <v>366.49199094166454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1.2415017423955705</v>
      </c>
      <c r="DG91" s="21">
        <f>EXP(-LN(2)/25)*DG90+(1-EXP(-LN(2)/25))/(LN(2)/25)*Calculateur!DB91*Calculateur!DD91*VLOOKUP('Données projet'!$B$13,Paramètres!$A$1:$I$89,3,0)*0.475*44/12</f>
        <v>5.088174142381698</v>
      </c>
      <c r="DH91" s="21">
        <f>EXP(-LN(2)/2)*DH90+(1-EXP(-LN(2)/2))/(LN(2)/2)*DB91*DE91*VLOOKUP('Données projet'!$B$13,Paramètres!$A$1:$I$89,3,0)*0.475*44/12</f>
        <v>5.3773143479144433E-8</v>
      </c>
      <c r="DI91" s="22">
        <f t="shared" si="69"/>
        <v>6.3296759385504116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-1.2505552149377763E-12</v>
      </c>
      <c r="O92" s="13">
        <f>N92*VLOOKUP('Données projet'!$B$9,Paramètres!$A$1:$I$89,3,0)*VLOOKUP('Données projet'!$B$9,Paramètres!$A$1:$I$89,5,0)</f>
        <v>-6.9906036515021697E-13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415.91544298418842</v>
      </c>
      <c r="T92" s="59">
        <f t="shared" si="88"/>
        <v>422.79312683312583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3.5498526061881486</v>
      </c>
      <c r="AA92" s="21">
        <f>EXP(-LN(2)/25)*AA91+(1-EXP(-LN(2)/25))/(LN(2)/25)*Calculateur!V92*Calculateur!X92*VLOOKUP('Données projet'!$B$9,Paramètres!$A$1:$I$89,3,0)*0.475*44/12</f>
        <v>7.549989870603742</v>
      </c>
      <c r="AB92" s="21">
        <f>EXP(-LN(2)/2)*AB91+(1-EXP(-LN(2)/2))/(LN(2)/2)*V92*Y92*VLOOKUP('Données projet'!$B$9,Paramètres!$A$1:$I$89,3,0)*0.475*44/12</f>
        <v>4.8036727495200241E-8</v>
      </c>
      <c r="AC92" s="22">
        <f t="shared" si="57"/>
        <v>11.099842524828619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-1.1368683772161603E-13</v>
      </c>
      <c r="AJ92" s="13">
        <f>AI92*VLOOKUP('Données projet'!$B$10,Paramètres!$A$1:$I$89,3,0)*VLOOKUP('Données projet'!$B$10,Paramètres!$A$1:$I$89,5,0)</f>
        <v>-6.7984728957526396E-14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311.06126148520821</v>
      </c>
      <c r="AO92" s="59">
        <f t="shared" si="90"/>
        <v>321.1728368524748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1.0874707032487576</v>
      </c>
      <c r="AV92" s="21">
        <f>EXP(-LN(2)/25)*AV91+(1-EXP(-LN(2)/25))/(LN(2)/25)*Calculateur!AQ92*Calculateur!AS92*VLOOKUP('Données projet'!$B$10,Paramètres!$A$1:$I$89,3,0)*0.475*44/12</f>
        <v>4.1567881375560587</v>
      </c>
      <c r="AW92" s="21">
        <f>EXP(-LN(2)/2)*AW91+(1-EXP(-LN(2)/2))/(LN(2)/2)*AQ92*AT92*VLOOKUP('Données projet'!$B$10,Paramètres!$A$1:$I$89,3,0)*0.475*44/12</f>
        <v>3.9912188511536949E-8</v>
      </c>
      <c r="AX92" s="21">
        <f t="shared" si="60"/>
        <v>5.2442588807170045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-7.9580786405131221E-13</v>
      </c>
      <c r="BE92" s="13">
        <f>BD92*VLOOKUP('Données projet'!$B$11,Paramètres!$A$1:$I$89,3,0)*VLOOKUP('Données projet'!$B$11,Paramètres!$A$1:$I$89,5,0)</f>
        <v>-3.8278358260868117E-13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371.85813103419366</v>
      </c>
      <c r="BJ92" s="59">
        <f t="shared" si="92"/>
        <v>370.01698880104584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8.6397846437734351</v>
      </c>
      <c r="BQ92" s="21">
        <f>EXP(-LN(2)/25)*BQ91+(1-EXP(-LN(2)/25))/(LN(2)/25)*Calculateur!BL92*Calculateur!BN92*VLOOKUP('Données projet'!$B$11,Paramètres!$A$1:$I$89,3,0)*0.475*44/12</f>
        <v>8.7832624039630005</v>
      </c>
      <c r="BR92" s="21">
        <f>EXP(-LN(2)/2)*BR91+(1-EXP(-LN(2)/2))/(LN(2)/2)*BL92*BO92*VLOOKUP('Données projet'!$B$11,Paramètres!$A$1:$I$89,3,0)*0.475*44/12</f>
        <v>1.1651281234361795E-6</v>
      </c>
      <c r="BS92" s="22">
        <f t="shared" si="63"/>
        <v>17.423048212864558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5.6843418860808015E-13</v>
      </c>
      <c r="BZ92" s="13">
        <f>BY92*VLOOKUP('Données projet'!$B$12,Paramètres!$A$1:$I$89,3,0)*VLOOKUP('Données projet'!$B$12,Paramètres!$A$1:$I$89,5,0)</f>
        <v>3.1036506698001181E-13</v>
      </c>
      <c r="CA92" s="13">
        <f t="shared" si="93"/>
        <v>4.086682523110923E-12</v>
      </c>
      <c r="CB92" s="20">
        <f t="shared" si="64"/>
        <v>7.6581912194083782E-12</v>
      </c>
      <c r="CC92" s="59">
        <f t="shared" si="65"/>
        <v>293.33333333334099</v>
      </c>
      <c r="CD92" s="59">
        <f ca="1">AVERAGE(OFFSET($CC$3,0,0,'Données projet'!$E$12+1,1))-AVERAGE(OFFSET($H$3,0,0,'Données projet'!$E$12+1,1))</f>
        <v>248.1486444660062</v>
      </c>
      <c r="CE92" s="59">
        <f t="shared" si="94"/>
        <v>293.34458072322127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2.6477547557361025</v>
      </c>
      <c r="CL92" s="21">
        <f>EXP(-LN(2)/25)*CL91+(1-EXP(-LN(2)/25))/(LN(2)/25)*Calculateur!CG92*Calculateur!CI92*VLOOKUP('Données projet'!$B$12,Paramètres!$A$1:$I$89,3,0)*0.475*44/12</f>
        <v>6.6302502926470863</v>
      </c>
      <c r="CM92" s="21">
        <f>EXP(-LN(2)/2)*CM91+(1-EXP(-LN(2)/2))/(LN(2)/2)*CG92*CJ92*VLOOKUP('Données projet'!$B$12,Paramètres!$A$1:$I$89,3,0)*0.475*44/12</f>
        <v>3.3167496831251553E-8</v>
      </c>
      <c r="CN92" s="22">
        <f t="shared" si="66"/>
        <v>9.2780050815506865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-2.2737367544323206E-13</v>
      </c>
      <c r="CU92" s="17">
        <f>CT92*VLOOKUP('Données projet'!$B$13,Paramètres!$A$1:$I$89,3,0)*VLOOKUP('Données projet'!$B$13,Paramètres!$A$1:$I$89,5,0)</f>
        <v>-1.8089849618263545E-13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314.94704727988847</v>
      </c>
      <c r="CZ92" s="59">
        <f t="shared" si="96"/>
        <v>366.49199094166454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1.217156650468485</v>
      </c>
      <c r="DG92" s="21">
        <f>EXP(-LN(2)/25)*DG91+(1-EXP(-LN(2)/25))/(LN(2)/25)*Calculateur!DB92*Calculateur!DD92*VLOOKUP('Données projet'!$B$13,Paramètres!$A$1:$I$89,3,0)*0.475*44/12</f>
        <v>4.9490377528828216</v>
      </c>
      <c r="DH92" s="21">
        <f>EXP(-LN(2)/2)*DH91+(1-EXP(-LN(2)/2))/(LN(2)/2)*DB92*DE92*VLOOKUP('Données projet'!$B$13,Paramètres!$A$1:$I$89,3,0)*0.475*44/12</f>
        <v>3.8023354399820207E-8</v>
      </c>
      <c r="DI92" s="22">
        <f t="shared" si="69"/>
        <v>6.1661944413746612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-1.2505552149377763E-12</v>
      </c>
      <c r="O93" s="13">
        <f>N93*VLOOKUP('Données projet'!$B$9,Paramètres!$A$1:$I$89,3,0)*VLOOKUP('Données projet'!$B$9,Paramètres!$A$1:$I$89,5,0)</f>
        <v>-6.9906036515021697E-13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415.91544298418842</v>
      </c>
      <c r="T93" s="59">
        <f t="shared" si="88"/>
        <v>422.79312683312583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3.4802421617770936</v>
      </c>
      <c r="AA93" s="21">
        <f>EXP(-LN(2)/25)*AA92+(1-EXP(-LN(2)/25))/(LN(2)/25)*Calculateur!V93*Calculateur!X93*VLOOKUP('Données projet'!$B$9,Paramètres!$A$1:$I$89,3,0)*0.475*44/12</f>
        <v>7.343535000555371</v>
      </c>
      <c r="AB93" s="21">
        <f>EXP(-LN(2)/2)*AB92+(1-EXP(-LN(2)/2))/(LN(2)/2)*V93*Y93*VLOOKUP('Données projet'!$B$9,Paramètres!$A$1:$I$89,3,0)*0.475*44/12</f>
        <v>3.3967095757866367E-8</v>
      </c>
      <c r="AC93" s="22">
        <f t="shared" si="57"/>
        <v>10.823777196299561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-1.1368683772161603E-13</v>
      </c>
      <c r="AJ93" s="13">
        <f>AI93*VLOOKUP('Données projet'!$B$10,Paramètres!$A$1:$I$89,3,0)*VLOOKUP('Données projet'!$B$10,Paramètres!$A$1:$I$89,5,0)</f>
        <v>-6.7984728957526396E-14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311.06126148520821</v>
      </c>
      <c r="AO93" s="59">
        <f t="shared" si="90"/>
        <v>321.1728368524748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1.0661460660496838</v>
      </c>
      <c r="AV93" s="21">
        <f>EXP(-LN(2)/25)*AV92+(1-EXP(-LN(2)/25))/(LN(2)/25)*Calculateur!AQ93*Calculateur!AS93*VLOOKUP('Données projet'!$B$10,Paramètres!$A$1:$I$89,3,0)*0.475*44/12</f>
        <v>4.0431205473386003</v>
      </c>
      <c r="AW93" s="21">
        <f>EXP(-LN(2)/2)*AW92+(1-EXP(-LN(2)/2))/(LN(2)/2)*AQ93*AT93*VLOOKUP('Données projet'!$B$10,Paramètres!$A$1:$I$89,3,0)*0.475*44/12</f>
        <v>2.8222179148503593E-8</v>
      </c>
      <c r="AX93" s="21">
        <f t="shared" si="60"/>
        <v>5.1092666416104633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-7.9580786405131221E-13</v>
      </c>
      <c r="BE93" s="13">
        <f>BD93*VLOOKUP('Données projet'!$B$11,Paramètres!$A$1:$I$89,3,0)*VLOOKUP('Données projet'!$B$11,Paramètres!$A$1:$I$89,5,0)</f>
        <v>-3.8278358260868117E-13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371.85813103419366</v>
      </c>
      <c r="BJ93" s="59">
        <f t="shared" si="92"/>
        <v>370.01698880104584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8.4703637366573261</v>
      </c>
      <c r="BQ93" s="21">
        <f>EXP(-LN(2)/25)*BQ92+(1-EXP(-LN(2)/25))/(LN(2)/25)*Calculateur!BL93*Calculateur!BN93*VLOOKUP('Données projet'!$B$11,Paramètres!$A$1:$I$89,3,0)*0.475*44/12</f>
        <v>8.5430836316349374</v>
      </c>
      <c r="BR93" s="21">
        <f>EXP(-LN(2)/2)*BR92+(1-EXP(-LN(2)/2))/(LN(2)/2)*BL93*BO93*VLOOKUP('Données projet'!$B$11,Paramètres!$A$1:$I$89,3,0)*0.475*44/12</f>
        <v>8.2386999703287935E-7</v>
      </c>
      <c r="BS93" s="22">
        <f t="shared" si="63"/>
        <v>17.013448192162258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5.6843418860808015E-13</v>
      </c>
      <c r="BZ93" s="13">
        <f>BY93*VLOOKUP('Données projet'!$B$12,Paramètres!$A$1:$I$89,3,0)*VLOOKUP('Données projet'!$B$12,Paramètres!$A$1:$I$89,5,0)</f>
        <v>3.1036506698001181E-13</v>
      </c>
      <c r="CA93" s="13">
        <f t="shared" si="93"/>
        <v>4.086682523110923E-12</v>
      </c>
      <c r="CB93" s="20">
        <f t="shared" si="64"/>
        <v>7.6581912194083782E-12</v>
      </c>
      <c r="CC93" s="59">
        <f t="shared" si="65"/>
        <v>293.33333333334099</v>
      </c>
      <c r="CD93" s="59">
        <f ca="1">AVERAGE(OFFSET($CC$3,0,0,'Données projet'!$E$12+1,1))-AVERAGE(OFFSET($H$3,0,0,'Données projet'!$E$12+1,1))</f>
        <v>248.1486444660062</v>
      </c>
      <c r="CE93" s="59">
        <f t="shared" si="94"/>
        <v>293.34458072322127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2.5958338999470536</v>
      </c>
      <c r="CL93" s="21">
        <f>EXP(-LN(2)/25)*CL92+(1-EXP(-LN(2)/25))/(LN(2)/25)*Calculateur!CG93*Calculateur!CI93*VLOOKUP('Données projet'!$B$12,Paramètres!$A$1:$I$89,3,0)*0.475*44/12</f>
        <v>6.4489457497249427</v>
      </c>
      <c r="CM93" s="21">
        <f>EXP(-LN(2)/2)*CM92+(1-EXP(-LN(2)/2))/(LN(2)/2)*CG93*CJ93*VLOOKUP('Données projet'!$B$12,Paramètres!$A$1:$I$89,3,0)*0.475*44/12</f>
        <v>2.3452961924361301E-8</v>
      </c>
      <c r="CN93" s="22">
        <f t="shared" si="66"/>
        <v>9.0447796731249586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-2.2737367544323206E-13</v>
      </c>
      <c r="CU93" s="17">
        <f>CT93*VLOOKUP('Données projet'!$B$13,Paramètres!$A$1:$I$89,3,0)*VLOOKUP('Données projet'!$B$13,Paramètres!$A$1:$I$89,5,0)</f>
        <v>-1.8089849618263545E-13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314.94704727988847</v>
      </c>
      <c r="CZ93" s="59">
        <f t="shared" si="96"/>
        <v>366.49199094166454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1.1932889509450497</v>
      </c>
      <c r="DG93" s="21">
        <f>EXP(-LN(2)/25)*DG92+(1-EXP(-LN(2)/25))/(LN(2)/25)*Calculateur!DB93*Calculateur!DD93*VLOOKUP('Données projet'!$B$13,Paramètres!$A$1:$I$89,3,0)*0.475*44/12</f>
        <v>4.8137060552716564</v>
      </c>
      <c r="DH93" s="21">
        <f>EXP(-LN(2)/2)*DH92+(1-EXP(-LN(2)/2))/(LN(2)/2)*DB93*DE93*VLOOKUP('Données projet'!$B$13,Paramètres!$A$1:$I$89,3,0)*0.475*44/12</f>
        <v>2.6886571739572217E-8</v>
      </c>
      <c r="DI93" s="22">
        <f t="shared" si="69"/>
        <v>6.0069950331032782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-1.2505552149377763E-12</v>
      </c>
      <c r="O94" s="13">
        <f>N94*VLOOKUP('Données projet'!$B$9,Paramètres!$A$1:$I$89,3,0)*VLOOKUP('Données projet'!$B$9,Paramètres!$A$1:$I$89,5,0)</f>
        <v>-6.9906036515021697E-13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415.91544298418842</v>
      </c>
      <c r="T94" s="59">
        <f t="shared" si="88"/>
        <v>422.79312683312583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3.4119967357227603</v>
      </c>
      <c r="AA94" s="21">
        <f>EXP(-LN(2)/25)*AA93+(1-EXP(-LN(2)/25))/(LN(2)/25)*Calculateur!V94*Calculateur!X94*VLOOKUP('Données projet'!$B$9,Paramètres!$A$1:$I$89,3,0)*0.475*44/12</f>
        <v>7.1427256497854623</v>
      </c>
      <c r="AB94" s="21">
        <f>EXP(-LN(2)/2)*AB93+(1-EXP(-LN(2)/2))/(LN(2)/2)*V94*Y94*VLOOKUP('Données projet'!$B$9,Paramètres!$A$1:$I$89,3,0)*0.475*44/12</f>
        <v>2.401836374760012E-8</v>
      </c>
      <c r="AC94" s="22">
        <f t="shared" si="57"/>
        <v>10.554722409526587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-1.1368683772161603E-13</v>
      </c>
      <c r="AJ94" s="13">
        <f>AI94*VLOOKUP('Données projet'!$B$10,Paramètres!$A$1:$I$89,3,0)*VLOOKUP('Données projet'!$B$10,Paramètres!$A$1:$I$89,5,0)</f>
        <v>-6.7984728957526396E-14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311.06126148520821</v>
      </c>
      <c r="AO94" s="59">
        <f t="shared" si="90"/>
        <v>321.1728368524748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1.0452395919793394</v>
      </c>
      <c r="AV94" s="21">
        <f>EXP(-LN(2)/25)*AV93+(1-EXP(-LN(2)/25))/(LN(2)/25)*Calculateur!AQ94*Calculateur!AS94*VLOOKUP('Données projet'!$B$10,Paramètres!$A$1:$I$89,3,0)*0.475*44/12</f>
        <v>3.9325612033531572</v>
      </c>
      <c r="AW94" s="21">
        <f>EXP(-LN(2)/2)*AW93+(1-EXP(-LN(2)/2))/(LN(2)/2)*AQ94*AT94*VLOOKUP('Données projet'!$B$10,Paramètres!$A$1:$I$89,3,0)*0.475*44/12</f>
        <v>1.9956094255768474E-8</v>
      </c>
      <c r="AX94" s="21">
        <f t="shared" si="60"/>
        <v>4.9778008152885915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-7.9580786405131221E-13</v>
      </c>
      <c r="BE94" s="13">
        <f>BD94*VLOOKUP('Données projet'!$B$11,Paramètres!$A$1:$I$89,3,0)*VLOOKUP('Données projet'!$B$11,Paramètres!$A$1:$I$89,5,0)</f>
        <v>-3.8278358260868117E-13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371.85813103419366</v>
      </c>
      <c r="BJ94" s="59">
        <f t="shared" si="92"/>
        <v>370.01698880104584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8.3042650701932139</v>
      </c>
      <c r="BQ94" s="21">
        <f>EXP(-LN(2)/25)*BQ93+(1-EXP(-LN(2)/25))/(LN(2)/25)*Calculateur!BL94*Calculateur!BN94*VLOOKUP('Données projet'!$B$11,Paramètres!$A$1:$I$89,3,0)*0.475*44/12</f>
        <v>8.309472560466638</v>
      </c>
      <c r="BR94" s="21">
        <f>EXP(-LN(2)/2)*BR93+(1-EXP(-LN(2)/2))/(LN(2)/2)*BL94*BO94*VLOOKUP('Données projet'!$B$11,Paramètres!$A$1:$I$89,3,0)*0.475*44/12</f>
        <v>5.8256406171808977E-7</v>
      </c>
      <c r="BS94" s="22">
        <f t="shared" si="63"/>
        <v>16.613738213223915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5.6843418860808015E-13</v>
      </c>
      <c r="BZ94" s="13">
        <f>BY94*VLOOKUP('Données projet'!$B$12,Paramètres!$A$1:$I$89,3,0)*VLOOKUP('Données projet'!$B$12,Paramètres!$A$1:$I$89,5,0)</f>
        <v>3.1036506698001181E-13</v>
      </c>
      <c r="CA94" s="13">
        <f t="shared" si="93"/>
        <v>4.086682523110923E-12</v>
      </c>
      <c r="CB94" s="20">
        <f t="shared" si="64"/>
        <v>7.6581912194083782E-12</v>
      </c>
      <c r="CC94" s="59">
        <f t="shared" si="65"/>
        <v>293.33333333334099</v>
      </c>
      <c r="CD94" s="59">
        <f ca="1">AVERAGE(OFFSET($CC$3,0,0,'Données projet'!$E$12+1,1))-AVERAGE(OFFSET($H$3,0,0,'Données projet'!$E$12+1,1))</f>
        <v>248.1486444660062</v>
      </c>
      <c r="CE94" s="59">
        <f t="shared" si="94"/>
        <v>293.34458072322127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2.5449311804714325</v>
      </c>
      <c r="CL94" s="21">
        <f>EXP(-LN(2)/25)*CL93+(1-EXP(-LN(2)/25))/(LN(2)/25)*Calculateur!CG94*Calculateur!CI94*VLOOKUP('Données projet'!$B$12,Paramètres!$A$1:$I$89,3,0)*0.475*44/12</f>
        <v>6.2725989890633969</v>
      </c>
      <c r="CM94" s="21">
        <f>EXP(-LN(2)/2)*CM93+(1-EXP(-LN(2)/2))/(LN(2)/2)*CG94*CJ94*VLOOKUP('Données projet'!$B$12,Paramètres!$A$1:$I$89,3,0)*0.475*44/12</f>
        <v>1.6583748415625777E-8</v>
      </c>
      <c r="CN94" s="22">
        <f t="shared" si="66"/>
        <v>8.817530186118578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-2.2737367544323206E-13</v>
      </c>
      <c r="CU94" s="17">
        <f>CT94*VLOOKUP('Données projet'!$B$13,Paramètres!$A$1:$I$89,3,0)*VLOOKUP('Données projet'!$B$13,Paramètres!$A$1:$I$89,5,0)</f>
        <v>-1.8089849618263545E-13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314.94704727988847</v>
      </c>
      <c r="CZ94" s="59">
        <f t="shared" si="96"/>
        <v>366.49199094166454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1.1698892824514098</v>
      </c>
      <c r="DG94" s="21">
        <f>EXP(-LN(2)/25)*DG93+(1-EXP(-LN(2)/25))/(LN(2)/25)*Calculateur!DB94*Calculateur!DD94*VLOOKUP('Données projet'!$B$13,Paramètres!$A$1:$I$89,3,0)*0.475*44/12</f>
        <v>4.6820750100484529</v>
      </c>
      <c r="DH94" s="21">
        <f>EXP(-LN(2)/2)*DH93+(1-EXP(-LN(2)/2))/(LN(2)/2)*DB94*DE94*VLOOKUP('Données projet'!$B$13,Paramètres!$A$1:$I$89,3,0)*0.475*44/12</f>
        <v>1.9011677199910103E-8</v>
      </c>
      <c r="DI94" s="22">
        <f t="shared" si="69"/>
        <v>5.8519643115115407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-1.2505552149377763E-12</v>
      </c>
      <c r="O95" s="13">
        <f>N95*VLOOKUP('Données projet'!$B$9,Paramètres!$A$1:$I$89,3,0)*VLOOKUP('Données projet'!$B$9,Paramètres!$A$1:$I$89,5,0)</f>
        <v>-6.9906036515021697E-13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415.91544298418842</v>
      </c>
      <c r="T95" s="59">
        <f t="shared" si="88"/>
        <v>422.79312683312583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3.3450895608477529</v>
      </c>
      <c r="AA95" s="21">
        <f>EXP(-LN(2)/25)*AA94+(1-EXP(-LN(2)/25))/(LN(2)/25)*Calculateur!V95*Calculateur!X95*VLOOKUP('Données projet'!$B$9,Paramètres!$A$1:$I$89,3,0)*0.475*44/12</f>
        <v>6.9474074412724622</v>
      </c>
      <c r="AB95" s="21">
        <f>EXP(-LN(2)/2)*AB94+(1-EXP(-LN(2)/2))/(LN(2)/2)*V95*Y95*VLOOKUP('Données projet'!$B$9,Paramètres!$A$1:$I$89,3,0)*0.475*44/12</f>
        <v>1.6983547878933184E-8</v>
      </c>
      <c r="AC95" s="22">
        <f t="shared" si="57"/>
        <v>10.292497019103761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-1.1368683772161603E-13</v>
      </c>
      <c r="AJ95" s="13">
        <f>AI95*VLOOKUP('Données projet'!$B$10,Paramètres!$A$1:$I$89,3,0)*VLOOKUP('Données projet'!$B$10,Paramètres!$A$1:$I$89,5,0)</f>
        <v>-6.7984728957526396E-14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311.06126148520821</v>
      </c>
      <c r="AO95" s="59">
        <f t="shared" si="90"/>
        <v>321.1728368524748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1.0247430811138245</v>
      </c>
      <c r="AV95" s="21">
        <f>EXP(-LN(2)/25)*AV94+(1-EXP(-LN(2)/25))/(LN(2)/25)*Calculateur!AQ95*Calculateur!AS95*VLOOKUP('Données projet'!$B$10,Paramètres!$A$1:$I$89,3,0)*0.475*44/12</f>
        <v>3.8250251104430593</v>
      </c>
      <c r="AW95" s="21">
        <f>EXP(-LN(2)/2)*AW94+(1-EXP(-LN(2)/2))/(LN(2)/2)*AQ95*AT95*VLOOKUP('Données projet'!$B$10,Paramètres!$A$1:$I$89,3,0)*0.475*44/12</f>
        <v>1.4111089574251797E-8</v>
      </c>
      <c r="AX95" s="21">
        <f t="shared" si="60"/>
        <v>4.8497682056679725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-7.9580786405131221E-13</v>
      </c>
      <c r="BE95" s="13">
        <f>BD95*VLOOKUP('Données projet'!$B$11,Paramètres!$A$1:$I$89,3,0)*VLOOKUP('Données projet'!$B$11,Paramètres!$A$1:$I$89,5,0)</f>
        <v>-3.8278358260868117E-13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371.85813103419366</v>
      </c>
      <c r="BJ95" s="59">
        <f t="shared" si="92"/>
        <v>370.01698880104584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8.1414234972682813</v>
      </c>
      <c r="BQ95" s="21">
        <f>EXP(-LN(2)/25)*BQ94+(1-EXP(-LN(2)/25))/(LN(2)/25)*Calculateur!BL95*Calculateur!BN95*VLOOKUP('Données projet'!$B$11,Paramètres!$A$1:$I$89,3,0)*0.475*44/12</f>
        <v>8.0822495963245071</v>
      </c>
      <c r="BR95" s="21">
        <f>EXP(-LN(2)/2)*BR94+(1-EXP(-LN(2)/2))/(LN(2)/2)*BL95*BO95*VLOOKUP('Données projet'!$B$11,Paramètres!$A$1:$I$89,3,0)*0.475*44/12</f>
        <v>4.1193499851643968E-7</v>
      </c>
      <c r="BS95" s="22">
        <f t="shared" si="63"/>
        <v>16.223673505527785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5.6843418860808015E-13</v>
      </c>
      <c r="BZ95" s="13">
        <f>BY95*VLOOKUP('Données projet'!$B$12,Paramètres!$A$1:$I$89,3,0)*VLOOKUP('Données projet'!$B$12,Paramètres!$A$1:$I$89,5,0)</f>
        <v>3.1036506698001181E-13</v>
      </c>
      <c r="CA95" s="13">
        <f t="shared" si="93"/>
        <v>4.086682523110923E-12</v>
      </c>
      <c r="CB95" s="20">
        <f t="shared" si="64"/>
        <v>7.6581912194083782E-12</v>
      </c>
      <c r="CC95" s="59">
        <f t="shared" si="65"/>
        <v>293.33333333334099</v>
      </c>
      <c r="CD95" s="59">
        <f ca="1">AVERAGE(OFFSET($CC$3,0,0,'Données projet'!$E$12+1,1))-AVERAGE(OFFSET($H$3,0,0,'Données projet'!$E$12+1,1))</f>
        <v>248.1486444660062</v>
      </c>
      <c r="CE95" s="59">
        <f t="shared" si="94"/>
        <v>293.34458072322127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2.4950266322771353</v>
      </c>
      <c r="CL95" s="21">
        <f>EXP(-LN(2)/25)*CL94+(1-EXP(-LN(2)/25))/(LN(2)/25)*Calculateur!CG95*Calculateur!CI95*VLOOKUP('Données projet'!$B$12,Paramètres!$A$1:$I$89,3,0)*0.475*44/12</f>
        <v>6.1010744398458137</v>
      </c>
      <c r="CM95" s="21">
        <f>EXP(-LN(2)/2)*CM94+(1-EXP(-LN(2)/2))/(LN(2)/2)*CG95*CJ95*VLOOKUP('Données projet'!$B$12,Paramètres!$A$1:$I$89,3,0)*0.475*44/12</f>
        <v>1.172648096218065E-8</v>
      </c>
      <c r="CN95" s="22">
        <f t="shared" si="66"/>
        <v>8.5961010838494296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-2.2737367544323206E-13</v>
      </c>
      <c r="CU95" s="17">
        <f>CT95*VLOOKUP('Données projet'!$B$13,Paramètres!$A$1:$I$89,3,0)*VLOOKUP('Données projet'!$B$13,Paramètres!$A$1:$I$89,5,0)</f>
        <v>-1.8089849618263545E-13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314.94704727988847</v>
      </c>
      <c r="CZ95" s="59">
        <f t="shared" si="96"/>
        <v>366.49199094166454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1.1469484671845416</v>
      </c>
      <c r="DG95" s="21">
        <f>EXP(-LN(2)/25)*DG94+(1-EXP(-LN(2)/25))/(LN(2)/25)*Calculateur!DB95*Calculateur!DD95*VLOOKUP('Données projet'!$B$13,Paramètres!$A$1:$I$89,3,0)*0.475*44/12</f>
        <v>4.5540434226790545</v>
      </c>
      <c r="DH95" s="21">
        <f>EXP(-LN(2)/2)*DH94+(1-EXP(-LN(2)/2))/(LN(2)/2)*DB95*DE95*VLOOKUP('Données projet'!$B$13,Paramètres!$A$1:$I$89,3,0)*0.475*44/12</f>
        <v>1.3443285869786108E-8</v>
      </c>
      <c r="DI95" s="22">
        <f t="shared" si="69"/>
        <v>5.7009919033068819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-1.2505552149377763E-12</v>
      </c>
      <c r="O96" s="13">
        <f>N96*VLOOKUP('Données projet'!$B$9,Paramètres!$A$1:$I$89,3,0)*VLOOKUP('Données projet'!$B$9,Paramètres!$A$1:$I$89,5,0)</f>
        <v>-6.9906036515021697E-13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415.91544298418842</v>
      </c>
      <c r="T96" s="59">
        <f t="shared" si="88"/>
        <v>422.79312683312583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3.2794943948626973</v>
      </c>
      <c r="AA96" s="21">
        <f>EXP(-LN(2)/25)*AA95+(1-EXP(-LN(2)/25))/(LN(2)/25)*Calculateur!V96*Calculateur!X96*VLOOKUP('Données projet'!$B$9,Paramètres!$A$1:$I$89,3,0)*0.475*44/12</f>
        <v>6.7574302194425879</v>
      </c>
      <c r="AB96" s="21">
        <f>EXP(-LN(2)/2)*AB95+(1-EXP(-LN(2)/2))/(LN(2)/2)*V96*Y96*VLOOKUP('Données projet'!$B$9,Paramètres!$A$1:$I$89,3,0)*0.475*44/12</f>
        <v>1.200918187380006E-8</v>
      </c>
      <c r="AC96" s="22">
        <f t="shared" si="57"/>
        <v>10.036924626314466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-1.1368683772161603E-13</v>
      </c>
      <c r="AJ96" s="13">
        <f>AI96*VLOOKUP('Données projet'!$B$10,Paramètres!$A$1:$I$89,3,0)*VLOOKUP('Données projet'!$B$10,Paramètres!$A$1:$I$89,5,0)</f>
        <v>-6.7984728957526396E-14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311.06126148520821</v>
      </c>
      <c r="AO96" s="59">
        <f t="shared" si="90"/>
        <v>321.1728368524748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1.0046484943247451</v>
      </c>
      <c r="AV96" s="21">
        <f>EXP(-LN(2)/25)*AV95+(1-EXP(-LN(2)/25))/(LN(2)/25)*Calculateur!AQ96*Calculateur!AS96*VLOOKUP('Données projet'!$B$10,Paramètres!$A$1:$I$89,3,0)*0.475*44/12</f>
        <v>3.7204295976486654</v>
      </c>
      <c r="AW96" s="21">
        <f>EXP(-LN(2)/2)*AW95+(1-EXP(-LN(2)/2))/(LN(2)/2)*AQ96*AT96*VLOOKUP('Données projet'!$B$10,Paramètres!$A$1:$I$89,3,0)*0.475*44/12</f>
        <v>9.9780471278842371E-9</v>
      </c>
      <c r="AX96" s="21">
        <f t="shared" si="60"/>
        <v>4.7250781019514569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-7.9580786405131221E-13</v>
      </c>
      <c r="BE96" s="13">
        <f>BD96*VLOOKUP('Données projet'!$B$11,Paramètres!$A$1:$I$89,3,0)*VLOOKUP('Données projet'!$B$11,Paramètres!$A$1:$I$89,5,0)</f>
        <v>-3.8278358260868117E-13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371.85813103419366</v>
      </c>
      <c r="BJ96" s="59">
        <f t="shared" si="92"/>
        <v>370.01698880104584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7.9817751482648536</v>
      </c>
      <c r="BQ96" s="21">
        <f>EXP(-LN(2)/25)*BQ95+(1-EXP(-LN(2)/25))/(LN(2)/25)*Calculateur!BL96*Calculateur!BN96*VLOOKUP('Données projet'!$B$11,Paramètres!$A$1:$I$89,3,0)*0.475*44/12</f>
        <v>7.8612400560859799</v>
      </c>
      <c r="BR96" s="21">
        <f>EXP(-LN(2)/2)*BR95+(1-EXP(-LN(2)/2))/(LN(2)/2)*BL96*BO96*VLOOKUP('Données projet'!$B$11,Paramètres!$A$1:$I$89,3,0)*0.475*44/12</f>
        <v>2.9128203085904488E-7</v>
      </c>
      <c r="BS96" s="22">
        <f t="shared" si="63"/>
        <v>15.843015495632866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5.6843418860808015E-13</v>
      </c>
      <c r="BZ96" s="13">
        <f>BY96*VLOOKUP('Données projet'!$B$12,Paramètres!$A$1:$I$89,3,0)*VLOOKUP('Données projet'!$B$12,Paramètres!$A$1:$I$89,5,0)</f>
        <v>3.1036506698001181E-13</v>
      </c>
      <c r="CA96" s="13">
        <f t="shared" si="93"/>
        <v>4.086682523110923E-12</v>
      </c>
      <c r="CB96" s="20">
        <f t="shared" si="64"/>
        <v>7.6581912194083782E-12</v>
      </c>
      <c r="CC96" s="59">
        <f t="shared" si="65"/>
        <v>293.33333333334099</v>
      </c>
      <c r="CD96" s="59">
        <f ca="1">AVERAGE(OFFSET($CC$3,0,0,'Données projet'!$E$12+1,1))-AVERAGE(OFFSET($H$3,0,0,'Données projet'!$E$12+1,1))</f>
        <v>248.1486444660062</v>
      </c>
      <c r="CE96" s="59">
        <f t="shared" si="94"/>
        <v>293.34458072322127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2.4461006818341593</v>
      </c>
      <c r="CL96" s="21">
        <f>EXP(-LN(2)/25)*CL95+(1-EXP(-LN(2)/25))/(LN(2)/25)*Calculateur!CG96*Calculateur!CI96*VLOOKUP('Données projet'!$B$12,Paramètres!$A$1:$I$89,3,0)*0.475*44/12</f>
        <v>5.9342402384466695</v>
      </c>
      <c r="CM96" s="21">
        <f>EXP(-LN(2)/2)*CM95+(1-EXP(-LN(2)/2))/(LN(2)/2)*CG96*CJ96*VLOOKUP('Données projet'!$B$12,Paramètres!$A$1:$I$89,3,0)*0.475*44/12</f>
        <v>8.2918742078128883E-9</v>
      </c>
      <c r="CN96" s="22">
        <f t="shared" si="66"/>
        <v>8.3803409285727035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-2.2737367544323206E-13</v>
      </c>
      <c r="CU96" s="17">
        <f>CT96*VLOOKUP('Données projet'!$B$13,Paramètres!$A$1:$I$89,3,0)*VLOOKUP('Données projet'!$B$13,Paramètres!$A$1:$I$89,5,0)</f>
        <v>-1.8089849618263545E-13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314.94704727988847</v>
      </c>
      <c r="CZ96" s="59">
        <f t="shared" si="96"/>
        <v>366.49199094166454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1.1244575073125409</v>
      </c>
      <c r="DG96" s="21">
        <f>EXP(-LN(2)/25)*DG95+(1-EXP(-LN(2)/25))/(LN(2)/25)*Calculateur!DB96*Calculateur!DD96*VLOOKUP('Données projet'!$B$13,Paramètres!$A$1:$I$89,3,0)*0.475*44/12</f>
        <v>4.4295128657991603</v>
      </c>
      <c r="DH96" s="21">
        <f>EXP(-LN(2)/2)*DH95+(1-EXP(-LN(2)/2))/(LN(2)/2)*DB96*DE96*VLOOKUP('Données projet'!$B$13,Paramètres!$A$1:$I$89,3,0)*0.475*44/12</f>
        <v>9.5058385999550517E-9</v>
      </c>
      <c r="DI96" s="22">
        <f t="shared" si="69"/>
        <v>5.5539703826175399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-1.2505552149377763E-12</v>
      </c>
      <c r="O97" s="13">
        <f>N97*VLOOKUP('Données projet'!$B$9,Paramètres!$A$1:$I$89,3,0)*VLOOKUP('Données projet'!$B$9,Paramètres!$A$1:$I$89,5,0)</f>
        <v>-6.9906036515021697E-13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415.91544298418842</v>
      </c>
      <c r="T97" s="59">
        <f t="shared" si="88"/>
        <v>422.79312683312583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3.2151855100735083</v>
      </c>
      <c r="AA97" s="21">
        <f>EXP(-LN(2)/25)*AA96+(1-EXP(-LN(2)/25))/(LN(2)/25)*Calculateur!V97*Calculateur!X97*VLOOKUP('Données projet'!$B$9,Paramètres!$A$1:$I$89,3,0)*0.475*44/12</f>
        <v>6.5726479347341193</v>
      </c>
      <c r="AB97" s="21">
        <f>EXP(-LN(2)/2)*AB96+(1-EXP(-LN(2)/2))/(LN(2)/2)*V97*Y97*VLOOKUP('Données projet'!$B$9,Paramètres!$A$1:$I$89,3,0)*0.475*44/12</f>
        <v>8.4917739394665919E-9</v>
      </c>
      <c r="AC97" s="22">
        <f t="shared" si="57"/>
        <v>9.7878334532994025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-1.1368683772161603E-13</v>
      </c>
      <c r="AJ97" s="13">
        <f>AI97*VLOOKUP('Données projet'!$B$10,Paramètres!$A$1:$I$89,3,0)*VLOOKUP('Données projet'!$B$10,Paramètres!$A$1:$I$89,5,0)</f>
        <v>-6.7984728957526396E-14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311.06126148520821</v>
      </c>
      <c r="AO97" s="59">
        <f t="shared" si="90"/>
        <v>321.1728368524748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0.98494795012611192</v>
      </c>
      <c r="AV97" s="21">
        <f>EXP(-LN(2)/25)*AV96+(1-EXP(-LN(2)/25))/(LN(2)/25)*Calculateur!AQ97*Calculateur!AS97*VLOOKUP('Données projet'!$B$10,Paramètres!$A$1:$I$89,3,0)*0.475*44/12</f>
        <v>3.6186942546520733</v>
      </c>
      <c r="AW97" s="21">
        <f>EXP(-LN(2)/2)*AW96+(1-EXP(-LN(2)/2))/(LN(2)/2)*AQ97*AT97*VLOOKUP('Données projet'!$B$10,Paramètres!$A$1:$I$89,3,0)*0.475*44/12</f>
        <v>7.0555447871258984E-9</v>
      </c>
      <c r="AX97" s="21">
        <f t="shared" si="60"/>
        <v>4.6036422118337299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-7.9580786405131221E-13</v>
      </c>
      <c r="BE97" s="13">
        <f>BD97*VLOOKUP('Données projet'!$B$11,Paramètres!$A$1:$I$89,3,0)*VLOOKUP('Données projet'!$B$11,Paramètres!$A$1:$I$89,5,0)</f>
        <v>-3.8278358260868117E-13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371.85813103419366</v>
      </c>
      <c r="BJ97" s="59">
        <f t="shared" si="92"/>
        <v>370.01698880104584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7.8252574060095057</v>
      </c>
      <c r="BQ97" s="21">
        <f>EXP(-LN(2)/25)*BQ96+(1-EXP(-LN(2)/25))/(LN(2)/25)*Calculateur!BL97*Calculateur!BN97*VLOOKUP('Données projet'!$B$11,Paramètres!$A$1:$I$89,3,0)*0.475*44/12</f>
        <v>7.6462740333476615</v>
      </c>
      <c r="BR97" s="21">
        <f>EXP(-LN(2)/2)*BR96+(1-EXP(-LN(2)/2))/(LN(2)/2)*BL97*BO97*VLOOKUP('Données projet'!$B$11,Paramètres!$A$1:$I$89,3,0)*0.475*44/12</f>
        <v>2.0596749925821984E-7</v>
      </c>
      <c r="BS97" s="22">
        <f t="shared" si="63"/>
        <v>15.471531645324667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5.6843418860808015E-13</v>
      </c>
      <c r="BZ97" s="13">
        <f>BY97*VLOOKUP('Données projet'!$B$12,Paramètres!$A$1:$I$89,3,0)*VLOOKUP('Données projet'!$B$12,Paramètres!$A$1:$I$89,5,0)</f>
        <v>3.1036506698001181E-13</v>
      </c>
      <c r="CA97" s="13">
        <f t="shared" si="93"/>
        <v>4.086682523110923E-12</v>
      </c>
      <c r="CB97" s="20">
        <f t="shared" si="64"/>
        <v>7.6581912194083782E-12</v>
      </c>
      <c r="CC97" s="59">
        <f t="shared" si="65"/>
        <v>293.33333333334099</v>
      </c>
      <c r="CD97" s="59">
        <f ca="1">AVERAGE(OFFSET($CC$3,0,0,'Données projet'!$E$12+1,1))-AVERAGE(OFFSET($H$3,0,0,'Données projet'!$E$12+1,1))</f>
        <v>248.1486444660062</v>
      </c>
      <c r="CE97" s="59">
        <f t="shared" si="94"/>
        <v>293.34458072322127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2.3981341394374871</v>
      </c>
      <c r="CL97" s="21">
        <f>EXP(-LN(2)/25)*CL96+(1-EXP(-LN(2)/25))/(LN(2)/25)*Calculateur!CG97*Calculateur!CI97*VLOOKUP('Données projet'!$B$12,Paramètres!$A$1:$I$89,3,0)*0.475*44/12</f>
        <v>5.7719681270582139</v>
      </c>
      <c r="CM97" s="21">
        <f>EXP(-LN(2)/2)*CM96+(1-EXP(-LN(2)/2))/(LN(2)/2)*CG97*CJ97*VLOOKUP('Données projet'!$B$12,Paramètres!$A$1:$I$89,3,0)*0.475*44/12</f>
        <v>5.8632404810903251E-9</v>
      </c>
      <c r="CN97" s="22">
        <f t="shared" si="66"/>
        <v>8.1701022723589407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-2.2737367544323206E-13</v>
      </c>
      <c r="CU97" s="17">
        <f>CT97*VLOOKUP('Données projet'!$B$13,Paramètres!$A$1:$I$89,3,0)*VLOOKUP('Données projet'!$B$13,Paramètres!$A$1:$I$89,5,0)</f>
        <v>-1.8089849618263545E-13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314.94704727988847</v>
      </c>
      <c r="CZ97" s="59">
        <f t="shared" si="96"/>
        <v>366.49199094166454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1.1024075814454992</v>
      </c>
      <c r="DG97" s="21">
        <f>EXP(-LN(2)/25)*DG96+(1-EXP(-LN(2)/25))/(LN(2)/25)*Calculateur!DB97*Calculateur!DD97*VLOOKUP('Données projet'!$B$13,Paramètres!$A$1:$I$89,3,0)*0.475*44/12</f>
        <v>4.3083876035459241</v>
      </c>
      <c r="DH97" s="21">
        <f>EXP(-LN(2)/2)*DH96+(1-EXP(-LN(2)/2))/(LN(2)/2)*DB97*DE97*VLOOKUP('Données projet'!$B$13,Paramètres!$A$1:$I$89,3,0)*0.475*44/12</f>
        <v>6.7216429348930541E-9</v>
      </c>
      <c r="DI97" s="22">
        <f t="shared" si="69"/>
        <v>5.4107951917130661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-1.2505552149377763E-12</v>
      </c>
      <c r="O98" s="13">
        <f>N98*VLOOKUP('Données projet'!$B$9,Paramètres!$A$1:$I$89,3,0)*VLOOKUP('Données projet'!$B$9,Paramètres!$A$1:$I$89,5,0)</f>
        <v>-6.9906036515021697E-13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415.91544298418842</v>
      </c>
      <c r="T98" s="59">
        <f t="shared" si="88"/>
        <v>422.79312683312583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3.1521376832904884</v>
      </c>
      <c r="AA98" s="21">
        <f>EXP(-LN(2)/25)*AA97+(1-EXP(-LN(2)/25))/(LN(2)/25)*Calculateur!V98*Calculateur!X98*VLOOKUP('Données projet'!$B$9,Paramètres!$A$1:$I$89,3,0)*0.475*44/12</f>
        <v>6.3929185313182817</v>
      </c>
      <c r="AB98" s="21">
        <f>EXP(-LN(2)/2)*AB97+(1-EXP(-LN(2)/2))/(LN(2)/2)*V98*Y98*VLOOKUP('Données projet'!$B$9,Paramètres!$A$1:$I$89,3,0)*0.475*44/12</f>
        <v>6.0045909369000301E-9</v>
      </c>
      <c r="AC98" s="22">
        <f t="shared" si="57"/>
        <v>9.5450562206133611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-1.1368683772161603E-13</v>
      </c>
      <c r="AJ98" s="13">
        <f>AI98*VLOOKUP('Données projet'!$B$10,Paramètres!$A$1:$I$89,3,0)*VLOOKUP('Données projet'!$B$10,Paramètres!$A$1:$I$89,5,0)</f>
        <v>-6.7984728957526396E-14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311.06126148520821</v>
      </c>
      <c r="AO98" s="59">
        <f t="shared" si="90"/>
        <v>321.1728368524748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0.96563372158306837</v>
      </c>
      <c r="AV98" s="21">
        <f>EXP(-LN(2)/25)*AV97+(1-EXP(-LN(2)/25))/(LN(2)/25)*Calculateur!AQ98*Calculateur!AS98*VLOOKUP('Données projet'!$B$10,Paramètres!$A$1:$I$89,3,0)*0.475*44/12</f>
        <v>3.5197408699597523</v>
      </c>
      <c r="AW98" s="21">
        <f>EXP(-LN(2)/2)*AW97+(1-EXP(-LN(2)/2))/(LN(2)/2)*AQ98*AT98*VLOOKUP('Données projet'!$B$10,Paramètres!$A$1:$I$89,3,0)*0.475*44/12</f>
        <v>4.9890235639421186E-9</v>
      </c>
      <c r="AX98" s="21">
        <f t="shared" si="60"/>
        <v>4.4853745965318437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-7.9580786405131221E-13</v>
      </c>
      <c r="BE98" s="13">
        <f>BD98*VLOOKUP('Données projet'!$B$11,Paramètres!$A$1:$I$89,3,0)*VLOOKUP('Données projet'!$B$11,Paramètres!$A$1:$I$89,5,0)</f>
        <v>-3.8278358260868117E-13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371.85813103419366</v>
      </c>
      <c r="BJ98" s="59">
        <f t="shared" si="92"/>
        <v>370.01698880104584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7.6718088812133889</v>
      </c>
      <c r="BQ98" s="21">
        <f>EXP(-LN(2)/25)*BQ97+(1-EXP(-LN(2)/25))/(LN(2)/25)*Calculateur!BL98*Calculateur!BN98*VLOOKUP('Données projet'!$B$11,Paramètres!$A$1:$I$89,3,0)*0.475*44/12</f>
        <v>7.4371862678056937</v>
      </c>
      <c r="BR98" s="21">
        <f>EXP(-LN(2)/2)*BR97+(1-EXP(-LN(2)/2))/(LN(2)/2)*BL98*BO98*VLOOKUP('Données projet'!$B$11,Paramètres!$A$1:$I$89,3,0)*0.475*44/12</f>
        <v>1.4564101542952244E-7</v>
      </c>
      <c r="BS98" s="22">
        <f t="shared" si="63"/>
        <v>15.108995294660099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5.6843418860808015E-13</v>
      </c>
      <c r="BZ98" s="13">
        <f>BY98*VLOOKUP('Données projet'!$B$12,Paramètres!$A$1:$I$89,3,0)*VLOOKUP('Données projet'!$B$12,Paramètres!$A$1:$I$89,5,0)</f>
        <v>3.1036506698001181E-13</v>
      </c>
      <c r="CA98" s="13">
        <f t="shared" si="93"/>
        <v>4.086682523110923E-12</v>
      </c>
      <c r="CB98" s="20">
        <f t="shared" si="64"/>
        <v>7.6581912194083782E-12</v>
      </c>
      <c r="CC98" s="59">
        <f t="shared" si="65"/>
        <v>293.33333333334099</v>
      </c>
      <c r="CD98" s="59">
        <f ca="1">AVERAGE(OFFSET($CC$3,0,0,'Données projet'!$E$12+1,1))-AVERAGE(OFFSET($H$3,0,0,'Données projet'!$E$12+1,1))</f>
        <v>248.1486444660062</v>
      </c>
      <c r="CE98" s="59">
        <f t="shared" si="94"/>
        <v>293.34458072322127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2.3511081916805119</v>
      </c>
      <c r="CL98" s="21">
        <f>EXP(-LN(2)/25)*CL97+(1-EXP(-LN(2)/25))/(LN(2)/25)*Calculateur!CG98*Calculateur!CI98*VLOOKUP('Données projet'!$B$12,Paramètres!$A$1:$I$89,3,0)*0.475*44/12</f>
        <v>5.6141333550891952</v>
      </c>
      <c r="CM98" s="21">
        <f>EXP(-LN(2)/2)*CM97+(1-EXP(-LN(2)/2))/(LN(2)/2)*CG98*CJ98*VLOOKUP('Données projet'!$B$12,Paramètres!$A$1:$I$89,3,0)*0.475*44/12</f>
        <v>4.1459371039064442E-9</v>
      </c>
      <c r="CN98" s="22">
        <f t="shared" si="66"/>
        <v>7.9652415509156445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-2.2737367544323206E-13</v>
      </c>
      <c r="CU98" s="17">
        <f>CT98*VLOOKUP('Données projet'!$B$13,Paramètres!$A$1:$I$89,3,0)*VLOOKUP('Données projet'!$B$13,Paramètres!$A$1:$I$89,5,0)</f>
        <v>-1.8089849618263545E-13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314.94704727988847</v>
      </c>
      <c r="CZ98" s="59">
        <f t="shared" si="96"/>
        <v>366.49199094166454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1.0807900411755835</v>
      </c>
      <c r="DG98" s="21">
        <f>EXP(-LN(2)/25)*DG97+(1-EXP(-LN(2)/25))/(LN(2)/25)*Calculateur!DB98*Calculateur!DD98*VLOOKUP('Données projet'!$B$13,Paramètres!$A$1:$I$89,3,0)*0.475*44/12</f>
        <v>4.1905745179587033</v>
      </c>
      <c r="DH98" s="21">
        <f>EXP(-LN(2)/2)*DH97+(1-EXP(-LN(2)/2))/(LN(2)/2)*DB98*DE98*VLOOKUP('Données projet'!$B$13,Paramètres!$A$1:$I$89,3,0)*0.475*44/12</f>
        <v>4.7529192999775259E-9</v>
      </c>
      <c r="DI98" s="22">
        <f t="shared" si="69"/>
        <v>5.2713645638872055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-1.2505552149377763E-12</v>
      </c>
      <c r="O99" s="13">
        <f>N99*VLOOKUP('Données projet'!$B$9,Paramètres!$A$1:$I$89,3,0)*VLOOKUP('Données projet'!$B$9,Paramètres!$A$1:$I$89,5,0)</f>
        <v>-6.9906036515021697E-13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415.91544298418842</v>
      </c>
      <c r="T99" s="59">
        <f t="shared" si="88"/>
        <v>422.79312683312583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3.0903261859353064</v>
      </c>
      <c r="AA99" s="21">
        <f>EXP(-LN(2)/25)*AA98+(1-EXP(-LN(2)/25))/(LN(2)/25)*Calculateur!V99*Calculateur!X99*VLOOKUP('Données projet'!$B$9,Paramètres!$A$1:$I$89,3,0)*0.475*44/12</f>
        <v>6.2181038378904088</v>
      </c>
      <c r="AB99" s="21">
        <f>EXP(-LN(2)/2)*AB98+(1-EXP(-LN(2)/2))/(LN(2)/2)*V99*Y99*VLOOKUP('Données projet'!$B$9,Paramètres!$A$1:$I$89,3,0)*0.475*44/12</f>
        <v>4.2458869697332959E-9</v>
      </c>
      <c r="AC99" s="22">
        <f t="shared" si="57"/>
        <v>9.3084300280716015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-1.1368683772161603E-13</v>
      </c>
      <c r="AJ99" s="13">
        <f>AI99*VLOOKUP('Données projet'!$B$10,Paramètres!$A$1:$I$89,3,0)*VLOOKUP('Données projet'!$B$10,Paramètres!$A$1:$I$89,5,0)</f>
        <v>-6.7984728957526396E-14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311.06126148520821</v>
      </c>
      <c r="AO99" s="59">
        <f t="shared" si="90"/>
        <v>321.1728368524748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0.94669823328123781</v>
      </c>
      <c r="AV99" s="21">
        <f>EXP(-LN(2)/25)*AV98+(1-EXP(-LN(2)/25))/(LN(2)/25)*Calculateur!AQ99*Calculateur!AS99*VLOOKUP('Données projet'!$B$10,Paramètres!$A$1:$I$89,3,0)*0.475*44/12</f>
        <v>3.4234933707755748</v>
      </c>
      <c r="AW99" s="21">
        <f>EXP(-LN(2)/2)*AW98+(1-EXP(-LN(2)/2))/(LN(2)/2)*AQ99*AT99*VLOOKUP('Données projet'!$B$10,Paramètres!$A$1:$I$89,3,0)*0.475*44/12</f>
        <v>3.5277723935629492E-9</v>
      </c>
      <c r="AX99" s="21">
        <f t="shared" si="60"/>
        <v>4.3701916075845855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-7.9580786405131221E-13</v>
      </c>
      <c r="BE99" s="13">
        <f>BD99*VLOOKUP('Données projet'!$B$11,Paramètres!$A$1:$I$89,3,0)*VLOOKUP('Données projet'!$B$11,Paramètres!$A$1:$I$89,5,0)</f>
        <v>-3.8278358260868117E-13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371.85813103419366</v>
      </c>
      <c r="BJ99" s="59">
        <f t="shared" si="92"/>
        <v>370.01698880104584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7.5213693883941657</v>
      </c>
      <c r="BQ99" s="21">
        <f>EXP(-LN(2)/25)*BQ98+(1-EXP(-LN(2)/25))/(LN(2)/25)*Calculateur!BL99*Calculateur!BN99*VLOOKUP('Données projet'!$B$11,Paramètres!$A$1:$I$89,3,0)*0.475*44/12</f>
        <v>7.2338160182079188</v>
      </c>
      <c r="BR99" s="21">
        <f>EXP(-LN(2)/2)*BR98+(1-EXP(-LN(2)/2))/(LN(2)/2)*BL99*BO99*VLOOKUP('Données projet'!$B$11,Paramètres!$A$1:$I$89,3,0)*0.475*44/12</f>
        <v>1.0298374962910992E-7</v>
      </c>
      <c r="BS99" s="22">
        <f t="shared" si="63"/>
        <v>14.755185509585834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5.6843418860808015E-13</v>
      </c>
      <c r="BZ99" s="13">
        <f>BY99*VLOOKUP('Données projet'!$B$12,Paramètres!$A$1:$I$89,3,0)*VLOOKUP('Données projet'!$B$12,Paramètres!$A$1:$I$89,5,0)</f>
        <v>3.1036506698001181E-13</v>
      </c>
      <c r="CA99" s="13">
        <f t="shared" si="93"/>
        <v>4.086682523110923E-12</v>
      </c>
      <c r="CB99" s="20">
        <f t="shared" si="64"/>
        <v>7.6581912194083782E-12</v>
      </c>
      <c r="CC99" s="59">
        <f t="shared" si="65"/>
        <v>293.33333333334099</v>
      </c>
      <c r="CD99" s="59">
        <f ca="1">AVERAGE(OFFSET($CC$3,0,0,'Données projet'!$E$12+1,1))-AVERAGE(OFFSET($H$3,0,0,'Données projet'!$E$12+1,1))</f>
        <v>248.1486444660062</v>
      </c>
      <c r="CE99" s="59">
        <f t="shared" si="94"/>
        <v>293.34458072322127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2.3050043940760547</v>
      </c>
      <c r="CL99" s="21">
        <f>EXP(-LN(2)/25)*CL98+(1-EXP(-LN(2)/25))/(LN(2)/25)*Calculateur!CG99*Calculateur!CI99*VLOOKUP('Données projet'!$B$12,Paramètres!$A$1:$I$89,3,0)*0.475*44/12</f>
        <v>5.4606145832598392</v>
      </c>
      <c r="CM99" s="21">
        <f>EXP(-LN(2)/2)*CM98+(1-EXP(-LN(2)/2))/(LN(2)/2)*CG99*CJ99*VLOOKUP('Données projet'!$B$12,Paramètres!$A$1:$I$89,3,0)*0.475*44/12</f>
        <v>2.9316202405451626E-9</v>
      </c>
      <c r="CN99" s="22">
        <f t="shared" si="66"/>
        <v>7.7656189802675142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-2.2737367544323206E-13</v>
      </c>
      <c r="CU99" s="17">
        <f>CT99*VLOOKUP('Données projet'!$B$13,Paramètres!$A$1:$I$89,3,0)*VLOOKUP('Données projet'!$B$13,Paramètres!$A$1:$I$89,5,0)</f>
        <v>-1.8089849618263545E-13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314.94704727988847</v>
      </c>
      <c r="CZ99" s="59">
        <f t="shared" si="96"/>
        <v>366.49199094166454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1.0595964076849631</v>
      </c>
      <c r="DG99" s="21">
        <f>EXP(-LN(2)/25)*DG98+(1-EXP(-LN(2)/25))/(LN(2)/25)*Calculateur!DB99*Calculateur!DD99*VLOOKUP('Données projet'!$B$13,Paramètres!$A$1:$I$89,3,0)*0.475*44/12</f>
        <v>4.075983037392386</v>
      </c>
      <c r="DH99" s="21">
        <f>EXP(-LN(2)/2)*DH98+(1-EXP(-LN(2)/2))/(LN(2)/2)*DB99*DE99*VLOOKUP('Données projet'!$B$13,Paramètres!$A$1:$I$89,3,0)*0.475*44/12</f>
        <v>3.3608214674465271E-9</v>
      </c>
      <c r="DI99" s="22">
        <f t="shared" si="69"/>
        <v>5.1355794484381709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-1.2505552149377763E-12</v>
      </c>
      <c r="O100" s="13">
        <f>N100*VLOOKUP('Données projet'!$B$9,Paramètres!$A$1:$I$89,3,0)*VLOOKUP('Données projet'!$B$9,Paramètres!$A$1:$I$89,5,0)</f>
        <v>-6.9906036515021697E-13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415.91544298418842</v>
      </c>
      <c r="T100" s="59">
        <f t="shared" si="88"/>
        <v>422.79312683312583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3.0297267743419689</v>
      </c>
      <c r="AA100" s="21">
        <f>EXP(-LN(2)/25)*AA99+(1-EXP(-LN(2)/25))/(LN(2)/25)*Calculateur!V100*Calculateur!X100*VLOOKUP('Données projet'!$B$9,Paramètres!$A$1:$I$89,3,0)*0.475*44/12</f>
        <v>6.048069461447426</v>
      </c>
      <c r="AB100" s="21">
        <f>EXP(-LN(2)/2)*AB99+(1-EXP(-LN(2)/2))/(LN(2)/2)*V100*Y100*VLOOKUP('Données projet'!$B$9,Paramètres!$A$1:$I$89,3,0)*0.475*44/12</f>
        <v>3.0022954684500151E-9</v>
      </c>
      <c r="AC100" s="22">
        <f t="shared" si="57"/>
        <v>9.0777962387916897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-1.1368683772161603E-13</v>
      </c>
      <c r="AJ100" s="13">
        <f>AI100*VLOOKUP('Données projet'!$B$10,Paramètres!$A$1:$I$89,3,0)*VLOOKUP('Données projet'!$B$10,Paramètres!$A$1:$I$89,5,0)</f>
        <v>-6.7984728957526396E-14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311.06126148520821</v>
      </c>
      <c r="AO100" s="59">
        <f t="shared" si="90"/>
        <v>321.1728368524748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0.92813405835549867</v>
      </c>
      <c r="AV100" s="21">
        <f>EXP(-LN(2)/25)*AV99+(1-EXP(-LN(2)/25))/(LN(2)/25)*Calculateur!AQ100*Calculateur!AS100*VLOOKUP('Données projet'!$B$10,Paramètres!$A$1:$I$89,3,0)*0.475*44/12</f>
        <v>3.3298777645180246</v>
      </c>
      <c r="AW100" s="21">
        <f>EXP(-LN(2)/2)*AW99+(1-EXP(-LN(2)/2))/(LN(2)/2)*AQ100*AT100*VLOOKUP('Données projet'!$B$10,Paramètres!$A$1:$I$89,3,0)*0.475*44/12</f>
        <v>2.4945117819710593E-9</v>
      </c>
      <c r="AX100" s="21">
        <f t="shared" si="60"/>
        <v>4.2580118253680359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-7.9580786405131221E-13</v>
      </c>
      <c r="BE100" s="13">
        <f>BD100*VLOOKUP('Données projet'!$B$11,Paramètres!$A$1:$I$89,3,0)*VLOOKUP('Données projet'!$B$11,Paramètres!$A$1:$I$89,5,0)</f>
        <v>-3.8278358260868117E-13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371.85813103419366</v>
      </c>
      <c r="BJ100" s="59">
        <f t="shared" si="92"/>
        <v>370.01698880104584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7.3738799222700973</v>
      </c>
      <c r="BQ100" s="21">
        <f>EXP(-LN(2)/25)*BQ99+(1-EXP(-LN(2)/25))/(LN(2)/25)*Calculateur!BL100*Calculateur!BN100*VLOOKUP('Données projet'!$B$11,Paramètres!$A$1:$I$89,3,0)*0.475*44/12</f>
        <v>7.0360069387801722</v>
      </c>
      <c r="BR100" s="21">
        <f>EXP(-LN(2)/2)*BR99+(1-EXP(-LN(2)/2))/(LN(2)/2)*BL100*BO100*VLOOKUP('Données projet'!$B$11,Paramètres!$A$1:$I$89,3,0)*0.475*44/12</f>
        <v>7.2820507714761221E-8</v>
      </c>
      <c r="BS100" s="22">
        <f t="shared" si="63"/>
        <v>14.409886933870776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5.6843418860808015E-13</v>
      </c>
      <c r="BZ100" s="13">
        <f>BY100*VLOOKUP('Données projet'!$B$12,Paramètres!$A$1:$I$89,3,0)*VLOOKUP('Données projet'!$B$12,Paramètres!$A$1:$I$89,5,0)</f>
        <v>3.1036506698001181E-13</v>
      </c>
      <c r="CA100" s="13">
        <f t="shared" si="93"/>
        <v>4.086682523110923E-12</v>
      </c>
      <c r="CB100" s="20">
        <f t="shared" si="64"/>
        <v>7.6581912194083782E-12</v>
      </c>
      <c r="CC100" s="59">
        <f t="shared" si="65"/>
        <v>293.33333333334099</v>
      </c>
      <c r="CD100" s="59">
        <f ca="1">AVERAGE(OFFSET($CC$3,0,0,'Données projet'!$E$12+1,1))-AVERAGE(OFFSET($H$3,0,0,'Données projet'!$E$12+1,1))</f>
        <v>248.1486444660062</v>
      </c>
      <c r="CE100" s="59">
        <f t="shared" si="94"/>
        <v>293.34458072322127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2.2598046638220812</v>
      </c>
      <c r="CL100" s="21">
        <f>EXP(-LN(2)/25)*CL99+(1-EXP(-LN(2)/25))/(LN(2)/25)*Calculateur!CG100*Calculateur!CI100*VLOOKUP('Données projet'!$B$12,Paramètres!$A$1:$I$89,3,0)*0.475*44/12</f>
        <v>5.3112937903193584</v>
      </c>
      <c r="CM100" s="21">
        <f>EXP(-LN(2)/2)*CM99+(1-EXP(-LN(2)/2))/(LN(2)/2)*CG100*CJ100*VLOOKUP('Données projet'!$B$12,Paramètres!$A$1:$I$89,3,0)*0.475*44/12</f>
        <v>2.0729685519532221E-9</v>
      </c>
      <c r="CN100" s="22">
        <f t="shared" si="66"/>
        <v>7.5710984562144086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-2.2737367544323206E-13</v>
      </c>
      <c r="CU100" s="17">
        <f>CT100*VLOOKUP('Données projet'!$B$13,Paramètres!$A$1:$I$89,3,0)*VLOOKUP('Données projet'!$B$13,Paramètres!$A$1:$I$89,5,0)</f>
        <v>-1.8089849618263545E-13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314.94704727988847</v>
      </c>
      <c r="CZ100" s="59">
        <f t="shared" si="96"/>
        <v>366.49199094166454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1.0388183684202539</v>
      </c>
      <c r="DG100" s="21">
        <f>EXP(-LN(2)/25)*DG99+(1-EXP(-LN(2)/25))/(LN(2)/25)*Calculateur!DB100*Calculateur!DD100*VLOOKUP('Données projet'!$B$13,Paramètres!$A$1:$I$89,3,0)*0.475*44/12</f>
        <v>3.964525066888259</v>
      </c>
      <c r="DH100" s="21">
        <f>EXP(-LN(2)/2)*DH99+(1-EXP(-LN(2)/2))/(LN(2)/2)*DB100*DE100*VLOOKUP('Données projet'!$B$13,Paramètres!$A$1:$I$89,3,0)*0.475*44/12</f>
        <v>2.3764596499887629E-9</v>
      </c>
      <c r="DI100" s="22">
        <f t="shared" si="69"/>
        <v>5.0033434376849728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-1.2505552149377763E-12</v>
      </c>
      <c r="O101" s="13">
        <f>N101*VLOOKUP('Données projet'!$B$9,Paramètres!$A$1:$I$89,3,0)*VLOOKUP('Données projet'!$B$9,Paramètres!$A$1:$I$89,5,0)</f>
        <v>-6.9906036515021697E-13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415.91544298418842</v>
      </c>
      <c r="T101" s="59">
        <f t="shared" si="88"/>
        <v>422.79312683312583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2.9703156802479853</v>
      </c>
      <c r="AA101" s="21">
        <f>EXP(-LN(2)/25)*AA100+(1-EXP(-LN(2)/25))/(LN(2)/25)*Calculateur!V101*Calculateur!X101*VLOOKUP('Données projet'!$B$9,Paramètres!$A$1:$I$89,3,0)*0.475*44/12</f>
        <v>5.8826846839699964</v>
      </c>
      <c r="AB101" s="21">
        <f>EXP(-LN(2)/2)*AB100+(1-EXP(-LN(2)/2))/(LN(2)/2)*V101*Y101*VLOOKUP('Données projet'!$B$9,Paramètres!$A$1:$I$89,3,0)*0.475*44/12</f>
        <v>2.122943484866648E-9</v>
      </c>
      <c r="AC101" s="22">
        <f t="shared" si="57"/>
        <v>8.8530003663409254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-1.1368683772161603E-13</v>
      </c>
      <c r="AJ101" s="13">
        <f>AI101*VLOOKUP('Données projet'!$B$10,Paramètres!$A$1:$I$89,3,0)*VLOOKUP('Données projet'!$B$10,Paramètres!$A$1:$I$89,5,0)</f>
        <v>-6.7984728957526396E-14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311.06126148520821</v>
      </c>
      <c r="AO101" s="59">
        <f t="shared" si="90"/>
        <v>321.1728368524748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0.90993391557702463</v>
      </c>
      <c r="AV101" s="21">
        <f>EXP(-LN(2)/25)*AV100+(1-EXP(-LN(2)/25))/(LN(2)/25)*Calculateur!AQ101*Calculateur!AS101*VLOOKUP('Données projet'!$B$10,Paramètres!$A$1:$I$89,3,0)*0.475*44/12</f>
        <v>3.2388220819366182</v>
      </c>
      <c r="AW101" s="21">
        <f>EXP(-LN(2)/2)*AW100+(1-EXP(-LN(2)/2))/(LN(2)/2)*AQ101*AT101*VLOOKUP('Données projet'!$B$10,Paramètres!$A$1:$I$89,3,0)*0.475*44/12</f>
        <v>1.7638861967814746E-9</v>
      </c>
      <c r="AX101" s="21">
        <f t="shared" si="60"/>
        <v>4.1487559992775287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-7.9580786405131221E-13</v>
      </c>
      <c r="BE101" s="13">
        <f>BD101*VLOOKUP('Données projet'!$B$11,Paramètres!$A$1:$I$89,3,0)*VLOOKUP('Données projet'!$B$11,Paramètres!$A$1:$I$89,5,0)</f>
        <v>-3.8278358260868117E-13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371.85813103419366</v>
      </c>
      <c r="BJ101" s="59">
        <f t="shared" si="92"/>
        <v>370.01698880104584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7.2292826346170296</v>
      </c>
      <c r="BQ101" s="21">
        <f>EXP(-LN(2)/25)*BQ100+(1-EXP(-LN(2)/25))/(LN(2)/25)*Calculateur!BL101*Calculateur!BN101*VLOOKUP('Données projet'!$B$11,Paramètres!$A$1:$I$89,3,0)*0.475*44/12</f>
        <v>6.8436069590317041</v>
      </c>
      <c r="BR101" s="21">
        <f>EXP(-LN(2)/2)*BR100+(1-EXP(-LN(2)/2))/(LN(2)/2)*BL101*BO101*VLOOKUP('Données projet'!$B$11,Paramètres!$A$1:$I$89,3,0)*0.475*44/12</f>
        <v>5.1491874814554959E-8</v>
      </c>
      <c r="BS101" s="22">
        <f t="shared" si="63"/>
        <v>14.072889645140609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5.6843418860808015E-13</v>
      </c>
      <c r="BZ101" s="13">
        <f>BY101*VLOOKUP('Données projet'!$B$12,Paramètres!$A$1:$I$89,3,0)*VLOOKUP('Données projet'!$B$12,Paramètres!$A$1:$I$89,5,0)</f>
        <v>3.1036506698001181E-13</v>
      </c>
      <c r="CA101" s="13">
        <f t="shared" si="93"/>
        <v>4.086682523110923E-12</v>
      </c>
      <c r="CB101" s="20">
        <f t="shared" si="64"/>
        <v>7.6581912194083782E-12</v>
      </c>
      <c r="CC101" s="59">
        <f t="shared" si="65"/>
        <v>293.33333333334099</v>
      </c>
      <c r="CD101" s="59">
        <f ca="1">AVERAGE(OFFSET($CC$3,0,0,'Données projet'!$E$12+1,1))-AVERAGE(OFFSET($H$3,0,0,'Données projet'!$E$12+1,1))</f>
        <v>248.1486444660062</v>
      </c>
      <c r="CE101" s="59">
        <f t="shared" si="94"/>
        <v>293.34458072322127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2.2154912727092748</v>
      </c>
      <c r="CL101" s="21">
        <f>EXP(-LN(2)/25)*CL100+(1-EXP(-LN(2)/25))/(LN(2)/25)*Calculateur!CG101*Calculateur!CI101*VLOOKUP('Données projet'!$B$12,Paramètres!$A$1:$I$89,3,0)*0.475*44/12</f>
        <v>5.1660561823142741</v>
      </c>
      <c r="CM101" s="21">
        <f>EXP(-LN(2)/2)*CM100+(1-EXP(-LN(2)/2))/(LN(2)/2)*CG101*CJ101*VLOOKUP('Données projet'!$B$12,Paramètres!$A$1:$I$89,3,0)*0.475*44/12</f>
        <v>1.4658101202725813E-9</v>
      </c>
      <c r="CN101" s="22">
        <f t="shared" si="66"/>
        <v>7.3815474564893586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-2.2737367544323206E-13</v>
      </c>
      <c r="CU101" s="17">
        <f>CT101*VLOOKUP('Données projet'!$B$13,Paramètres!$A$1:$I$89,3,0)*VLOOKUP('Données projet'!$B$13,Paramètres!$A$1:$I$89,5,0)</f>
        <v>-1.8089849618263545E-13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314.94704727988847</v>
      </c>
      <c r="CZ101" s="59">
        <f t="shared" si="96"/>
        <v>366.49199094166454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1.0184477738321729</v>
      </c>
      <c r="DG101" s="21">
        <f>EXP(-LN(2)/25)*DG100+(1-EXP(-LN(2)/25))/(LN(2)/25)*Calculateur!DB101*Calculateur!DD101*VLOOKUP('Données projet'!$B$13,Paramètres!$A$1:$I$89,3,0)*0.475*44/12</f>
        <v>3.8561149204488872</v>
      </c>
      <c r="DH101" s="21">
        <f>EXP(-LN(2)/2)*DH100+(1-EXP(-LN(2)/2))/(LN(2)/2)*DB101*DE101*VLOOKUP('Données projet'!$B$13,Paramètres!$A$1:$I$89,3,0)*0.475*44/12</f>
        <v>1.6804107337232635E-9</v>
      </c>
      <c r="DI101" s="22">
        <f t="shared" si="69"/>
        <v>4.8745626959614707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-1.2505552149377763E-12</v>
      </c>
      <c r="O102" s="13">
        <f>N102*VLOOKUP('Données projet'!$B$9,Paramètres!$A$1:$I$89,3,0)*VLOOKUP('Données projet'!$B$9,Paramètres!$A$1:$I$89,5,0)</f>
        <v>-6.9906036515021697E-13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415.91544298418842</v>
      </c>
      <c r="T102" s="59">
        <f t="shared" si="88"/>
        <v>422.79312683312583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2.9120696014719956</v>
      </c>
      <c r="AA102" s="21">
        <f>EXP(-LN(2)/25)*AA101+(1-EXP(-LN(2)/25))/(LN(2)/25)*Calculateur!V102*Calculateur!X102*VLOOKUP('Données projet'!$B$9,Paramètres!$A$1:$I$89,3,0)*0.475*44/12</f>
        <v>5.7218223619298945</v>
      </c>
      <c r="AB102" s="21">
        <f>EXP(-LN(2)/2)*AB101+(1-EXP(-LN(2)/2))/(LN(2)/2)*V102*Y102*VLOOKUP('Données projet'!$B$9,Paramètres!$A$1:$I$89,3,0)*0.475*44/12</f>
        <v>1.5011477342250075E-9</v>
      </c>
      <c r="AC102" s="22">
        <f t="shared" si="57"/>
        <v>8.6338919649030377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-1.1368683772161603E-13</v>
      </c>
      <c r="AJ102" s="13">
        <f>AI102*VLOOKUP('Données projet'!$B$10,Paramètres!$A$1:$I$89,3,0)*VLOOKUP('Données projet'!$B$10,Paramètres!$A$1:$I$89,5,0)</f>
        <v>-6.7984728957526396E-14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311.06126148520821</v>
      </c>
      <c r="AO102" s="59">
        <f t="shared" si="90"/>
        <v>321.1728368524748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0.89209066649744551</v>
      </c>
      <c r="AV102" s="21">
        <f>EXP(-LN(2)/25)*AV101+(1-EXP(-LN(2)/25))/(LN(2)/25)*Calculateur!AQ102*Calculateur!AS102*VLOOKUP('Données projet'!$B$10,Paramètres!$A$1:$I$89,3,0)*0.475*44/12</f>
        <v>3.1502563217838104</v>
      </c>
      <c r="AW102" s="21">
        <f>EXP(-LN(2)/2)*AW101+(1-EXP(-LN(2)/2))/(LN(2)/2)*AQ102*AT102*VLOOKUP('Données projet'!$B$10,Paramètres!$A$1:$I$89,3,0)*0.475*44/12</f>
        <v>1.2472558909855296E-9</v>
      </c>
      <c r="AX102" s="21">
        <f t="shared" si="60"/>
        <v>4.0423469895285118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-7.9580786405131221E-13</v>
      </c>
      <c r="BE102" s="13">
        <f>BD102*VLOOKUP('Données projet'!$B$11,Paramètres!$A$1:$I$89,3,0)*VLOOKUP('Données projet'!$B$11,Paramètres!$A$1:$I$89,5,0)</f>
        <v>-3.8278358260868117E-13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371.85813103419366</v>
      </c>
      <c r="BJ102" s="59">
        <f t="shared" si="92"/>
        <v>370.01698880104584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7.0875208115792017</v>
      </c>
      <c r="BQ102" s="21">
        <f>EXP(-LN(2)/25)*BQ101+(1-EXP(-LN(2)/25))/(LN(2)/25)*Calculateur!BL102*Calculateur!BN102*VLOOKUP('Données projet'!$B$11,Paramètres!$A$1:$I$89,3,0)*0.475*44/12</f>
        <v>6.6564681668473336</v>
      </c>
      <c r="BR102" s="21">
        <f>EXP(-LN(2)/2)*BR101+(1-EXP(-LN(2)/2))/(LN(2)/2)*BL102*BO102*VLOOKUP('Données projet'!$B$11,Paramètres!$A$1:$I$89,3,0)*0.475*44/12</f>
        <v>3.641025385738061E-8</v>
      </c>
      <c r="BS102" s="22">
        <f t="shared" si="63"/>
        <v>13.74398901483679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5.6843418860808015E-13</v>
      </c>
      <c r="BZ102" s="13">
        <f>BY102*VLOOKUP('Données projet'!$B$12,Paramètres!$A$1:$I$89,3,0)*VLOOKUP('Données projet'!$B$12,Paramètres!$A$1:$I$89,5,0)</f>
        <v>3.1036506698001181E-13</v>
      </c>
      <c r="CA102" s="13">
        <f t="shared" si="93"/>
        <v>4.086682523110923E-12</v>
      </c>
      <c r="CB102" s="20">
        <f t="shared" si="64"/>
        <v>7.6581912194083782E-12</v>
      </c>
      <c r="CC102" s="59">
        <f t="shared" si="65"/>
        <v>293.33333333334099</v>
      </c>
      <c r="CD102" s="59">
        <f ca="1">AVERAGE(OFFSET($CC$3,0,0,'Données projet'!$E$12+1,1))-AVERAGE(OFFSET($H$3,0,0,'Données projet'!$E$12+1,1))</f>
        <v>248.1486444660062</v>
      </c>
      <c r="CE102" s="59">
        <f t="shared" si="94"/>
        <v>293.34458072322127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2.1720468401676909</v>
      </c>
      <c r="CL102" s="21">
        <f>EXP(-LN(2)/25)*CL101+(1-EXP(-LN(2)/25))/(LN(2)/25)*Calculateur!CG102*Calculateur!CI102*VLOOKUP('Données projet'!$B$12,Paramètres!$A$1:$I$89,3,0)*0.475*44/12</f>
        <v>5.0247901043378027</v>
      </c>
      <c r="CM102" s="21">
        <f>EXP(-LN(2)/2)*CM101+(1-EXP(-LN(2)/2))/(LN(2)/2)*CG102*CJ102*VLOOKUP('Données projet'!$B$12,Paramètres!$A$1:$I$89,3,0)*0.475*44/12</f>
        <v>1.036484275976611E-9</v>
      </c>
      <c r="CN102" s="22">
        <f t="shared" si="66"/>
        <v>7.1968369455419783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-2.2737367544323206E-13</v>
      </c>
      <c r="CU102" s="17">
        <f>CT102*VLOOKUP('Données projet'!$B$13,Paramètres!$A$1:$I$89,3,0)*VLOOKUP('Données projet'!$B$13,Paramètres!$A$1:$I$89,5,0)</f>
        <v>-1.8089849618263545E-13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314.94704727988847</v>
      </c>
      <c r="CZ102" s="59">
        <f t="shared" si="96"/>
        <v>366.49199094166454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0.99847663417912846</v>
      </c>
      <c r="DG102" s="21">
        <f>EXP(-LN(2)/25)*DG101+(1-EXP(-LN(2)/25))/(LN(2)/25)*Calculateur!DB102*Calculateur!DD102*VLOOKUP('Données projet'!$B$13,Paramètres!$A$1:$I$89,3,0)*0.475*44/12</f>
        <v>3.7506692551649419</v>
      </c>
      <c r="DH102" s="21">
        <f>EXP(-LN(2)/2)*DH101+(1-EXP(-LN(2)/2))/(LN(2)/2)*DB102*DE102*VLOOKUP('Données projet'!$B$13,Paramètres!$A$1:$I$89,3,0)*0.475*44/12</f>
        <v>1.1882298249943815E-9</v>
      </c>
      <c r="DI102" s="22">
        <f t="shared" si="69"/>
        <v>4.7491458905323007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-1.2505552149377763E-12</v>
      </c>
      <c r="O103" s="13">
        <f>N103*VLOOKUP('Données projet'!$B$9,Paramètres!$A$1:$I$89,3,0)*VLOOKUP('Données projet'!$B$9,Paramètres!$A$1:$I$89,5,0)</f>
        <v>-6.9906036515021697E-13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415.91544298418842</v>
      </c>
      <c r="T103" s="59">
        <f t="shared" si="88"/>
        <v>422.79312683312583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2.8549656927742029</v>
      </c>
      <c r="AA103" s="21">
        <f>EXP(-LN(2)/25)*AA102+(1-EXP(-LN(2)/25))/(LN(2)/25)*Calculateur!V103*Calculateur!X103*VLOOKUP('Données projet'!$B$9,Paramètres!$A$1:$I$89,3,0)*0.475*44/12</f>
        <v>5.565358828545361</v>
      </c>
      <c r="AB103" s="21">
        <f>EXP(-LN(2)/2)*AB102+(1-EXP(-LN(2)/2))/(LN(2)/2)*V103*Y103*VLOOKUP('Données projet'!$B$9,Paramètres!$A$1:$I$89,3,0)*0.475*44/12</f>
        <v>1.061471742433324E-9</v>
      </c>
      <c r="AC103" s="22">
        <f t="shared" si="57"/>
        <v>8.4203245223810352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-1.1368683772161603E-13</v>
      </c>
      <c r="AJ103" s="13">
        <f>AI103*VLOOKUP('Données projet'!$B$10,Paramètres!$A$1:$I$89,3,0)*VLOOKUP('Données projet'!$B$10,Paramètres!$A$1:$I$89,5,0)</f>
        <v>-6.7984728957526396E-14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311.06126148520821</v>
      </c>
      <c r="AO103" s="59">
        <f t="shared" si="90"/>
        <v>321.1728368524748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0.87459731264900964</v>
      </c>
      <c r="AV103" s="21">
        <f>EXP(-LN(2)/25)*AV102+(1-EXP(-LN(2)/25))/(LN(2)/25)*Calculateur!AQ103*Calculateur!AS103*VLOOKUP('Données projet'!$B$10,Paramètres!$A$1:$I$89,3,0)*0.475*44/12</f>
        <v>3.0641123969998523</v>
      </c>
      <c r="AW103" s="21">
        <f>EXP(-LN(2)/2)*AW102+(1-EXP(-LN(2)/2))/(LN(2)/2)*AQ103*AT103*VLOOKUP('Données projet'!$B$10,Paramètres!$A$1:$I$89,3,0)*0.475*44/12</f>
        <v>8.8194309839073729E-10</v>
      </c>
      <c r="AX103" s="21">
        <f t="shared" si="60"/>
        <v>3.9387097105308047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-7.9580786405131221E-13</v>
      </c>
      <c r="BE103" s="13">
        <f>BD103*VLOOKUP('Données projet'!$B$11,Paramètres!$A$1:$I$89,3,0)*VLOOKUP('Données projet'!$B$11,Paramètres!$A$1:$I$89,5,0)</f>
        <v>-3.8278358260868117E-13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371.85813103419366</v>
      </c>
      <c r="BJ103" s="59">
        <f t="shared" si="92"/>
        <v>370.01698880104584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6.9485388514249715</v>
      </c>
      <c r="BQ103" s="21">
        <f>EXP(-LN(2)/25)*BQ102+(1-EXP(-LN(2)/25))/(LN(2)/25)*Calculateur!BL103*Calculateur!BN103*VLOOKUP('Données projet'!$B$11,Paramètres!$A$1:$I$89,3,0)*0.475*44/12</f>
        <v>6.4744466947764456</v>
      </c>
      <c r="BR103" s="21">
        <f>EXP(-LN(2)/2)*BR102+(1-EXP(-LN(2)/2))/(LN(2)/2)*BL103*BO103*VLOOKUP('Données projet'!$B$11,Paramètres!$A$1:$I$89,3,0)*0.475*44/12</f>
        <v>2.574593740727748E-8</v>
      </c>
      <c r="BS103" s="22">
        <f t="shared" si="63"/>
        <v>13.422985571947354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5.6843418860808015E-13</v>
      </c>
      <c r="BZ103" s="13">
        <f>BY103*VLOOKUP('Données projet'!$B$12,Paramètres!$A$1:$I$89,3,0)*VLOOKUP('Données projet'!$B$12,Paramètres!$A$1:$I$89,5,0)</f>
        <v>3.1036506698001181E-13</v>
      </c>
      <c r="CA103" s="13">
        <f t="shared" si="93"/>
        <v>4.086682523110923E-12</v>
      </c>
      <c r="CB103" s="20">
        <f t="shared" si="64"/>
        <v>7.6581912194083782E-12</v>
      </c>
      <c r="CC103" s="59">
        <f t="shared" si="65"/>
        <v>293.33333333334099</v>
      </c>
      <c r="CD103" s="59">
        <f ca="1">AVERAGE(OFFSET($CC$3,0,0,'Données projet'!$E$12+1,1))-AVERAGE(OFFSET($H$3,0,0,'Données projet'!$E$12+1,1))</f>
        <v>248.1486444660062</v>
      </c>
      <c r="CE103" s="59">
        <f t="shared" si="94"/>
        <v>293.34458072322127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2.1294543264497601</v>
      </c>
      <c r="CL103" s="21">
        <f>EXP(-LN(2)/25)*CL102+(1-EXP(-LN(2)/25))/(LN(2)/25)*Calculateur!CG103*Calculateur!CI103*VLOOKUP('Données projet'!$B$12,Paramètres!$A$1:$I$89,3,0)*0.475*44/12</f>
        <v>4.8873869546924587</v>
      </c>
      <c r="CM103" s="21">
        <f>EXP(-LN(2)/2)*CM102+(1-EXP(-LN(2)/2))/(LN(2)/2)*CG103*CJ103*VLOOKUP('Données projet'!$B$12,Paramètres!$A$1:$I$89,3,0)*0.475*44/12</f>
        <v>7.3290506013629064E-10</v>
      </c>
      <c r="CN103" s="22">
        <f t="shared" si="66"/>
        <v>7.0168412818751236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-2.2737367544323206E-13</v>
      </c>
      <c r="CU103" s="17">
        <f>CT103*VLOOKUP('Données projet'!$B$13,Paramètres!$A$1:$I$89,3,0)*VLOOKUP('Données projet'!$B$13,Paramètres!$A$1:$I$89,5,0)</f>
        <v>-1.8089849618263545E-13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314.94704727988847</v>
      </c>
      <c r="CZ103" s="59">
        <f t="shared" si="96"/>
        <v>366.49199094166454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0.97889711639348775</v>
      </c>
      <c r="DG103" s="21">
        <f>EXP(-LN(2)/25)*DG102+(1-EXP(-LN(2)/25))/(LN(2)/25)*Calculateur!DB103*Calculateur!DD103*VLOOKUP('Données projet'!$B$13,Paramètres!$A$1:$I$89,3,0)*0.475*44/12</f>
        <v>3.6481070071433326</v>
      </c>
      <c r="DH103" s="21">
        <f>EXP(-LN(2)/2)*DH102+(1-EXP(-LN(2)/2))/(LN(2)/2)*DB103*DE103*VLOOKUP('Données projet'!$B$13,Paramètres!$A$1:$I$89,3,0)*0.475*44/12</f>
        <v>8.4020536686163177E-10</v>
      </c>
      <c r="DI103" s="22">
        <f t="shared" si="69"/>
        <v>4.6270041243770255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-1.2505552149377763E-12</v>
      </c>
      <c r="O104" s="13">
        <f>N104*VLOOKUP('Données projet'!$B$9,Paramètres!$A$1:$I$89,3,0)*VLOOKUP('Données projet'!$B$9,Paramètres!$A$1:$I$89,5,0)</f>
        <v>-6.9906036515021697E-13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415.91544298418842</v>
      </c>
      <c r="T104" s="59">
        <f t="shared" si="88"/>
        <v>422.79312683312583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2.7989815568960288</v>
      </c>
      <c r="AA104" s="21">
        <f>EXP(-LN(2)/25)*AA103+(1-EXP(-LN(2)/25))/(LN(2)/25)*Calculateur!V104*Calculateur!X104*VLOOKUP('Données projet'!$B$9,Paramètres!$A$1:$I$89,3,0)*0.475*44/12</f>
        <v>5.4131737987092867</v>
      </c>
      <c r="AB104" s="21">
        <f>EXP(-LN(2)/2)*AB103+(1-EXP(-LN(2)/2))/(LN(2)/2)*V104*Y104*VLOOKUP('Données projet'!$B$9,Paramètres!$A$1:$I$89,3,0)*0.475*44/12</f>
        <v>7.5057386711250376E-10</v>
      </c>
      <c r="AC104" s="22">
        <f t="shared" si="57"/>
        <v>8.2121553563558898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-6.7984728957526396E-14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311.06126148520821</v>
      </c>
      <c r="AO104" s="59">
        <f t="shared" si="90"/>
        <v>321.1728368524748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0.85744699279964931</v>
      </c>
      <c r="AV104" s="21">
        <f>EXP(-LN(2)/25)*AV103+(1-EXP(-LN(2)/25))/(LN(2)/25)*Calculateur!AQ104*Calculateur!AS104*VLOOKUP('Données projet'!$B$10,Paramètres!$A$1:$I$89,3,0)*0.475*44/12</f>
        <v>2.9803240823692234</v>
      </c>
      <c r="AW104" s="21">
        <f>EXP(-LN(2)/2)*AW103+(1-EXP(-LN(2)/2))/(LN(2)/2)*AQ104*AT104*VLOOKUP('Données projet'!$B$10,Paramètres!$A$1:$I$89,3,0)*0.475*44/12</f>
        <v>6.2362794549276482E-10</v>
      </c>
      <c r="AX104" s="21">
        <f t="shared" si="60"/>
        <v>3.8377710757925008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-7.9580786405131221E-13</v>
      </c>
      <c r="BE104" s="13">
        <f>BD104*VLOOKUP('Données projet'!$B$11,Paramètres!$A$1:$I$89,3,0)*VLOOKUP('Données projet'!$B$11,Paramètres!$A$1:$I$89,5,0)</f>
        <v>-3.8278358260868117E-13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371.85813103419366</v>
      </c>
      <c r="BJ104" s="59">
        <f t="shared" si="92"/>
        <v>370.01698880104584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6.8122822427387408</v>
      </c>
      <c r="BQ104" s="21">
        <f>EXP(-LN(2)/25)*BQ103+(1-EXP(-LN(2)/25))/(LN(2)/25)*Calculateur!BL104*Calculateur!BN104*VLOOKUP('Données projet'!$B$11,Paramètres!$A$1:$I$89,3,0)*0.475*44/12</f>
        <v>6.2974026094314297</v>
      </c>
      <c r="BR104" s="21">
        <f>EXP(-LN(2)/2)*BR103+(1-EXP(-LN(2)/2))/(LN(2)/2)*BL104*BO104*VLOOKUP('Données projet'!$B$11,Paramètres!$A$1:$I$89,3,0)*0.475*44/12</f>
        <v>1.8205126928690305E-8</v>
      </c>
      <c r="BS104" s="22">
        <f t="shared" si="63"/>
        <v>13.109684870375297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5.6843418860808015E-13</v>
      </c>
      <c r="BZ104" s="13">
        <f>BY104*VLOOKUP('Données projet'!$B$12,Paramètres!$A$1:$I$89,3,0)*VLOOKUP('Données projet'!$B$12,Paramètres!$A$1:$I$89,5,0)</f>
        <v>3.1036506698001181E-13</v>
      </c>
      <c r="CA104" s="13">
        <f t="shared" si="93"/>
        <v>4.086682523110923E-12</v>
      </c>
      <c r="CB104" s="20">
        <f t="shared" si="64"/>
        <v>7.6581912194083782E-12</v>
      </c>
      <c r="CC104" s="59">
        <f t="shared" si="65"/>
        <v>293.33333333334099</v>
      </c>
      <c r="CD104" s="59">
        <f ca="1">AVERAGE(OFFSET($CC$3,0,0,'Données projet'!$E$12+1,1))-AVERAGE(OFFSET($H$3,0,0,'Données projet'!$E$12+1,1))</f>
        <v>248.1486444660062</v>
      </c>
      <c r="CE104" s="59">
        <f t="shared" si="94"/>
        <v>293.34458072322127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2.0876970259469698</v>
      </c>
      <c r="CL104" s="21">
        <f>EXP(-LN(2)/25)*CL103+(1-EXP(-LN(2)/25))/(LN(2)/25)*Calculateur!CG104*Calculateur!CI104*VLOOKUP('Données projet'!$B$12,Paramètres!$A$1:$I$89,3,0)*0.475*44/12</f>
        <v>4.7537411013998838</v>
      </c>
      <c r="CM104" s="21">
        <f>EXP(-LN(2)/2)*CM103+(1-EXP(-LN(2)/2))/(LN(2)/2)*CG104*CJ104*VLOOKUP('Données projet'!$B$12,Paramètres!$A$1:$I$89,3,0)*0.475*44/12</f>
        <v>5.1824213798830552E-10</v>
      </c>
      <c r="CN104" s="22">
        <f t="shared" si="66"/>
        <v>6.8414381278650955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-2.2737367544323206E-13</v>
      </c>
      <c r="CU104" s="17">
        <f>CT104*VLOOKUP('Données projet'!$B$13,Paramètres!$A$1:$I$89,3,0)*VLOOKUP('Données projet'!$B$13,Paramètres!$A$1:$I$89,5,0)</f>
        <v>-1.8089849618263545E-13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314.94704727988847</v>
      </c>
      <c r="CZ104" s="59">
        <f t="shared" si="96"/>
        <v>366.49199094166454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0.95970154100929683</v>
      </c>
      <c r="DG104" s="21">
        <f>EXP(-LN(2)/25)*DG103+(1-EXP(-LN(2)/25))/(LN(2)/25)*Calculateur!DB104*Calculateur!DD104*VLOOKUP('Données projet'!$B$13,Paramètres!$A$1:$I$89,3,0)*0.475*44/12</f>
        <v>3.5483493291873884</v>
      </c>
      <c r="DH104" s="21">
        <f>EXP(-LN(2)/2)*DH103+(1-EXP(-LN(2)/2))/(LN(2)/2)*DB104*DE104*VLOOKUP('Données projet'!$B$13,Paramètres!$A$1:$I$89,3,0)*0.475*44/12</f>
        <v>5.9411491249719073E-10</v>
      </c>
      <c r="DI104" s="22">
        <f t="shared" si="69"/>
        <v>4.5080508707908002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-1.2505552149377763E-12</v>
      </c>
      <c r="O105" s="13">
        <f>N105*VLOOKUP('Données projet'!$B$9,Paramètres!$A$1:$I$89,3,0)*VLOOKUP('Données projet'!$B$9,Paramètres!$A$1:$I$89,5,0)</f>
        <v>-6.9906036515021697E-13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415.91544298418842</v>
      </c>
      <c r="T105" s="59">
        <f t="shared" si="88"/>
        <v>422.79312683312583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2.7440952357754744</v>
      </c>
      <c r="AA105" s="21">
        <f>EXP(-LN(2)/25)*AA104+(1-EXP(-LN(2)/25))/(LN(2)/25)*Calculateur!V105*Calculateur!X105*VLOOKUP('Données projet'!$B$9,Paramètres!$A$1:$I$89,3,0)*0.475*44/12</f>
        <v>5.2651502765171427</v>
      </c>
      <c r="AB105" s="21">
        <f>EXP(-LN(2)/2)*AB104+(1-EXP(-LN(2)/2))/(LN(2)/2)*V105*Y105*VLOOKUP('Données projet'!$B$9,Paramètres!$A$1:$I$89,3,0)*0.475*44/12</f>
        <v>5.3073587121666199E-10</v>
      </c>
      <c r="AC105" s="22">
        <f t="shared" si="57"/>
        <v>8.0092455128233535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-6.7984728957526396E-14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311.06126148520821</v>
      </c>
      <c r="AO105" s="59">
        <f t="shared" si="90"/>
        <v>321.1728368524748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0.84063298026187272</v>
      </c>
      <c r="AV105" s="21">
        <f>EXP(-LN(2)/25)*AV104+(1-EXP(-LN(2)/25))/(LN(2)/25)*Calculateur!AQ105*Calculateur!AS105*VLOOKUP('Données projet'!$B$10,Paramètres!$A$1:$I$89,3,0)*0.475*44/12</f>
        <v>2.8988269636084052</v>
      </c>
      <c r="AW105" s="21">
        <f>EXP(-LN(2)/2)*AW104+(1-EXP(-LN(2)/2))/(LN(2)/2)*AQ105*AT105*VLOOKUP('Données projet'!$B$10,Paramètres!$A$1:$I$89,3,0)*0.475*44/12</f>
        <v>4.4097154919536865E-10</v>
      </c>
      <c r="AX105" s="21">
        <f t="shared" si="60"/>
        <v>3.7394599443112497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-7.9580786405131221E-13</v>
      </c>
      <c r="BE105" s="13">
        <f>BD105*VLOOKUP('Données projet'!$B$11,Paramètres!$A$1:$I$89,3,0)*VLOOKUP('Données projet'!$B$11,Paramètres!$A$1:$I$89,5,0)</f>
        <v>-3.8278358260868117E-13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371.85813103419366</v>
      </c>
      <c r="BJ105" s="59">
        <f t="shared" si="92"/>
        <v>370.01698880104584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6.6786975430405215</v>
      </c>
      <c r="BQ105" s="21">
        <f>EXP(-LN(2)/25)*BQ104+(1-EXP(-LN(2)/25))/(LN(2)/25)*Calculateur!BL105*Calculateur!BN105*VLOOKUP('Données projet'!$B$11,Paramètres!$A$1:$I$89,3,0)*0.475*44/12</f>
        <v>6.1251998039105171</v>
      </c>
      <c r="BR105" s="21">
        <f>EXP(-LN(2)/2)*BR104+(1-EXP(-LN(2)/2))/(LN(2)/2)*BL105*BO105*VLOOKUP('Données projet'!$B$11,Paramètres!$A$1:$I$89,3,0)*0.475*44/12</f>
        <v>1.287296870363874E-8</v>
      </c>
      <c r="BS105" s="22">
        <f t="shared" si="63"/>
        <v>12.803897359824008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5.6843418860808015E-13</v>
      </c>
      <c r="BZ105" s="13">
        <f>BY105*VLOOKUP('Données projet'!$B$12,Paramètres!$A$1:$I$89,3,0)*VLOOKUP('Données projet'!$B$12,Paramètres!$A$1:$I$89,5,0)</f>
        <v>3.1036506698001181E-13</v>
      </c>
      <c r="CA105" s="13">
        <f t="shared" si="93"/>
        <v>4.086682523110923E-12</v>
      </c>
      <c r="CB105" s="20">
        <f t="shared" si="64"/>
        <v>7.6581912194083782E-12</v>
      </c>
      <c r="CC105" s="59">
        <f t="shared" si="65"/>
        <v>293.33333333334099</v>
      </c>
      <c r="CD105" s="59">
        <f ca="1">AVERAGE(OFFSET($CC$3,0,0,'Données projet'!$E$12+1,1))-AVERAGE(OFFSET($H$3,0,0,'Données projet'!$E$12+1,1))</f>
        <v>248.1486444660062</v>
      </c>
      <c r="CE105" s="59">
        <f t="shared" si="94"/>
        <v>293.34458072322127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2.0467585606376009</v>
      </c>
      <c r="CL105" s="21">
        <f>EXP(-LN(2)/25)*CL104+(1-EXP(-LN(2)/25))/(LN(2)/25)*Calculateur!CG105*Calculateur!CI105*VLOOKUP('Données projet'!$B$12,Paramètres!$A$1:$I$89,3,0)*0.475*44/12</f>
        <v>4.6237498009937239</v>
      </c>
      <c r="CM105" s="21">
        <f>EXP(-LN(2)/2)*CM104+(1-EXP(-LN(2)/2))/(LN(2)/2)*CG105*CJ105*VLOOKUP('Données projet'!$B$12,Paramètres!$A$1:$I$89,3,0)*0.475*44/12</f>
        <v>3.6645253006814532E-10</v>
      </c>
      <c r="CN105" s="22">
        <f t="shared" si="66"/>
        <v>6.6705083619977774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-2.2737367544323206E-13</v>
      </c>
      <c r="CU105" s="17">
        <f>CT105*VLOOKUP('Données projet'!$B$13,Paramètres!$A$1:$I$89,3,0)*VLOOKUP('Données projet'!$B$13,Paramètres!$A$1:$I$89,5,0)</f>
        <v>-1.8089849618263545E-13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314.94704727988847</v>
      </c>
      <c r="CZ105" s="59">
        <f t="shared" si="96"/>
        <v>366.49199094166454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0.94088237915024497</v>
      </c>
      <c r="DG105" s="21">
        <f>EXP(-LN(2)/25)*DG104+(1-EXP(-LN(2)/25))/(LN(2)/25)*Calculateur!DB105*Calculateur!DD105*VLOOKUP('Données projet'!$B$13,Paramètres!$A$1:$I$89,3,0)*0.475*44/12</f>
        <v>3.4513195301811779</v>
      </c>
      <c r="DH105" s="21">
        <f>EXP(-LN(2)/2)*DH104+(1-EXP(-LN(2)/2))/(LN(2)/2)*DB105*DE105*VLOOKUP('Données projet'!$B$13,Paramètres!$A$1:$I$89,3,0)*0.475*44/12</f>
        <v>4.2010268343081588E-10</v>
      </c>
      <c r="DI105" s="22">
        <f t="shared" si="69"/>
        <v>4.3922019097515257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-1.2505552149377763E-12</v>
      </c>
      <c r="O106" s="13">
        <f>N106*VLOOKUP('Données projet'!$B$9,Paramètres!$A$1:$I$89,3,0)*VLOOKUP('Données projet'!$B$9,Paramètres!$A$1:$I$89,5,0)</f>
        <v>-6.9906036515021697E-13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415.91544298418842</v>
      </c>
      <c r="T106" s="59">
        <f t="shared" si="88"/>
        <v>422.79312683312583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2.6902852019347439</v>
      </c>
      <c r="AA106" s="21">
        <f>EXP(-LN(2)/25)*AA105+(1-EXP(-LN(2)/25))/(LN(2)/25)*Calculateur!V106*Calculateur!X106*VLOOKUP('Données projet'!$B$9,Paramètres!$A$1:$I$89,3,0)*0.475*44/12</f>
        <v>5.1211744653235618</v>
      </c>
      <c r="AB106" s="21">
        <f>EXP(-LN(2)/2)*AB105+(1-EXP(-LN(2)/2))/(LN(2)/2)*V106*Y106*VLOOKUP('Données projet'!$B$9,Paramètres!$A$1:$I$89,3,0)*0.475*44/12</f>
        <v>3.7528693355625188E-10</v>
      </c>
      <c r="AC106" s="22">
        <f t="shared" si="57"/>
        <v>7.811459667633593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-6.7984728957526396E-14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311.06126148520821</v>
      </c>
      <c r="AO106" s="59">
        <f t="shared" si="90"/>
        <v>321.1728368524748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0.82414868025442689</v>
      </c>
      <c r="AV106" s="21">
        <f>EXP(-LN(2)/25)*AV105+(1-EXP(-LN(2)/25))/(LN(2)/25)*Calculateur!AQ106*Calculateur!AS106*VLOOKUP('Données projet'!$B$10,Paramètres!$A$1:$I$89,3,0)*0.475*44/12</f>
        <v>2.8195583878458486</v>
      </c>
      <c r="AW106" s="21">
        <f>EXP(-LN(2)/2)*AW105+(1-EXP(-LN(2)/2))/(LN(2)/2)*AQ106*AT106*VLOOKUP('Données projet'!$B$10,Paramètres!$A$1:$I$89,3,0)*0.475*44/12</f>
        <v>3.1181397274638241E-10</v>
      </c>
      <c r="AX106" s="21">
        <f t="shared" si="60"/>
        <v>3.6437070684120898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-7.9580786405131221E-13</v>
      </c>
      <c r="BE106" s="13">
        <f>BD106*VLOOKUP('Données projet'!$B$11,Paramètres!$A$1:$I$89,3,0)*VLOOKUP('Données projet'!$B$11,Paramètres!$A$1:$I$89,5,0)</f>
        <v>-3.8278358260868117E-13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371.85813103419366</v>
      </c>
      <c r="BJ106" s="59">
        <f t="shared" si="92"/>
        <v>370.01698880104584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6.5477323578247635</v>
      </c>
      <c r="BQ106" s="21">
        <f>EXP(-LN(2)/25)*BQ105+(1-EXP(-LN(2)/25))/(LN(2)/25)*Calculateur!BL106*Calculateur!BN106*VLOOKUP('Données projet'!$B$11,Paramètres!$A$1:$I$89,3,0)*0.475*44/12</f>
        <v>5.9577058931623252</v>
      </c>
      <c r="BR106" s="21">
        <f>EXP(-LN(2)/2)*BR105+(1-EXP(-LN(2)/2))/(LN(2)/2)*BL106*BO106*VLOOKUP('Données projet'!$B$11,Paramètres!$A$1:$I$89,3,0)*0.475*44/12</f>
        <v>9.1025634643451526E-9</v>
      </c>
      <c r="BS106" s="22">
        <f t="shared" si="63"/>
        <v>12.505438260089653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5.6843418860808015E-13</v>
      </c>
      <c r="BZ106" s="13">
        <f>BY106*VLOOKUP('Données projet'!$B$12,Paramètres!$A$1:$I$89,3,0)*VLOOKUP('Données projet'!$B$12,Paramètres!$A$1:$I$89,5,0)</f>
        <v>3.1036506698001181E-13</v>
      </c>
      <c r="CA106" s="13">
        <f t="shared" si="93"/>
        <v>4.086682523110923E-12</v>
      </c>
      <c r="CB106" s="20">
        <f t="shared" si="64"/>
        <v>7.6581912194083782E-12</v>
      </c>
      <c r="CC106" s="59">
        <f t="shared" si="65"/>
        <v>293.33333333334099</v>
      </c>
      <c r="CD106" s="59">
        <f ca="1">AVERAGE(OFFSET($CC$3,0,0,'Données projet'!$E$12+1,1))-AVERAGE(OFFSET($H$3,0,0,'Données projet'!$E$12+1,1))</f>
        <v>248.1486444660062</v>
      </c>
      <c r="CE106" s="59">
        <f t="shared" si="94"/>
        <v>293.34458072322127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2.0066228736629501</v>
      </c>
      <c r="CL106" s="21">
        <f>EXP(-LN(2)/25)*CL105+(1-EXP(-LN(2)/25))/(LN(2)/25)*Calculateur!CG106*Calculateur!CI106*VLOOKUP('Données projet'!$B$12,Paramètres!$A$1:$I$89,3,0)*0.475*44/12</f>
        <v>4.497313119533116</v>
      </c>
      <c r="CM106" s="21">
        <f>EXP(-LN(2)/2)*CM105+(1-EXP(-LN(2)/2))/(LN(2)/2)*CG106*CJ106*VLOOKUP('Données projet'!$B$12,Paramètres!$A$1:$I$89,3,0)*0.475*44/12</f>
        <v>2.5912106899415276E-10</v>
      </c>
      <c r="CN106" s="22">
        <f t="shared" si="66"/>
        <v>6.5039359934551868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-2.2737367544323206E-13</v>
      </c>
      <c r="CU106" s="17">
        <f>CT106*VLOOKUP('Données projet'!$B$13,Paramètres!$A$1:$I$89,3,0)*VLOOKUP('Données projet'!$B$13,Paramètres!$A$1:$I$89,5,0)</f>
        <v>-1.8089849618263545E-13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314.94704727988847</v>
      </c>
      <c r="CZ106" s="59">
        <f t="shared" si="96"/>
        <v>366.49199094166454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0.9224322495766939</v>
      </c>
      <c r="DG106" s="21">
        <f>EXP(-LN(2)/25)*DG105+(1-EXP(-LN(2)/25))/(LN(2)/25)*Calculateur!DB106*Calculateur!DD106*VLOOKUP('Données projet'!$B$13,Paramètres!$A$1:$I$89,3,0)*0.475*44/12</f>
        <v>3.3569430161313676</v>
      </c>
      <c r="DH106" s="21">
        <f>EXP(-LN(2)/2)*DH105+(1-EXP(-LN(2)/2))/(LN(2)/2)*DB106*DE106*VLOOKUP('Données projet'!$B$13,Paramètres!$A$1:$I$89,3,0)*0.475*44/12</f>
        <v>2.9705745624859537E-10</v>
      </c>
      <c r="DI106" s="22">
        <f t="shared" si="69"/>
        <v>4.2793752660051192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-1.2505552149377763E-12</v>
      </c>
      <c r="O107" s="13">
        <f>N107*VLOOKUP('Données projet'!$B$9,Paramètres!$A$1:$I$89,3,0)*VLOOKUP('Données projet'!$B$9,Paramètres!$A$1:$I$89,5,0)</f>
        <v>-6.9906036515021697E-13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415.91544298418842</v>
      </c>
      <c r="T107" s="59">
        <f t="shared" si="88"/>
        <v>422.79312683312583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2.6375303500367502</v>
      </c>
      <c r="AA107" s="21">
        <f>EXP(-LN(2)/25)*AA106+(1-EXP(-LN(2)/25))/(LN(2)/25)*Calculateur!V107*Calculateur!X107*VLOOKUP('Données projet'!$B$9,Paramètres!$A$1:$I$89,3,0)*0.475*44/12</f>
        <v>4.9811356802584283</v>
      </c>
      <c r="AB107" s="21">
        <f>EXP(-LN(2)/2)*AB106+(1-EXP(-LN(2)/2))/(LN(2)/2)*V107*Y107*VLOOKUP('Données projet'!$B$9,Paramètres!$A$1:$I$89,3,0)*0.475*44/12</f>
        <v>2.65367935608331E-10</v>
      </c>
      <c r="AC107" s="22">
        <f t="shared" si="57"/>
        <v>7.6186660305605471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-6.7984728957526396E-14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311.06126148520821</v>
      </c>
      <c r="AO107" s="59">
        <f t="shared" si="90"/>
        <v>321.1728368524748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0.80798762731569695</v>
      </c>
      <c r="AV107" s="21">
        <f>EXP(-LN(2)/25)*AV106+(1-EXP(-LN(2)/25))/(LN(2)/25)*Calculateur!AQ107*Calculateur!AS107*VLOOKUP('Données projet'!$B$10,Paramètres!$A$1:$I$89,3,0)*0.475*44/12</f>
        <v>2.7424574154560726</v>
      </c>
      <c r="AW107" s="21">
        <f>EXP(-LN(2)/2)*AW106+(1-EXP(-LN(2)/2))/(LN(2)/2)*AQ107*AT107*VLOOKUP('Données projet'!$B$10,Paramètres!$A$1:$I$89,3,0)*0.475*44/12</f>
        <v>2.2048577459768432E-10</v>
      </c>
      <c r="AX107" s="21">
        <f t="shared" si="60"/>
        <v>3.5504450429922554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-7.9580786405131221E-13</v>
      </c>
      <c r="BE107" s="13">
        <f>BD107*VLOOKUP('Données projet'!$B$11,Paramètres!$A$1:$I$89,3,0)*VLOOKUP('Données projet'!$B$11,Paramètres!$A$1:$I$89,5,0)</f>
        <v>-3.8278358260868117E-13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371.85813103419366</v>
      </c>
      <c r="BJ107" s="59">
        <f t="shared" si="92"/>
        <v>370.01698880104584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6.4193353200102106</v>
      </c>
      <c r="BQ107" s="21">
        <f>EXP(-LN(2)/25)*BQ106+(1-EXP(-LN(2)/25))/(LN(2)/25)*Calculateur!BL107*Calculateur!BN107*VLOOKUP('Données projet'!$B$11,Paramètres!$A$1:$I$89,3,0)*0.475*44/12</f>
        <v>5.794792112211665</v>
      </c>
      <c r="BR107" s="21">
        <f>EXP(-LN(2)/2)*BR106+(1-EXP(-LN(2)/2))/(LN(2)/2)*BL107*BO107*VLOOKUP('Données projet'!$B$11,Paramètres!$A$1:$I$89,3,0)*0.475*44/12</f>
        <v>6.4364843518193699E-9</v>
      </c>
      <c r="BS107" s="22">
        <f t="shared" si="63"/>
        <v>12.214127438658361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5.6843418860808015E-13</v>
      </c>
      <c r="BZ107" s="13">
        <f>BY107*VLOOKUP('Données projet'!$B$12,Paramètres!$A$1:$I$89,3,0)*VLOOKUP('Données projet'!$B$12,Paramètres!$A$1:$I$89,5,0)</f>
        <v>3.1036506698001181E-13</v>
      </c>
      <c r="CA107" s="13">
        <f t="shared" si="93"/>
        <v>4.086682523110923E-12</v>
      </c>
      <c r="CB107" s="20">
        <f t="shared" si="64"/>
        <v>7.6581912194083782E-12</v>
      </c>
      <c r="CC107" s="59">
        <f t="shared" si="65"/>
        <v>293.33333333334099</v>
      </c>
      <c r="CD107" s="59">
        <f ca="1">AVERAGE(OFFSET($CC$3,0,0,'Données projet'!$E$12+1,1))-AVERAGE(OFFSET($H$3,0,0,'Données projet'!$E$12+1,1))</f>
        <v>248.1486444660062</v>
      </c>
      <c r="CE107" s="59">
        <f t="shared" si="94"/>
        <v>293.34458072322127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1.9672742230295206</v>
      </c>
      <c r="CL107" s="21">
        <f>EXP(-LN(2)/25)*CL106+(1-EXP(-LN(2)/25))/(LN(2)/25)*Calculateur!CG107*Calculateur!CI107*VLOOKUP('Données projet'!$B$12,Paramètres!$A$1:$I$89,3,0)*0.475*44/12</f>
        <v>4.3743338557760643</v>
      </c>
      <c r="CM107" s="21">
        <f>EXP(-LN(2)/2)*CM106+(1-EXP(-LN(2)/2))/(LN(2)/2)*CG107*CJ107*VLOOKUP('Données projet'!$B$12,Paramètres!$A$1:$I$89,3,0)*0.475*44/12</f>
        <v>1.8322626503407266E-10</v>
      </c>
      <c r="CN107" s="22">
        <f t="shared" si="66"/>
        <v>6.341608078988811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-2.2737367544323206E-13</v>
      </c>
      <c r="CU107" s="17">
        <f>CT107*VLOOKUP('Données projet'!$B$13,Paramètres!$A$1:$I$89,3,0)*VLOOKUP('Données projet'!$B$13,Paramètres!$A$1:$I$89,5,0)</f>
        <v>-1.8089849618263545E-13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314.94704727988847</v>
      </c>
      <c r="CZ107" s="59">
        <f t="shared" si="96"/>
        <v>366.49199094166454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0.90434391579061224</v>
      </c>
      <c r="DG107" s="21">
        <f>EXP(-LN(2)/25)*DG106+(1-EXP(-LN(2)/25))/(LN(2)/25)*Calculateur!DB107*Calculateur!DD107*VLOOKUP('Données projet'!$B$13,Paramètres!$A$1:$I$89,3,0)*0.475*44/12</f>
        <v>3.2651472328212945</v>
      </c>
      <c r="DH107" s="21">
        <f>EXP(-LN(2)/2)*DH106+(1-EXP(-LN(2)/2))/(LN(2)/2)*DB107*DE107*VLOOKUP('Données projet'!$B$13,Paramètres!$A$1:$I$89,3,0)*0.475*44/12</f>
        <v>2.1005134171540794E-10</v>
      </c>
      <c r="DI107" s="22">
        <f t="shared" si="69"/>
        <v>4.1694911488219581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-1.2505552149377763E-12</v>
      </c>
      <c r="O108" s="13">
        <f>N108*VLOOKUP('Données projet'!$B$9,Paramètres!$A$1:$I$89,3,0)*VLOOKUP('Données projet'!$B$9,Paramètres!$A$1:$I$89,5,0)</f>
        <v>-6.9906036515021697E-13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415.91544298418842</v>
      </c>
      <c r="T108" s="59">
        <f t="shared" si="88"/>
        <v>422.79312683312583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2.5858099886071937</v>
      </c>
      <c r="AA108" s="21">
        <f>EXP(-LN(2)/25)*AA107+(1-EXP(-LN(2)/25))/(LN(2)/25)*Calculateur!V108*Calculateur!X108*VLOOKUP('Données projet'!$B$9,Paramètres!$A$1:$I$89,3,0)*0.475*44/12</f>
        <v>4.8449262631352203</v>
      </c>
      <c r="AB108" s="21">
        <f>EXP(-LN(2)/2)*AB107+(1-EXP(-LN(2)/2))/(LN(2)/2)*V108*Y108*VLOOKUP('Données projet'!$B$9,Paramètres!$A$1:$I$89,3,0)*0.475*44/12</f>
        <v>1.8764346677812594E-10</v>
      </c>
      <c r="AC108" s="22">
        <f t="shared" si="57"/>
        <v>7.4307362519300577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-6.7984728957526396E-14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311.06126148520821</v>
      </c>
      <c r="AO108" s="59">
        <f t="shared" si="90"/>
        <v>321.1728368524748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0.79214348276782653</v>
      </c>
      <c r="AV108" s="21">
        <f>EXP(-LN(2)/25)*AV107+(1-EXP(-LN(2)/25))/(LN(2)/25)*Calculateur!AQ108*Calculateur!AS108*VLOOKUP('Données projet'!$B$10,Paramètres!$A$1:$I$89,3,0)*0.475*44/12</f>
        <v>2.6674647732108587</v>
      </c>
      <c r="AW108" s="21">
        <f>EXP(-LN(2)/2)*AW107+(1-EXP(-LN(2)/2))/(LN(2)/2)*AQ108*AT108*VLOOKUP('Données projet'!$B$10,Paramètres!$A$1:$I$89,3,0)*0.475*44/12</f>
        <v>1.5590698637319121E-10</v>
      </c>
      <c r="AX108" s="21">
        <f t="shared" si="60"/>
        <v>3.459608256134592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-7.9580786405131221E-13</v>
      </c>
      <c r="BE108" s="13">
        <f>BD108*VLOOKUP('Données projet'!$B$11,Paramètres!$A$1:$I$89,3,0)*VLOOKUP('Données projet'!$B$11,Paramètres!$A$1:$I$89,5,0)</f>
        <v>-3.8278358260868117E-13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371.85813103419366</v>
      </c>
      <c r="BJ108" s="59">
        <f t="shared" si="92"/>
        <v>370.01698880104584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6.2934560697927413</v>
      </c>
      <c r="BQ108" s="21">
        <f>EXP(-LN(2)/25)*BQ107+(1-EXP(-LN(2)/25))/(LN(2)/25)*Calculateur!BL108*Calculateur!BN108*VLOOKUP('Données projet'!$B$11,Paramètres!$A$1:$I$89,3,0)*0.475*44/12</f>
        <v>5.6363332171683638</v>
      </c>
      <c r="BR108" s="21">
        <f>EXP(-LN(2)/2)*BR107+(1-EXP(-LN(2)/2))/(LN(2)/2)*BL108*BO108*VLOOKUP('Données projet'!$B$11,Paramètres!$A$1:$I$89,3,0)*0.475*44/12</f>
        <v>4.5512817321725763E-9</v>
      </c>
      <c r="BS108" s="22">
        <f t="shared" si="63"/>
        <v>11.929789291512387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5.6843418860808015E-13</v>
      </c>
      <c r="BZ108" s="13">
        <f>BY108*VLOOKUP('Données projet'!$B$12,Paramètres!$A$1:$I$89,3,0)*VLOOKUP('Données projet'!$B$12,Paramètres!$A$1:$I$89,5,0)</f>
        <v>3.1036506698001181E-13</v>
      </c>
      <c r="CA108" s="13">
        <f t="shared" si="93"/>
        <v>4.086682523110923E-12</v>
      </c>
      <c r="CB108" s="20">
        <f t="shared" si="64"/>
        <v>7.6581912194083782E-12</v>
      </c>
      <c r="CC108" s="59">
        <f t="shared" si="65"/>
        <v>293.33333333334099</v>
      </c>
      <c r="CD108" s="59">
        <f ca="1">AVERAGE(OFFSET($CC$3,0,0,'Données projet'!$E$12+1,1))-AVERAGE(OFFSET($H$3,0,0,'Données projet'!$E$12+1,1))</f>
        <v>248.1486444660062</v>
      </c>
      <c r="CE108" s="59">
        <f t="shared" si="94"/>
        <v>293.34458072322127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1.9286971754347055</v>
      </c>
      <c r="CL108" s="21">
        <f>EXP(-LN(2)/25)*CL107+(1-EXP(-LN(2)/25))/(LN(2)/25)*Calculateur!CG108*Calculateur!CI108*VLOOKUP('Données projet'!$B$12,Paramètres!$A$1:$I$89,3,0)*0.475*44/12</f>
        <v>4.2547174664536476</v>
      </c>
      <c r="CM108" s="21">
        <f>EXP(-LN(2)/2)*CM107+(1-EXP(-LN(2)/2))/(LN(2)/2)*CG108*CJ108*VLOOKUP('Données projet'!$B$12,Paramètres!$A$1:$I$89,3,0)*0.475*44/12</f>
        <v>1.2956053449707638E-10</v>
      </c>
      <c r="CN108" s="22">
        <f t="shared" si="66"/>
        <v>6.1834146420179135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-2.2737367544323206E-13</v>
      </c>
      <c r="CU108" s="17">
        <f>CT108*VLOOKUP('Données projet'!$B$13,Paramètres!$A$1:$I$89,3,0)*VLOOKUP('Données projet'!$B$13,Paramètres!$A$1:$I$89,5,0)</f>
        <v>-1.8089849618263545E-13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314.94704727988847</v>
      </c>
      <c r="CZ108" s="59">
        <f t="shared" si="96"/>
        <v>366.49199094166454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0.88661028319728141</v>
      </c>
      <c r="DG108" s="21">
        <f>EXP(-LN(2)/25)*DG107+(1-EXP(-LN(2)/25))/(LN(2)/25)*Calculateur!DB108*Calculateur!DD108*VLOOKUP('Données projet'!$B$13,Paramètres!$A$1:$I$89,3,0)*0.475*44/12</f>
        <v>3.175861610033166</v>
      </c>
      <c r="DH108" s="21">
        <f>EXP(-LN(2)/2)*DH107+(1-EXP(-LN(2)/2))/(LN(2)/2)*DB108*DE108*VLOOKUP('Données projet'!$B$13,Paramètres!$A$1:$I$89,3,0)*0.475*44/12</f>
        <v>1.4852872812429768E-10</v>
      </c>
      <c r="DI108" s="22">
        <f t="shared" si="69"/>
        <v>4.0624718933789756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-1.2505552149377763E-12</v>
      </c>
      <c r="O109" s="13">
        <f>N109*VLOOKUP('Données projet'!$B$9,Paramètres!$A$1:$I$89,3,0)*VLOOKUP('Données projet'!$B$9,Paramètres!$A$1:$I$89,5,0)</f>
        <v>-6.9906036515021697E-13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415.91544298418842</v>
      </c>
      <c r="T109" s="59">
        <f t="shared" si="88"/>
        <v>422.79312683312583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2.5351038319189652</v>
      </c>
      <c r="AA109" s="21">
        <f>EXP(-LN(2)/25)*AA108+(1-EXP(-LN(2)/25))/(LN(2)/25)*Calculateur!V109*Calculateur!X109*VLOOKUP('Données projet'!$B$9,Paramètres!$A$1:$I$89,3,0)*0.475*44/12</f>
        <v>4.7124414996861885</v>
      </c>
      <c r="AB109" s="21">
        <f>EXP(-LN(2)/2)*AB108+(1-EXP(-LN(2)/2))/(LN(2)/2)*V109*Y109*VLOOKUP('Données projet'!$B$9,Paramètres!$A$1:$I$89,3,0)*0.475*44/12</f>
        <v>1.326839678041655E-10</v>
      </c>
      <c r="AC109" s="22">
        <f t="shared" si="57"/>
        <v>7.2475453317378378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-6.7984728957526396E-14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311.06126148520821</v>
      </c>
      <c r="AO109" s="59">
        <f t="shared" si="90"/>
        <v>321.1728368524748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0.77661003223056591</v>
      </c>
      <c r="AV109" s="21">
        <f>EXP(-LN(2)/25)*AV108+(1-EXP(-LN(2)/25))/(LN(2)/25)*Calculateur!AQ109*Calculateur!AS109*VLOOKUP('Données projet'!$B$10,Paramètres!$A$1:$I$89,3,0)*0.475*44/12</f>
        <v>2.594522808711532</v>
      </c>
      <c r="AW109" s="21">
        <f>EXP(-LN(2)/2)*AW108+(1-EXP(-LN(2)/2))/(LN(2)/2)*AQ109*AT109*VLOOKUP('Données projet'!$B$10,Paramètres!$A$1:$I$89,3,0)*0.475*44/12</f>
        <v>1.1024288729884216E-10</v>
      </c>
      <c r="AX109" s="21">
        <f t="shared" si="60"/>
        <v>3.3711328410523409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-7.9580786405131221E-13</v>
      </c>
      <c r="BE109" s="13">
        <f>BD109*VLOOKUP('Données projet'!$B$11,Paramètres!$A$1:$I$89,3,0)*VLOOKUP('Données projet'!$B$11,Paramètres!$A$1:$I$89,5,0)</f>
        <v>-3.8278358260868117E-13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371.85813103419366</v>
      </c>
      <c r="BJ109" s="59">
        <f t="shared" si="92"/>
        <v>370.01698880104584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6.1700452348932755</v>
      </c>
      <c r="BQ109" s="21">
        <f>EXP(-LN(2)/25)*BQ108+(1-EXP(-LN(2)/25))/(LN(2)/25)*Calculateur!BL109*Calculateur!BN109*VLOOKUP('Données projet'!$B$11,Paramètres!$A$1:$I$89,3,0)*0.475*44/12</f>
        <v>5.4822073889430127</v>
      </c>
      <c r="BR109" s="21">
        <f>EXP(-LN(2)/2)*BR108+(1-EXP(-LN(2)/2))/(LN(2)/2)*BL109*BO109*VLOOKUP('Données projet'!$B$11,Paramètres!$A$1:$I$89,3,0)*0.475*44/12</f>
        <v>3.218242175909685E-9</v>
      </c>
      <c r="BS109" s="22">
        <f t="shared" si="63"/>
        <v>11.65225262705453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5.6843418860808015E-13</v>
      </c>
      <c r="BZ109" s="13">
        <f>BY109*VLOOKUP('Données projet'!$B$12,Paramètres!$A$1:$I$89,3,0)*VLOOKUP('Données projet'!$B$12,Paramètres!$A$1:$I$89,5,0)</f>
        <v>3.1036506698001181E-13</v>
      </c>
      <c r="CA109" s="13">
        <f t="shared" si="93"/>
        <v>4.086682523110923E-12</v>
      </c>
      <c r="CB109" s="20">
        <f t="shared" si="64"/>
        <v>7.6581912194083782E-12</v>
      </c>
      <c r="CC109" s="59">
        <f t="shared" si="65"/>
        <v>293.33333333334099</v>
      </c>
      <c r="CD109" s="59">
        <f ca="1">AVERAGE(OFFSET($CC$3,0,0,'Données projet'!$E$12+1,1))-AVERAGE(OFFSET($H$3,0,0,'Données projet'!$E$12+1,1))</f>
        <v>248.1486444660062</v>
      </c>
      <c r="CE109" s="59">
        <f t="shared" si="94"/>
        <v>293.34458072322127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1.8908766002135493</v>
      </c>
      <c r="CL109" s="21">
        <f>EXP(-LN(2)/25)*CL108+(1-EXP(-LN(2)/25))/(LN(2)/25)*Calculateur!CG109*Calculateur!CI109*VLOOKUP('Données projet'!$B$12,Paramètres!$A$1:$I$89,3,0)*0.475*44/12</f>
        <v>4.1383719935876053</v>
      </c>
      <c r="CM109" s="21">
        <f>EXP(-LN(2)/2)*CM108+(1-EXP(-LN(2)/2))/(LN(2)/2)*CG109*CJ109*VLOOKUP('Données projet'!$B$12,Paramètres!$A$1:$I$89,3,0)*0.475*44/12</f>
        <v>9.161313251703633E-11</v>
      </c>
      <c r="CN109" s="22">
        <f t="shared" si="66"/>
        <v>6.0292485938927678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-2.2737367544323206E-13</v>
      </c>
      <c r="CU109" s="17">
        <f>CT109*VLOOKUP('Données projet'!$B$13,Paramètres!$A$1:$I$89,3,0)*VLOOKUP('Données projet'!$B$13,Paramètres!$A$1:$I$89,5,0)</f>
        <v>-1.8089849618263545E-13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314.94704727988847</v>
      </c>
      <c r="CZ109" s="59">
        <f t="shared" si="96"/>
        <v>366.49199094166454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0.86922439632265802</v>
      </c>
      <c r="DG109" s="21">
        <f>EXP(-LN(2)/25)*DG108+(1-EXP(-LN(2)/25))/(LN(2)/25)*Calculateur!DB109*Calculateur!DD109*VLOOKUP('Données projet'!$B$13,Paramètres!$A$1:$I$89,3,0)*0.475*44/12</f>
        <v>3.0890175072955057</v>
      </c>
      <c r="DH109" s="21">
        <f>EXP(-LN(2)/2)*DH108+(1-EXP(-LN(2)/2))/(LN(2)/2)*DB109*DE109*VLOOKUP('Données projet'!$B$13,Paramètres!$A$1:$I$89,3,0)*0.475*44/12</f>
        <v>1.0502567085770397E-10</v>
      </c>
      <c r="DI109" s="22">
        <f t="shared" si="69"/>
        <v>3.9582419037231893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-1.2505552149377763E-12</v>
      </c>
      <c r="O110" s="13">
        <f>N110*VLOOKUP('Données projet'!$B$9,Paramètres!$A$1:$I$89,3,0)*VLOOKUP('Données projet'!$B$9,Paramètres!$A$1:$I$89,5,0)</f>
        <v>-6.9906036515021697E-13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415.91544298418842</v>
      </c>
      <c r="T110" s="59">
        <f t="shared" si="88"/>
        <v>422.79312683312583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2.4853919920356913</v>
      </c>
      <c r="AA110" s="21">
        <f>EXP(-LN(2)/25)*AA109+(1-EXP(-LN(2)/25))/(LN(2)/25)*Calculateur!V110*Calculateur!X110*VLOOKUP('Données projet'!$B$9,Paramètres!$A$1:$I$89,3,0)*0.475*44/12</f>
        <v>4.5835795390607412</v>
      </c>
      <c r="AB110" s="21">
        <f>EXP(-LN(2)/2)*AB109+(1-EXP(-LN(2)/2))/(LN(2)/2)*V110*Y110*VLOOKUP('Données projet'!$B$9,Paramètres!$A$1:$I$89,3,0)*0.475*44/12</f>
        <v>9.3821733389062971E-11</v>
      </c>
      <c r="AC110" s="22">
        <f t="shared" si="57"/>
        <v>7.0689715311902539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-6.7984728957526396E-14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311.06126148520821</v>
      </c>
      <c r="AO110" s="59">
        <f t="shared" si="90"/>
        <v>321.1728368524748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0.7613811831838716</v>
      </c>
      <c r="AV110" s="21">
        <f>EXP(-LN(2)/25)*AV109+(1-EXP(-LN(2)/25))/(LN(2)/25)*Calculateur!AQ110*Calculateur!AS110*VLOOKUP('Données projet'!$B$10,Paramètres!$A$1:$I$89,3,0)*0.475*44/12</f>
        <v>2.5235754460672903</v>
      </c>
      <c r="AW110" s="21">
        <f>EXP(-LN(2)/2)*AW109+(1-EXP(-LN(2)/2))/(LN(2)/2)*AQ110*AT110*VLOOKUP('Données projet'!$B$10,Paramètres!$A$1:$I$89,3,0)*0.475*44/12</f>
        <v>7.7953493186595603E-11</v>
      </c>
      <c r="AX110" s="21">
        <f t="shared" si="60"/>
        <v>3.2849566293291157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-7.9580786405131221E-13</v>
      </c>
      <c r="BE110" s="13">
        <f>BD110*VLOOKUP('Données projet'!$B$11,Paramètres!$A$1:$I$89,3,0)*VLOOKUP('Données projet'!$B$11,Paramètres!$A$1:$I$89,5,0)</f>
        <v>-3.8278358260868117E-13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371.85813103419366</v>
      </c>
      <c r="BJ110" s="59">
        <f t="shared" si="92"/>
        <v>370.01698880104584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6.0490544111930111</v>
      </c>
      <c r="BQ110" s="21">
        <f>EXP(-LN(2)/25)*BQ109+(1-EXP(-LN(2)/25))/(LN(2)/25)*Calculateur!BL110*Calculateur!BN110*VLOOKUP('Données projet'!$B$11,Paramètres!$A$1:$I$89,3,0)*0.475*44/12</f>
        <v>5.3322961395956092</v>
      </c>
      <c r="BR110" s="21">
        <f>EXP(-LN(2)/2)*BR109+(1-EXP(-LN(2)/2))/(LN(2)/2)*BL110*BO110*VLOOKUP('Données projet'!$B$11,Paramètres!$A$1:$I$89,3,0)*0.475*44/12</f>
        <v>2.2756408660862882E-9</v>
      </c>
      <c r="BS110" s="22">
        <f t="shared" si="63"/>
        <v>11.381350553064262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5.6843418860808015E-13</v>
      </c>
      <c r="BZ110" s="13">
        <f>BY110*VLOOKUP('Données projet'!$B$12,Paramètres!$A$1:$I$89,3,0)*VLOOKUP('Données projet'!$B$12,Paramètres!$A$1:$I$89,5,0)</f>
        <v>3.1036506698001181E-13</v>
      </c>
      <c r="CA110" s="13">
        <f t="shared" si="93"/>
        <v>4.086682523110923E-12</v>
      </c>
      <c r="CB110" s="20">
        <f t="shared" si="64"/>
        <v>7.6581912194083782E-12</v>
      </c>
      <c r="CC110" s="59">
        <f t="shared" si="65"/>
        <v>293.33333333334099</v>
      </c>
      <c r="CD110" s="59">
        <f ca="1">AVERAGE(OFFSET($CC$3,0,0,'Données projet'!$E$12+1,1))-AVERAGE(OFFSET($H$3,0,0,'Données projet'!$E$12+1,1))</f>
        <v>248.1486444660062</v>
      </c>
      <c r="CE110" s="59">
        <f t="shared" si="94"/>
        <v>293.34458072322127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1.8537976634042068</v>
      </c>
      <c r="CL110" s="21">
        <f>EXP(-LN(2)/25)*CL109+(1-EXP(-LN(2)/25))/(LN(2)/25)*Calculateur!CG110*Calculateur!CI110*VLOOKUP('Données projet'!$B$12,Paramètres!$A$1:$I$89,3,0)*0.475*44/12</f>
        <v>4.0252079937954273</v>
      </c>
      <c r="CM110" s="21">
        <f>EXP(-LN(2)/2)*CM109+(1-EXP(-LN(2)/2))/(LN(2)/2)*CG110*CJ110*VLOOKUP('Données projet'!$B$12,Paramètres!$A$1:$I$89,3,0)*0.475*44/12</f>
        <v>6.478026724853819E-11</v>
      </c>
      <c r="CN110" s="22">
        <f t="shared" si="66"/>
        <v>5.8790056572644147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-2.2737367544323206E-13</v>
      </c>
      <c r="CU110" s="17">
        <f>CT110*VLOOKUP('Données projet'!$B$13,Paramètres!$A$1:$I$89,3,0)*VLOOKUP('Données projet'!$B$13,Paramètres!$A$1:$I$89,5,0)</f>
        <v>-1.8089849618263545E-13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314.94704727988847</v>
      </c>
      <c r="CZ110" s="59">
        <f t="shared" si="96"/>
        <v>366.49199094166454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0.85217943608530211</v>
      </c>
      <c r="DG110" s="21">
        <f>EXP(-LN(2)/25)*DG109+(1-EXP(-LN(2)/25))/(LN(2)/25)*Calculateur!DB110*Calculateur!DD110*VLOOKUP('Données projet'!$B$13,Paramètres!$A$1:$I$89,3,0)*0.475*44/12</f>
        <v>3.0045481611141396</v>
      </c>
      <c r="DH110" s="21">
        <f>EXP(-LN(2)/2)*DH109+(1-EXP(-LN(2)/2))/(LN(2)/2)*DB110*DE110*VLOOKUP('Données projet'!$B$13,Paramètres!$A$1:$I$89,3,0)*0.475*44/12</f>
        <v>7.4264364062148842E-11</v>
      </c>
      <c r="DI110" s="22">
        <f t="shared" si="69"/>
        <v>3.8567275972737058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-1.2505552149377763E-12</v>
      </c>
      <c r="O111" s="13">
        <f>N111*VLOOKUP('Données projet'!$B$9,Paramètres!$A$1:$I$89,3,0)*VLOOKUP('Données projet'!$B$9,Paramètres!$A$1:$I$89,5,0)</f>
        <v>-6.9906036515021697E-13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415.91544298418842</v>
      </c>
      <c r="T111" s="59">
        <f t="shared" si="88"/>
        <v>422.79312683312583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2.4366549710113001</v>
      </c>
      <c r="AA111" s="21">
        <f>EXP(-LN(2)/25)*AA110+(1-EXP(-LN(2)/25))/(LN(2)/25)*Calculateur!V111*Calculateur!X111*VLOOKUP('Données projet'!$B$9,Paramètres!$A$1:$I$89,3,0)*0.475*44/12</f>
        <v>4.4582413155251528</v>
      </c>
      <c r="AB111" s="21">
        <f>EXP(-LN(2)/2)*AB110+(1-EXP(-LN(2)/2))/(LN(2)/2)*V111*Y111*VLOOKUP('Données projet'!$B$9,Paramètres!$A$1:$I$89,3,0)*0.475*44/12</f>
        <v>6.6341983902082749E-11</v>
      </c>
      <c r="AC111" s="22">
        <f t="shared" si="57"/>
        <v>6.8948962866027941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-6.7984728957526396E-14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311.06126148520821</v>
      </c>
      <c r="AO111" s="59">
        <f t="shared" si="90"/>
        <v>321.1728368524748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0.74645096257830224</v>
      </c>
      <c r="AV111" s="21">
        <f>EXP(-LN(2)/25)*AV110+(1-EXP(-LN(2)/25))/(LN(2)/25)*Calculateur!AQ111*Calculateur!AS111*VLOOKUP('Données projet'!$B$10,Paramètres!$A$1:$I$89,3,0)*0.475*44/12</f>
        <v>2.4545681427855155</v>
      </c>
      <c r="AW111" s="21">
        <f>EXP(-LN(2)/2)*AW110+(1-EXP(-LN(2)/2))/(LN(2)/2)*AQ111*AT111*VLOOKUP('Données projet'!$B$10,Paramètres!$A$1:$I$89,3,0)*0.475*44/12</f>
        <v>5.5121443649421081E-11</v>
      </c>
      <c r="AX111" s="21">
        <f t="shared" si="60"/>
        <v>3.201019105418939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-7.9580786405131221E-13</v>
      </c>
      <c r="BE111" s="13">
        <f>BD111*VLOOKUP('Données projet'!$B$11,Paramètres!$A$1:$I$89,3,0)*VLOOKUP('Données projet'!$B$11,Paramètres!$A$1:$I$89,5,0)</f>
        <v>-3.8278358260868117E-13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371.85813103419366</v>
      </c>
      <c r="BJ111" s="59">
        <f t="shared" si="92"/>
        <v>370.01698880104584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5.930436143748393</v>
      </c>
      <c r="BQ111" s="21">
        <f>EXP(-LN(2)/25)*BQ110+(1-EXP(-LN(2)/25))/(LN(2)/25)*Calculateur!BL111*Calculateur!BN111*VLOOKUP('Données projet'!$B$11,Paramètres!$A$1:$I$89,3,0)*0.475*44/12</f>
        <v>5.1864842212451006</v>
      </c>
      <c r="BR111" s="21">
        <f>EXP(-LN(2)/2)*BR110+(1-EXP(-LN(2)/2))/(LN(2)/2)*BL111*BO111*VLOOKUP('Données projet'!$B$11,Paramètres!$A$1:$I$89,3,0)*0.475*44/12</f>
        <v>1.6091210879548425E-9</v>
      </c>
      <c r="BS111" s="22">
        <f t="shared" si="63"/>
        <v>11.116920366602615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5.6843418860808015E-13</v>
      </c>
      <c r="BZ111" s="13">
        <f>BY111*VLOOKUP('Données projet'!$B$12,Paramètres!$A$1:$I$89,3,0)*VLOOKUP('Données projet'!$B$12,Paramètres!$A$1:$I$89,5,0)</f>
        <v>3.1036506698001181E-13</v>
      </c>
      <c r="CA111" s="13">
        <f t="shared" si="93"/>
        <v>4.086682523110923E-12</v>
      </c>
      <c r="CB111" s="20">
        <f t="shared" si="64"/>
        <v>7.6581912194083782E-12</v>
      </c>
      <c r="CC111" s="59">
        <f t="shared" si="65"/>
        <v>293.33333333334099</v>
      </c>
      <c r="CD111" s="59">
        <f ca="1">AVERAGE(OFFSET($CC$3,0,0,'Données projet'!$E$12+1,1))-AVERAGE(OFFSET($H$3,0,0,'Données projet'!$E$12+1,1))</f>
        <v>248.1486444660062</v>
      </c>
      <c r="CE111" s="59">
        <f t="shared" si="94"/>
        <v>293.34458072322127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1.8174458219297771</v>
      </c>
      <c r="CL111" s="21">
        <f>EXP(-LN(2)/25)*CL110+(1-EXP(-LN(2)/25))/(LN(2)/25)*Calculateur!CG111*Calculateur!CI111*VLOOKUP('Données projet'!$B$12,Paramètres!$A$1:$I$89,3,0)*0.475*44/12</f>
        <v>3.9151384695286024</v>
      </c>
      <c r="CM111" s="21">
        <f>EXP(-LN(2)/2)*CM110+(1-EXP(-LN(2)/2))/(LN(2)/2)*CG111*CJ111*VLOOKUP('Données projet'!$B$12,Paramètres!$A$1:$I$89,3,0)*0.475*44/12</f>
        <v>4.5806566258518165E-11</v>
      </c>
      <c r="CN111" s="22">
        <f t="shared" si="66"/>
        <v>5.7325842915041862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-2.2737367544323206E-13</v>
      </c>
      <c r="CU111" s="17">
        <f>CT111*VLOOKUP('Données projet'!$B$13,Paramètres!$A$1:$I$89,3,0)*VLOOKUP('Données projet'!$B$13,Paramètres!$A$1:$I$89,5,0)</f>
        <v>-1.8089849618263545E-13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314.94704727988847</v>
      </c>
      <c r="CZ111" s="59">
        <f t="shared" si="96"/>
        <v>366.49199094166454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0.83546871712180149</v>
      </c>
      <c r="DG111" s="21">
        <f>EXP(-LN(2)/25)*DG110+(1-EXP(-LN(2)/25))/(LN(2)/25)*Calculateur!DB111*Calculateur!DD111*VLOOKUP('Données projet'!$B$13,Paramètres!$A$1:$I$89,3,0)*0.475*44/12</f>
        <v>2.9223886336461526</v>
      </c>
      <c r="DH111" s="21">
        <f>EXP(-LN(2)/2)*DH110+(1-EXP(-LN(2)/2))/(LN(2)/2)*DB111*DE111*VLOOKUP('Données projet'!$B$13,Paramètres!$A$1:$I$89,3,0)*0.475*44/12</f>
        <v>5.2512835428851985E-11</v>
      </c>
      <c r="DI111" s="22">
        <f t="shared" si="69"/>
        <v>3.7578573508204669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-1.2505552149377763E-12</v>
      </c>
      <c r="O112" s="13">
        <f>N112*VLOOKUP('Données projet'!$B$9,Paramètres!$A$1:$I$89,3,0)*VLOOKUP('Données projet'!$B$9,Paramètres!$A$1:$I$89,5,0)</f>
        <v>-6.9906036515021697E-13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415.91544298418842</v>
      </c>
      <c r="T112" s="59">
        <f t="shared" si="88"/>
        <v>422.79312683312583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2.3888736532425496</v>
      </c>
      <c r="AA112" s="21">
        <f>EXP(-LN(2)/25)*AA111+(1-EXP(-LN(2)/25))/(LN(2)/25)*Calculateur!V112*Calculateur!X112*VLOOKUP('Données projet'!$B$9,Paramètres!$A$1:$I$89,3,0)*0.475*44/12</f>
        <v>4.3363304723033957</v>
      </c>
      <c r="AB112" s="21">
        <f>EXP(-LN(2)/2)*AB111+(1-EXP(-LN(2)/2))/(LN(2)/2)*V112*Y112*VLOOKUP('Données projet'!$B$9,Paramètres!$A$1:$I$89,3,0)*0.475*44/12</f>
        <v>4.6910866694531485E-11</v>
      </c>
      <c r="AC112" s="22">
        <f t="shared" si="57"/>
        <v>6.7252041255928559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-6.7984728957526396E-14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311.06126148520821</v>
      </c>
      <c r="AO112" s="59">
        <f t="shared" si="90"/>
        <v>321.1728368524748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0.73181351449227272</v>
      </c>
      <c r="AV112" s="21">
        <f>EXP(-LN(2)/25)*AV111+(1-EXP(-LN(2)/25))/(LN(2)/25)*Calculateur!AQ112*Calculateur!AS112*VLOOKUP('Données projet'!$B$10,Paramètres!$A$1:$I$89,3,0)*0.475*44/12</f>
        <v>2.3874478478409169</v>
      </c>
      <c r="AW112" s="21">
        <f>EXP(-LN(2)/2)*AW111+(1-EXP(-LN(2)/2))/(LN(2)/2)*AQ112*AT112*VLOOKUP('Données projet'!$B$10,Paramètres!$A$1:$I$89,3,0)*0.475*44/12</f>
        <v>3.8976746593297801E-11</v>
      </c>
      <c r="AX112" s="21">
        <f t="shared" si="60"/>
        <v>3.1192613623721663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-7.9580786405131221E-13</v>
      </c>
      <c r="BE112" s="13">
        <f>BD112*VLOOKUP('Données projet'!$B$11,Paramètres!$A$1:$I$89,3,0)*VLOOKUP('Données projet'!$B$11,Paramètres!$A$1:$I$89,5,0)</f>
        <v>-3.8278358260868117E-13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371.85813103419366</v>
      </c>
      <c r="BJ112" s="59">
        <f t="shared" si="92"/>
        <v>370.01698880104584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5.814143908178365</v>
      </c>
      <c r="BQ112" s="21">
        <f>EXP(-LN(2)/25)*BQ111+(1-EXP(-LN(2)/25))/(LN(2)/25)*Calculateur!BL112*Calculateur!BN112*VLOOKUP('Données projet'!$B$11,Paramètres!$A$1:$I$89,3,0)*0.475*44/12</f>
        <v>5.0446595374698022</v>
      </c>
      <c r="BR112" s="21">
        <f>EXP(-LN(2)/2)*BR111+(1-EXP(-LN(2)/2))/(LN(2)/2)*BL112*BO112*VLOOKUP('Données projet'!$B$11,Paramètres!$A$1:$I$89,3,0)*0.475*44/12</f>
        <v>1.1378204330431441E-9</v>
      </c>
      <c r="BS112" s="22">
        <f t="shared" si="63"/>
        <v>10.858803446785988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5.6843418860808015E-13</v>
      </c>
      <c r="BZ112" s="13">
        <f>BY112*VLOOKUP('Données projet'!$B$12,Paramètres!$A$1:$I$89,3,0)*VLOOKUP('Données projet'!$B$12,Paramètres!$A$1:$I$89,5,0)</f>
        <v>3.1036506698001181E-13</v>
      </c>
      <c r="CA112" s="13">
        <f t="shared" si="93"/>
        <v>4.086682523110923E-12</v>
      </c>
      <c r="CB112" s="20">
        <f t="shared" si="64"/>
        <v>7.6581912194083782E-12</v>
      </c>
      <c r="CC112" s="59">
        <f t="shared" si="65"/>
        <v>293.33333333334099</v>
      </c>
      <c r="CD112" s="59">
        <f ca="1">AVERAGE(OFFSET($CC$3,0,0,'Données projet'!$E$12+1,1))-AVERAGE(OFFSET($H$3,0,0,'Données projet'!$E$12+1,1))</f>
        <v>248.1486444660062</v>
      </c>
      <c r="CE112" s="59">
        <f t="shared" si="94"/>
        <v>293.34458072322127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1.781806817894227</v>
      </c>
      <c r="CL112" s="21">
        <f>EXP(-LN(2)/25)*CL111+(1-EXP(-LN(2)/25))/(LN(2)/25)*Calculateur!CG112*Calculateur!CI112*VLOOKUP('Données projet'!$B$12,Paramètres!$A$1:$I$89,3,0)*0.475*44/12</f>
        <v>3.8080788021911589</v>
      </c>
      <c r="CM112" s="21">
        <f>EXP(-LN(2)/2)*CM111+(1-EXP(-LN(2)/2))/(LN(2)/2)*CG112*CJ112*VLOOKUP('Données projet'!$B$12,Paramètres!$A$1:$I$89,3,0)*0.475*44/12</f>
        <v>3.2390133624269095E-11</v>
      </c>
      <c r="CN112" s="22">
        <f t="shared" si="66"/>
        <v>5.5898856201177765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-2.2737367544323206E-13</v>
      </c>
      <c r="CU112" s="17">
        <f>CT112*VLOOKUP('Données projet'!$B$13,Paramètres!$A$1:$I$89,3,0)*VLOOKUP('Données projet'!$B$13,Paramètres!$A$1:$I$89,5,0)</f>
        <v>-1.8089849618263545E-13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314.94704727988847</v>
      </c>
      <c r="CZ112" s="59">
        <f t="shared" si="96"/>
        <v>366.49199094166454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0.81908568516464297</v>
      </c>
      <c r="DG112" s="21">
        <f>EXP(-LN(2)/25)*DG111+(1-EXP(-LN(2)/25))/(LN(2)/25)*Calculateur!DB112*Calculateur!DD112*VLOOKUP('Données projet'!$B$13,Paramètres!$A$1:$I$89,3,0)*0.475*44/12</f>
        <v>2.8424757627773594</v>
      </c>
      <c r="DH112" s="21">
        <f>EXP(-LN(2)/2)*DH111+(1-EXP(-LN(2)/2))/(LN(2)/2)*DB112*DE112*VLOOKUP('Données projet'!$B$13,Paramètres!$A$1:$I$89,3,0)*0.475*44/12</f>
        <v>3.7132182031074421E-11</v>
      </c>
      <c r="DI112" s="22">
        <f t="shared" si="69"/>
        <v>3.6615614479791345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-1.2505552149377763E-12</v>
      </c>
      <c r="O113" s="13">
        <f>N113*VLOOKUP('Données projet'!$B$9,Paramètres!$A$1:$I$89,3,0)*VLOOKUP('Données projet'!$B$9,Paramètres!$A$1:$I$89,5,0)</f>
        <v>-6.9906036515021697E-13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415.91544298418842</v>
      </c>
      <c r="T113" s="59">
        <f t="shared" si="88"/>
        <v>422.79312683312583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2.3420292979715183</v>
      </c>
      <c r="AA113" s="21">
        <f>EXP(-LN(2)/25)*AA112+(1-EXP(-LN(2)/25))/(LN(2)/25)*Calculateur!V113*Calculateur!X113*VLOOKUP('Données projet'!$B$9,Paramètres!$A$1:$I$89,3,0)*0.475*44/12</f>
        <v>4.2177532875005506</v>
      </c>
      <c r="AB113" s="21">
        <f>EXP(-LN(2)/2)*AB112+(1-EXP(-LN(2)/2))/(LN(2)/2)*V113*Y113*VLOOKUP('Données projet'!$B$9,Paramètres!$A$1:$I$89,3,0)*0.475*44/12</f>
        <v>3.3170991951041374E-11</v>
      </c>
      <c r="AC113" s="22">
        <f t="shared" si="57"/>
        <v>6.5597825855052401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-6.7984728957526396E-14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311.06126148520821</v>
      </c>
      <c r="AO113" s="59">
        <f t="shared" si="90"/>
        <v>321.1728368524748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0.71746309783524853</v>
      </c>
      <c r="AV113" s="21">
        <f>EXP(-LN(2)/25)*AV112+(1-EXP(-LN(2)/25))/(LN(2)/25)*Calculateur!AQ113*Calculateur!AS113*VLOOKUP('Données projet'!$B$10,Paramètres!$A$1:$I$89,3,0)*0.475*44/12</f>
        <v>2.3221629608912813</v>
      </c>
      <c r="AW113" s="21">
        <f>EXP(-LN(2)/2)*AW112+(1-EXP(-LN(2)/2))/(LN(2)/2)*AQ113*AT113*VLOOKUP('Données projet'!$B$10,Paramètres!$A$1:$I$89,3,0)*0.475*44/12</f>
        <v>2.756072182471054E-11</v>
      </c>
      <c r="AX113" s="21">
        <f t="shared" si="60"/>
        <v>3.0396260587540902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-7.9580786405131221E-13</v>
      </c>
      <c r="BE113" s="13">
        <f>BD113*VLOOKUP('Données projet'!$B$11,Paramètres!$A$1:$I$89,3,0)*VLOOKUP('Données projet'!$B$11,Paramètres!$A$1:$I$89,5,0)</f>
        <v>-3.8278358260868117E-13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371.85813103419366</v>
      </c>
      <c r="BJ113" s="59">
        <f t="shared" si="92"/>
        <v>370.01698880104584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5.700132092416605</v>
      </c>
      <c r="BQ113" s="21">
        <f>EXP(-LN(2)/25)*BQ112+(1-EXP(-LN(2)/25))/(LN(2)/25)*Calculateur!BL113*Calculateur!BN113*VLOOKUP('Données projet'!$B$11,Paramètres!$A$1:$I$89,3,0)*0.475*44/12</f>
        <v>4.9067130571305748</v>
      </c>
      <c r="BR113" s="21">
        <f>EXP(-LN(2)/2)*BR112+(1-EXP(-LN(2)/2))/(LN(2)/2)*BL113*BO113*VLOOKUP('Données projet'!$B$11,Paramètres!$A$1:$I$89,3,0)*0.475*44/12</f>
        <v>8.0456054397742124E-10</v>
      </c>
      <c r="BS113" s="22">
        <f t="shared" si="63"/>
        <v>10.60684515035174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5.6843418860808015E-13</v>
      </c>
      <c r="BZ113" s="13">
        <f>BY113*VLOOKUP('Données projet'!$B$12,Paramètres!$A$1:$I$89,3,0)*VLOOKUP('Données projet'!$B$12,Paramètres!$A$1:$I$89,5,0)</f>
        <v>3.1036506698001181E-13</v>
      </c>
      <c r="CA113" s="13">
        <f t="shared" si="93"/>
        <v>4.086682523110923E-12</v>
      </c>
      <c r="CB113" s="20">
        <f t="shared" si="64"/>
        <v>7.6581912194083782E-12</v>
      </c>
      <c r="CC113" s="59">
        <f t="shared" si="65"/>
        <v>293.33333333334099</v>
      </c>
      <c r="CD113" s="59">
        <f ca="1">AVERAGE(OFFSET($CC$3,0,0,'Données projet'!$E$12+1,1))-AVERAGE(OFFSET($H$3,0,0,'Données projet'!$E$12+1,1))</f>
        <v>248.1486444660062</v>
      </c>
      <c r="CE113" s="59">
        <f t="shared" si="94"/>
        <v>293.34458072322127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1.7468666729901681</v>
      </c>
      <c r="CL113" s="21">
        <f>EXP(-LN(2)/25)*CL112+(1-EXP(-LN(2)/25))/(LN(2)/25)*Calculateur!CG113*Calculateur!CI113*VLOOKUP('Données projet'!$B$12,Paramètres!$A$1:$I$89,3,0)*0.475*44/12</f>
        <v>3.7039466870870807</v>
      </c>
      <c r="CM113" s="21">
        <f>EXP(-LN(2)/2)*CM112+(1-EXP(-LN(2)/2))/(LN(2)/2)*CG113*CJ113*VLOOKUP('Données projet'!$B$12,Paramètres!$A$1:$I$89,3,0)*0.475*44/12</f>
        <v>2.2903283129259083E-11</v>
      </c>
      <c r="CN113" s="22">
        <f t="shared" si="66"/>
        <v>5.4508133601001525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-2.2737367544323206E-13</v>
      </c>
      <c r="CU113" s="17">
        <f>CT113*VLOOKUP('Données projet'!$B$13,Paramètres!$A$1:$I$89,3,0)*VLOOKUP('Données projet'!$B$13,Paramètres!$A$1:$I$89,5,0)</f>
        <v>-1.8089849618263545E-13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314.94704727988847</v>
      </c>
      <c r="CZ113" s="59">
        <f t="shared" si="96"/>
        <v>366.49199094166454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0.80302391447150157</v>
      </c>
      <c r="DG113" s="21">
        <f>EXP(-LN(2)/25)*DG112+(1-EXP(-LN(2)/25))/(LN(2)/25)*Calculateur!DB113*Calculateur!DD113*VLOOKUP('Données projet'!$B$13,Paramètres!$A$1:$I$89,3,0)*0.475*44/12</f>
        <v>2.7647481135649086</v>
      </c>
      <c r="DH113" s="21">
        <f>EXP(-LN(2)/2)*DH112+(1-EXP(-LN(2)/2))/(LN(2)/2)*DB113*DE113*VLOOKUP('Données projet'!$B$13,Paramètres!$A$1:$I$89,3,0)*0.475*44/12</f>
        <v>2.6256417714425993E-11</v>
      </c>
      <c r="DI113" s="22">
        <f t="shared" si="69"/>
        <v>3.5677720280626666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-1.2505552149377763E-12</v>
      </c>
      <c r="O114" s="13">
        <f>N114*VLOOKUP('Données projet'!$B$9,Paramètres!$A$1:$I$89,3,0)*VLOOKUP('Données projet'!$B$9,Paramètres!$A$1:$I$89,5,0)</f>
        <v>-6.9906036515021697E-13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415.91544298418842</v>
      </c>
      <c r="T114" s="59">
        <f t="shared" si="88"/>
        <v>422.79312683312583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2.2961035319351164</v>
      </c>
      <c r="AA114" s="21">
        <f>EXP(-LN(2)/25)*AA113+(1-EXP(-LN(2)/25))/(LN(2)/25)*Calculateur!V114*Calculateur!X114*VLOOKUP('Données projet'!$B$9,Paramètres!$A$1:$I$89,3,0)*0.475*44/12</f>
        <v>4.1024186020518423</v>
      </c>
      <c r="AB114" s="21">
        <f>EXP(-LN(2)/2)*AB113+(1-EXP(-LN(2)/2))/(LN(2)/2)*V114*Y114*VLOOKUP('Données projet'!$B$9,Paramètres!$A$1:$I$89,3,0)*0.475*44/12</f>
        <v>2.3455433347265743E-11</v>
      </c>
      <c r="AC114" s="22">
        <f t="shared" si="57"/>
        <v>6.3985221340104133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-6.7984728957526396E-14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311.06126148520821</v>
      </c>
      <c r="AO114" s="59">
        <f t="shared" si="90"/>
        <v>321.1728368524748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0.7033940840959787</v>
      </c>
      <c r="AV114" s="21">
        <f>EXP(-LN(2)/25)*AV113+(1-EXP(-LN(2)/25))/(LN(2)/25)*Calculateur!AQ114*Calculateur!AS114*VLOOKUP('Données projet'!$B$10,Paramètres!$A$1:$I$89,3,0)*0.475*44/12</f>
        <v>2.2586632926084667</v>
      </c>
      <c r="AW114" s="21">
        <f>EXP(-LN(2)/2)*AW113+(1-EXP(-LN(2)/2))/(LN(2)/2)*AQ114*AT114*VLOOKUP('Données projet'!$B$10,Paramètres!$A$1:$I$89,3,0)*0.475*44/12</f>
        <v>1.9488373296648901E-11</v>
      </c>
      <c r="AX114" s="21">
        <f t="shared" si="60"/>
        <v>2.9620573767239335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-7.9580786405131221E-13</v>
      </c>
      <c r="BE114" s="13">
        <f>BD114*VLOOKUP('Données projet'!$B$11,Paramètres!$A$1:$I$89,3,0)*VLOOKUP('Données projet'!$B$11,Paramètres!$A$1:$I$89,5,0)</f>
        <v>-3.8278358260868117E-13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371.85813103419366</v>
      </c>
      <c r="BJ114" s="59">
        <f t="shared" si="92"/>
        <v>370.01698880104584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5.5883559788215926</v>
      </c>
      <c r="BQ114" s="21">
        <f>EXP(-LN(2)/25)*BQ113+(1-EXP(-LN(2)/25))/(LN(2)/25)*Calculateur!BL114*Calculateur!BN114*VLOOKUP('Données projet'!$B$11,Paramètres!$A$1:$I$89,3,0)*0.475*44/12</f>
        <v>4.7725387305505143</v>
      </c>
      <c r="BR114" s="21">
        <f>EXP(-LN(2)/2)*BR113+(1-EXP(-LN(2)/2))/(LN(2)/2)*BL114*BO114*VLOOKUP('Données projet'!$B$11,Paramètres!$A$1:$I$89,3,0)*0.475*44/12</f>
        <v>5.6891021652157204E-10</v>
      </c>
      <c r="BS114" s="22">
        <f t="shared" si="63"/>
        <v>10.360894709941018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5.6843418860808015E-13</v>
      </c>
      <c r="BZ114" s="13">
        <f>BY114*VLOOKUP('Données projet'!$B$12,Paramètres!$A$1:$I$89,3,0)*VLOOKUP('Données projet'!$B$12,Paramètres!$A$1:$I$89,5,0)</f>
        <v>3.1036506698001181E-13</v>
      </c>
      <c r="CA114" s="13">
        <f t="shared" si="93"/>
        <v>4.086682523110923E-12</v>
      </c>
      <c r="CB114" s="20">
        <f t="shared" si="64"/>
        <v>7.6581912194083782E-12</v>
      </c>
      <c r="CC114" s="59">
        <f t="shared" si="65"/>
        <v>293.33333333334099</v>
      </c>
      <c r="CD114" s="59">
        <f ca="1">AVERAGE(OFFSET($CC$3,0,0,'Données projet'!$E$12+1,1))-AVERAGE(OFFSET($H$3,0,0,'Données projet'!$E$12+1,1))</f>
        <v>248.1486444660062</v>
      </c>
      <c r="CE114" s="59">
        <f t="shared" si="94"/>
        <v>293.34458072322127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1.7126116830162936</v>
      </c>
      <c r="CL114" s="21">
        <f>EXP(-LN(2)/25)*CL113+(1-EXP(-LN(2)/25))/(LN(2)/25)*Calculateur!CG114*Calculateur!CI114*VLOOKUP('Données projet'!$B$12,Paramètres!$A$1:$I$89,3,0)*0.475*44/12</f>
        <v>3.6026620701465939</v>
      </c>
      <c r="CM114" s="21">
        <f>EXP(-LN(2)/2)*CM113+(1-EXP(-LN(2)/2))/(LN(2)/2)*CG114*CJ114*VLOOKUP('Données projet'!$B$12,Paramètres!$A$1:$I$89,3,0)*0.475*44/12</f>
        <v>1.6195066812134547E-11</v>
      </c>
      <c r="CN114" s="22">
        <f t="shared" si="66"/>
        <v>5.315273753179083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-2.2737367544323206E-13</v>
      </c>
      <c r="CU114" s="17">
        <f>CT114*VLOOKUP('Données projet'!$B$13,Paramètres!$A$1:$I$89,3,0)*VLOOKUP('Données projet'!$B$13,Paramètres!$A$1:$I$89,5,0)</f>
        <v>-1.8089849618263545E-13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314.94704727988847</v>
      </c>
      <c r="CZ114" s="59">
        <f t="shared" si="96"/>
        <v>366.49199094166454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0.78727710530493988</v>
      </c>
      <c r="DG114" s="21">
        <f>EXP(-LN(2)/25)*DG113+(1-EXP(-LN(2)/25))/(LN(2)/25)*Calculateur!DB114*Calculateur!DD114*VLOOKUP('Données projet'!$B$13,Paramètres!$A$1:$I$89,3,0)*0.475*44/12</f>
        <v>2.6891459310076917</v>
      </c>
      <c r="DH114" s="21">
        <f>EXP(-LN(2)/2)*DH113+(1-EXP(-LN(2)/2))/(LN(2)/2)*DB114*DE114*VLOOKUP('Données projet'!$B$13,Paramètres!$A$1:$I$89,3,0)*0.475*44/12</f>
        <v>1.856609101553721E-11</v>
      </c>
      <c r="DI114" s="22">
        <f t="shared" si="69"/>
        <v>3.4764230363311976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-1.2505552149377763E-12</v>
      </c>
      <c r="O115" s="13">
        <f>N115*VLOOKUP('Données projet'!$B$9,Paramètres!$A$1:$I$89,3,0)*VLOOKUP('Données projet'!$B$9,Paramètres!$A$1:$I$89,5,0)</f>
        <v>-6.9906036515021697E-13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415.91544298418842</v>
      </c>
      <c r="T115" s="59">
        <f t="shared" si="88"/>
        <v>422.79312683312583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2.251078342158737</v>
      </c>
      <c r="AA115" s="21">
        <f>EXP(-LN(2)/25)*AA114+(1-EXP(-LN(2)/25))/(LN(2)/25)*Calculateur!V115*Calculateur!X115*VLOOKUP('Données projet'!$B$9,Paramètres!$A$1:$I$89,3,0)*0.475*44/12</f>
        <v>3.9902377496419166</v>
      </c>
      <c r="AB115" s="21">
        <f>EXP(-LN(2)/2)*AB114+(1-EXP(-LN(2)/2))/(LN(2)/2)*V115*Y115*VLOOKUP('Données projet'!$B$9,Paramètres!$A$1:$I$89,3,0)*0.475*44/12</f>
        <v>1.6585495975520687E-11</v>
      </c>
      <c r="AC115" s="22">
        <f t="shared" si="57"/>
        <v>6.2413160918172395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-6.7984728957526396E-14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311.06126148520821</v>
      </c>
      <c r="AO115" s="59">
        <f t="shared" si="90"/>
        <v>321.1728368524748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0.68960095513488484</v>
      </c>
      <c r="AV115" s="21">
        <f>EXP(-LN(2)/25)*AV114+(1-EXP(-LN(2)/25))/(LN(2)/25)*Calculateur!AQ115*Calculateur!AS115*VLOOKUP('Données projet'!$B$10,Paramètres!$A$1:$I$89,3,0)*0.475*44/12</f>
        <v>2.196900026094148</v>
      </c>
      <c r="AW115" s="21">
        <f>EXP(-LN(2)/2)*AW114+(1-EXP(-LN(2)/2))/(LN(2)/2)*AQ115*AT115*VLOOKUP('Données projet'!$B$10,Paramètres!$A$1:$I$89,3,0)*0.475*44/12</f>
        <v>1.378036091235527E-11</v>
      </c>
      <c r="AX115" s="21">
        <f t="shared" si="60"/>
        <v>2.8865009812428135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-7.9580786405131221E-13</v>
      </c>
      <c r="BE115" s="13">
        <f>BD115*VLOOKUP('Données projet'!$B$11,Paramètres!$A$1:$I$89,3,0)*VLOOKUP('Données projet'!$B$11,Paramètres!$A$1:$I$89,5,0)</f>
        <v>-3.8278358260868117E-13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371.85813103419366</v>
      </c>
      <c r="BJ115" s="59">
        <f t="shared" si="92"/>
        <v>370.01698880104584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5.4787717266374809</v>
      </c>
      <c r="BQ115" s="21">
        <f>EXP(-LN(2)/25)*BQ114+(1-EXP(-LN(2)/25))/(LN(2)/25)*Calculateur!BL115*Calculateur!BN115*VLOOKUP('Données projet'!$B$11,Paramètres!$A$1:$I$89,3,0)*0.475*44/12</f>
        <v>4.6420334079867063</v>
      </c>
      <c r="BR115" s="21">
        <f>EXP(-LN(2)/2)*BR114+(1-EXP(-LN(2)/2))/(LN(2)/2)*BL115*BO115*VLOOKUP('Données projet'!$B$11,Paramètres!$A$1:$I$89,3,0)*0.475*44/12</f>
        <v>4.0228027198871062E-10</v>
      </c>
      <c r="BS115" s="22">
        <f t="shared" si="63"/>
        <v>10.120805135026469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5.6843418860808015E-13</v>
      </c>
      <c r="BZ115" s="13">
        <f>BY115*VLOOKUP('Données projet'!$B$12,Paramètres!$A$1:$I$89,3,0)*VLOOKUP('Données projet'!$B$12,Paramètres!$A$1:$I$89,5,0)</f>
        <v>3.1036506698001181E-13</v>
      </c>
      <c r="CA115" s="13">
        <f t="shared" si="93"/>
        <v>4.086682523110923E-12</v>
      </c>
      <c r="CB115" s="20">
        <f t="shared" si="64"/>
        <v>7.6581912194083782E-12</v>
      </c>
      <c r="CC115" s="59">
        <f t="shared" si="65"/>
        <v>293.33333333334099</v>
      </c>
      <c r="CD115" s="59">
        <f ca="1">AVERAGE(OFFSET($CC$3,0,0,'Données projet'!$E$12+1,1))-AVERAGE(OFFSET($H$3,0,0,'Données projet'!$E$12+1,1))</f>
        <v>248.1486444660062</v>
      </c>
      <c r="CE115" s="59">
        <f t="shared" si="94"/>
        <v>293.34458072322127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1.679028412502326</v>
      </c>
      <c r="CL115" s="21">
        <f>EXP(-LN(2)/25)*CL114+(1-EXP(-LN(2)/25))/(LN(2)/25)*Calculateur!CG115*Calculateur!CI115*VLOOKUP('Données projet'!$B$12,Paramètres!$A$1:$I$89,3,0)*0.475*44/12</f>
        <v>3.5041470863826709</v>
      </c>
      <c r="CM115" s="21">
        <f>EXP(-LN(2)/2)*CM114+(1-EXP(-LN(2)/2))/(LN(2)/2)*CG115*CJ115*VLOOKUP('Données projet'!$B$12,Paramètres!$A$1:$I$89,3,0)*0.475*44/12</f>
        <v>1.1451641564629541E-11</v>
      </c>
      <c r="CN115" s="22">
        <f t="shared" si="66"/>
        <v>5.183175498896448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-2.2737367544323206E-13</v>
      </c>
      <c r="CU115" s="17">
        <f>CT115*VLOOKUP('Données projet'!$B$13,Paramètres!$A$1:$I$89,3,0)*VLOOKUP('Données projet'!$B$13,Paramètres!$A$1:$I$89,5,0)</f>
        <v>-1.8089849618263545E-13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314.94704727988847</v>
      </c>
      <c r="CZ115" s="59">
        <f t="shared" si="96"/>
        <v>366.49199094166454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0.77183908146152924</v>
      </c>
      <c r="DG115" s="21">
        <f>EXP(-LN(2)/25)*DG114+(1-EXP(-LN(2)/25))/(LN(2)/25)*Calculateur!DB115*Calculateur!DD115*VLOOKUP('Données projet'!$B$13,Paramètres!$A$1:$I$89,3,0)*0.475*44/12</f>
        <v>2.6156110941082482</v>
      </c>
      <c r="DH115" s="21">
        <f>EXP(-LN(2)/2)*DH114+(1-EXP(-LN(2)/2))/(LN(2)/2)*DB115*DE115*VLOOKUP('Données projet'!$B$13,Paramètres!$A$1:$I$89,3,0)*0.475*44/12</f>
        <v>1.3128208857212996E-11</v>
      </c>
      <c r="DI115" s="22">
        <f t="shared" si="69"/>
        <v>3.3874501755829058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-1.2505552149377763E-12</v>
      </c>
      <c r="O116" s="13">
        <f>N116*VLOOKUP('Données projet'!$B$9,Paramètres!$A$1:$I$89,3,0)*VLOOKUP('Données projet'!$B$9,Paramètres!$A$1:$I$89,5,0)</f>
        <v>-6.9906036515021697E-13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415.91544298418842</v>
      </c>
      <c r="T116" s="59">
        <f t="shared" si="88"/>
        <v>422.79312683312583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2.2069360688912183</v>
      </c>
      <c r="AA116" s="21">
        <f>EXP(-LN(2)/25)*AA115+(1-EXP(-LN(2)/25))/(LN(2)/25)*Calculateur!V116*Calculateur!X116*VLOOKUP('Données projet'!$B$9,Paramètres!$A$1:$I$89,3,0)*0.475*44/12</f>
        <v>3.881124488540475</v>
      </c>
      <c r="AB116" s="21">
        <f>EXP(-LN(2)/2)*AB115+(1-EXP(-LN(2)/2))/(LN(2)/2)*V116*Y116*VLOOKUP('Données projet'!$B$9,Paramètres!$A$1:$I$89,3,0)*0.475*44/12</f>
        <v>1.1727716673632871E-11</v>
      </c>
      <c r="AC116" s="22">
        <f t="shared" si="57"/>
        <v>6.0880605574434208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-6.7984728957526396E-14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311.06126148520821</v>
      </c>
      <c r="AO116" s="59">
        <f t="shared" si="90"/>
        <v>321.1728368524748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0.67607830101974009</v>
      </c>
      <c r="AV116" s="21">
        <f>EXP(-LN(2)/25)*AV115+(1-EXP(-LN(2)/25))/(LN(2)/25)*Calculateur!AQ116*Calculateur!AS116*VLOOKUP('Données projet'!$B$10,Paramètres!$A$1:$I$89,3,0)*0.475*44/12</f>
        <v>2.1368256793506522</v>
      </c>
      <c r="AW116" s="21">
        <f>EXP(-LN(2)/2)*AW115+(1-EXP(-LN(2)/2))/(LN(2)/2)*AQ116*AT116*VLOOKUP('Données projet'!$B$10,Paramètres!$A$1:$I$89,3,0)*0.475*44/12</f>
        <v>9.7441866483244503E-12</v>
      </c>
      <c r="AX116" s="21">
        <f t="shared" si="60"/>
        <v>2.8129039803801366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-7.9580786405131221E-13</v>
      </c>
      <c r="BE116" s="13">
        <f>BD116*VLOOKUP('Données projet'!$B$11,Paramètres!$A$1:$I$89,3,0)*VLOOKUP('Données projet'!$B$11,Paramètres!$A$1:$I$89,5,0)</f>
        <v>-3.8278358260868117E-13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371.85813103419366</v>
      </c>
      <c r="BJ116" s="59">
        <f t="shared" si="92"/>
        <v>370.01698880104584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5.3713363547989053</v>
      </c>
      <c r="BQ116" s="21">
        <f>EXP(-LN(2)/25)*BQ115+(1-EXP(-LN(2)/25))/(LN(2)/25)*Calculateur!BL116*Calculateur!BN116*VLOOKUP('Données projet'!$B$11,Paramètres!$A$1:$I$89,3,0)*0.475*44/12</f>
        <v>4.5150967603313825</v>
      </c>
      <c r="BR116" s="21">
        <f>EXP(-LN(2)/2)*BR115+(1-EXP(-LN(2)/2))/(LN(2)/2)*BL116*BO116*VLOOKUP('Données projet'!$B$11,Paramètres!$A$1:$I$89,3,0)*0.475*44/12</f>
        <v>2.8445510826078602E-10</v>
      </c>
      <c r="BS116" s="22">
        <f t="shared" si="63"/>
        <v>9.8864331154147429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5.6843418860808015E-13</v>
      </c>
      <c r="BZ116" s="13">
        <f>BY116*VLOOKUP('Données projet'!$B$12,Paramètres!$A$1:$I$89,3,0)*VLOOKUP('Données projet'!$B$12,Paramètres!$A$1:$I$89,5,0)</f>
        <v>3.1036506698001181E-13</v>
      </c>
      <c r="CA116" s="13">
        <f t="shared" si="93"/>
        <v>4.086682523110923E-12</v>
      </c>
      <c r="CB116" s="20">
        <f t="shared" si="64"/>
        <v>7.6581912194083782E-12</v>
      </c>
      <c r="CC116" s="59">
        <f t="shared" si="65"/>
        <v>293.33333333334099</v>
      </c>
      <c r="CD116" s="59">
        <f ca="1">AVERAGE(OFFSET($CC$3,0,0,'Données projet'!$E$12+1,1))-AVERAGE(OFFSET($H$3,0,0,'Données projet'!$E$12+1,1))</f>
        <v>248.1486444660062</v>
      </c>
      <c r="CE116" s="59">
        <f t="shared" si="94"/>
        <v>293.34458072322127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1.646103689439365</v>
      </c>
      <c r="CL116" s="21">
        <f>EXP(-LN(2)/25)*CL115+(1-EXP(-LN(2)/25))/(LN(2)/25)*Calculateur!CG116*Calculateur!CI116*VLOOKUP('Données projet'!$B$12,Paramètres!$A$1:$I$89,3,0)*0.475*44/12</f>
        <v>3.4083260000304505</v>
      </c>
      <c r="CM116" s="21">
        <f>EXP(-LN(2)/2)*CM115+(1-EXP(-LN(2)/2))/(LN(2)/2)*CG116*CJ116*VLOOKUP('Données projet'!$B$12,Paramètres!$A$1:$I$89,3,0)*0.475*44/12</f>
        <v>8.0975334060672737E-12</v>
      </c>
      <c r="CN116" s="22">
        <f t="shared" si="66"/>
        <v>5.0544296894779128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-2.2737367544323206E-13</v>
      </c>
      <c r="CU116" s="17">
        <f>CT116*VLOOKUP('Données projet'!$B$13,Paramètres!$A$1:$I$89,3,0)*VLOOKUP('Données projet'!$B$13,Paramètres!$A$1:$I$89,5,0)</f>
        <v>-1.8089849618263545E-13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314.94704727988847</v>
      </c>
      <c r="CZ116" s="59">
        <f t="shared" si="96"/>
        <v>366.49199094166454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0.75670378784942316</v>
      </c>
      <c r="DG116" s="21">
        <f>EXP(-LN(2)/25)*DG115+(1-EXP(-LN(2)/25))/(LN(2)/25)*Calculateur!DB116*Calculateur!DD116*VLOOKUP('Données projet'!$B$13,Paramètres!$A$1:$I$89,3,0)*0.475*44/12</f>
        <v>2.544087071190849</v>
      </c>
      <c r="DH116" s="21">
        <f>EXP(-LN(2)/2)*DH115+(1-EXP(-LN(2)/2))/(LN(2)/2)*DB116*DE116*VLOOKUP('Données projet'!$B$13,Paramètres!$A$1:$I$89,3,0)*0.475*44/12</f>
        <v>9.2830455077686052E-12</v>
      </c>
      <c r="DI116" s="22">
        <f t="shared" si="69"/>
        <v>3.3007908590495552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-1.2505552149377763E-12</v>
      </c>
      <c r="O117" s="13">
        <f>N117*VLOOKUP('Données projet'!$B$9,Paramètres!$A$1:$I$89,3,0)*VLOOKUP('Données projet'!$B$9,Paramètres!$A$1:$I$89,5,0)</f>
        <v>-6.9906036515021697E-13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415.91544298418842</v>
      </c>
      <c r="T117" s="59">
        <f t="shared" si="88"/>
        <v>422.79312683312583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2.1636593986783472</v>
      </c>
      <c r="AA117" s="21">
        <f>EXP(-LN(2)/25)*AA116+(1-EXP(-LN(2)/25))/(LN(2)/25)*Calculateur!V117*Calculateur!X117*VLOOKUP('Données projet'!$B$9,Paramètres!$A$1:$I$89,3,0)*0.475*44/12</f>
        <v>3.7749949353018692</v>
      </c>
      <c r="AB117" s="21">
        <f>EXP(-LN(2)/2)*AB116+(1-EXP(-LN(2)/2))/(LN(2)/2)*V117*Y117*VLOOKUP('Données projet'!$B$9,Paramètres!$A$1:$I$89,3,0)*0.475*44/12</f>
        <v>8.2927479877603436E-12</v>
      </c>
      <c r="AC117" s="22">
        <f t="shared" si="57"/>
        <v>5.9386543339885094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-6.7984728957526396E-14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311.06126148520821</v>
      </c>
      <c r="AO117" s="59">
        <f t="shared" si="90"/>
        <v>321.1728368524748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0.66282081790378877</v>
      </c>
      <c r="AV117" s="21">
        <f>EXP(-LN(2)/25)*AV116+(1-EXP(-LN(2)/25))/(LN(2)/25)*Calculateur!AQ117*Calculateur!AS117*VLOOKUP('Données projet'!$B$10,Paramètres!$A$1:$I$89,3,0)*0.475*44/12</f>
        <v>2.0783940687780298</v>
      </c>
      <c r="AW117" s="21">
        <f>EXP(-LN(2)/2)*AW116+(1-EXP(-LN(2)/2))/(LN(2)/2)*AQ117*AT117*VLOOKUP('Données projet'!$B$10,Paramètres!$A$1:$I$89,3,0)*0.475*44/12</f>
        <v>6.8901804561776351E-12</v>
      </c>
      <c r="AX117" s="21">
        <f t="shared" si="60"/>
        <v>2.7412148866887085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-7.9580786405131221E-13</v>
      </c>
      <c r="BE117" s="13">
        <f>BD117*VLOOKUP('Données projet'!$B$11,Paramètres!$A$1:$I$89,3,0)*VLOOKUP('Données projet'!$B$11,Paramètres!$A$1:$I$89,5,0)</f>
        <v>-3.8278358260868117E-13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371.85813103419366</v>
      </c>
      <c r="BJ117" s="59">
        <f t="shared" si="92"/>
        <v>370.01698880104584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5.2660077250729778</v>
      </c>
      <c r="BQ117" s="21">
        <f>EXP(-LN(2)/25)*BQ116+(1-EXP(-LN(2)/25))/(LN(2)/25)*Calculateur!BL117*Calculateur!BN117*VLOOKUP('Données projet'!$B$11,Paramètres!$A$1:$I$89,3,0)*0.475*44/12</f>
        <v>4.391631201981502</v>
      </c>
      <c r="BR117" s="21">
        <f>EXP(-LN(2)/2)*BR116+(1-EXP(-LN(2)/2))/(LN(2)/2)*BL117*BO117*VLOOKUP('Données projet'!$B$11,Paramètres!$A$1:$I$89,3,0)*0.475*44/12</f>
        <v>2.0114013599435531E-10</v>
      </c>
      <c r="BS117" s="22">
        <f t="shared" si="63"/>
        <v>9.6576389272556202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5.6843418860808015E-13</v>
      </c>
      <c r="BZ117" s="13">
        <f>BY117*VLOOKUP('Données projet'!$B$12,Paramètres!$A$1:$I$89,3,0)*VLOOKUP('Données projet'!$B$12,Paramètres!$A$1:$I$89,5,0)</f>
        <v>3.1036506698001181E-13</v>
      </c>
      <c r="CA117" s="13">
        <f t="shared" si="93"/>
        <v>4.086682523110923E-12</v>
      </c>
      <c r="CB117" s="20">
        <f t="shared" si="64"/>
        <v>7.6581912194083782E-12</v>
      </c>
      <c r="CC117" s="59">
        <f t="shared" si="65"/>
        <v>293.33333333334099</v>
      </c>
      <c r="CD117" s="59">
        <f ca="1">AVERAGE(OFFSET($CC$3,0,0,'Données projet'!$E$12+1,1))-AVERAGE(OFFSET($H$3,0,0,'Données projet'!$E$12+1,1))</f>
        <v>248.1486444660062</v>
      </c>
      <c r="CE117" s="59">
        <f t="shared" si="94"/>
        <v>293.34458072322127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1.6138246001135705</v>
      </c>
      <c r="CL117" s="21">
        <f>EXP(-LN(2)/25)*CL116+(1-EXP(-LN(2)/25))/(LN(2)/25)*Calculateur!CG117*Calculateur!CI117*VLOOKUP('Données projet'!$B$12,Paramètres!$A$1:$I$89,3,0)*0.475*44/12</f>
        <v>3.3151251463235432</v>
      </c>
      <c r="CM117" s="21">
        <f>EXP(-LN(2)/2)*CM116+(1-EXP(-LN(2)/2))/(LN(2)/2)*CG117*CJ117*VLOOKUP('Données projet'!$B$12,Paramètres!$A$1:$I$89,3,0)*0.475*44/12</f>
        <v>5.7258207823147707E-12</v>
      </c>
      <c r="CN117" s="22">
        <f t="shared" si="66"/>
        <v>4.9289497464428402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-2.2737367544323206E-13</v>
      </c>
      <c r="CU117" s="17">
        <f>CT117*VLOOKUP('Données projet'!$B$13,Paramètres!$A$1:$I$89,3,0)*VLOOKUP('Données projet'!$B$13,Paramètres!$A$1:$I$89,5,0)</f>
        <v>-1.8089849618263545E-13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314.94704727988847</v>
      </c>
      <c r="CZ117" s="59">
        <f t="shared" si="96"/>
        <v>366.49199094166454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0.74186528811343289</v>
      </c>
      <c r="DG117" s="21">
        <f>EXP(-LN(2)/25)*DG116+(1-EXP(-LN(2)/25))/(LN(2)/25)*Calculateur!DB117*Calculateur!DD117*VLOOKUP('Données projet'!$B$13,Paramètres!$A$1:$I$89,3,0)*0.475*44/12</f>
        <v>2.4745188764414108</v>
      </c>
      <c r="DH117" s="21">
        <f>EXP(-LN(2)/2)*DH116+(1-EXP(-LN(2)/2))/(LN(2)/2)*DB117*DE117*VLOOKUP('Données projet'!$B$13,Paramètres!$A$1:$I$89,3,0)*0.475*44/12</f>
        <v>6.5641044286064982E-12</v>
      </c>
      <c r="DI117" s="22">
        <f t="shared" si="69"/>
        <v>3.2163841645614077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-1.2505552149377763E-12</v>
      </c>
      <c r="O118" s="13">
        <f>N118*VLOOKUP('Données projet'!$B$9,Paramètres!$A$1:$I$89,3,0)*VLOOKUP('Données projet'!$B$9,Paramètres!$A$1:$I$89,5,0)</f>
        <v>-6.9906036515021697E-13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415.91544298418842</v>
      </c>
      <c r="T118" s="59">
        <f t="shared" si="88"/>
        <v>422.79312683312583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2.1212313575721882</v>
      </c>
      <c r="AA118" s="21">
        <f>EXP(-LN(2)/25)*AA117+(1-EXP(-LN(2)/25))/(LN(2)/25)*Calculateur!V118*Calculateur!X118*VLOOKUP('Données projet'!$B$9,Paramètres!$A$1:$I$89,3,0)*0.475*44/12</f>
        <v>3.6717675002776837</v>
      </c>
      <c r="AB118" s="21">
        <f>EXP(-LN(2)/2)*AB117+(1-EXP(-LN(2)/2))/(LN(2)/2)*V118*Y118*VLOOKUP('Données projet'!$B$9,Paramètres!$A$1:$I$89,3,0)*0.475*44/12</f>
        <v>5.8638583368164357E-12</v>
      </c>
      <c r="AC118" s="22">
        <f t="shared" si="57"/>
        <v>5.7929988578557357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-6.7984728957526396E-14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311.06126148520821</v>
      </c>
      <c r="AO118" s="59">
        <f t="shared" si="90"/>
        <v>321.1728368524748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0.64982330594547499</v>
      </c>
      <c r="AV118" s="21">
        <f>EXP(-LN(2)/25)*AV117+(1-EXP(-LN(2)/25))/(LN(2)/25)*Calculateur!AQ118*Calculateur!AS118*VLOOKUP('Données projet'!$B$10,Paramètres!$A$1:$I$89,3,0)*0.475*44/12</f>
        <v>2.0215602736693006</v>
      </c>
      <c r="AW118" s="21">
        <f>EXP(-LN(2)/2)*AW117+(1-EXP(-LN(2)/2))/(LN(2)/2)*AQ118*AT118*VLOOKUP('Données projet'!$B$10,Paramètres!$A$1:$I$89,3,0)*0.475*44/12</f>
        <v>4.8720933241622252E-12</v>
      </c>
      <c r="AX118" s="21">
        <f t="shared" si="60"/>
        <v>2.6713835796196475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-7.9580786405131221E-13</v>
      </c>
      <c r="BE118" s="13">
        <f>BD118*VLOOKUP('Données projet'!$B$11,Paramètres!$A$1:$I$89,3,0)*VLOOKUP('Données projet'!$B$11,Paramètres!$A$1:$I$89,5,0)</f>
        <v>-3.8278358260868117E-13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371.85813103419366</v>
      </c>
      <c r="BJ118" s="59">
        <f t="shared" si="92"/>
        <v>370.01698880104584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5.1627445255318554</v>
      </c>
      <c r="BQ118" s="21">
        <f>EXP(-LN(2)/25)*BQ117+(1-EXP(-LN(2)/25))/(LN(2)/25)*Calculateur!BL118*Calculateur!BN118*VLOOKUP('Données projet'!$B$11,Paramètres!$A$1:$I$89,3,0)*0.475*44/12</f>
        <v>4.2715418158174705</v>
      </c>
      <c r="BR118" s="21">
        <f>EXP(-LN(2)/2)*BR117+(1-EXP(-LN(2)/2))/(LN(2)/2)*BL118*BO118*VLOOKUP('Données projet'!$B$11,Paramètres!$A$1:$I$89,3,0)*0.475*44/12</f>
        <v>1.4222755413039301E-10</v>
      </c>
      <c r="BS118" s="22">
        <f t="shared" si="63"/>
        <v>9.4342863414915534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5.6843418860808015E-13</v>
      </c>
      <c r="BZ118" s="13">
        <f>BY118*VLOOKUP('Données projet'!$B$12,Paramètres!$A$1:$I$89,3,0)*VLOOKUP('Données projet'!$B$12,Paramètres!$A$1:$I$89,5,0)</f>
        <v>3.1036506698001181E-13</v>
      </c>
      <c r="CA118" s="13">
        <f t="shared" si="93"/>
        <v>4.086682523110923E-12</v>
      </c>
      <c r="CB118" s="20">
        <f t="shared" si="64"/>
        <v>7.6581912194083782E-12</v>
      </c>
      <c r="CC118" s="59">
        <f t="shared" si="65"/>
        <v>293.33333333334099</v>
      </c>
      <c r="CD118" s="59">
        <f ca="1">AVERAGE(OFFSET($CC$3,0,0,'Données projet'!$E$12+1,1))-AVERAGE(OFFSET($H$3,0,0,'Données projet'!$E$12+1,1))</f>
        <v>248.1486444660062</v>
      </c>
      <c r="CE118" s="59">
        <f t="shared" si="94"/>
        <v>293.34458072322127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1.5821784840411544</v>
      </c>
      <c r="CL118" s="21">
        <f>EXP(-LN(2)/25)*CL117+(1-EXP(-LN(2)/25))/(LN(2)/25)*Calculateur!CG118*Calculateur!CI118*VLOOKUP('Données projet'!$B$12,Paramètres!$A$1:$I$89,3,0)*0.475*44/12</f>
        <v>3.2244728748624714</v>
      </c>
      <c r="CM118" s="21">
        <f>EXP(-LN(2)/2)*CM117+(1-EXP(-LN(2)/2))/(LN(2)/2)*CG118*CJ118*VLOOKUP('Données projet'!$B$12,Paramètres!$A$1:$I$89,3,0)*0.475*44/12</f>
        <v>4.0487667030336369E-12</v>
      </c>
      <c r="CN118" s="22">
        <f t="shared" si="66"/>
        <v>4.8066513589076747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-2.2737367544323206E-13</v>
      </c>
      <c r="CU118" s="17">
        <f>CT118*VLOOKUP('Données projet'!$B$13,Paramètres!$A$1:$I$89,3,0)*VLOOKUP('Données projet'!$B$13,Paramètres!$A$1:$I$89,5,0)</f>
        <v>-1.8089849618263545E-13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314.94704727988847</v>
      </c>
      <c r="CZ118" s="59">
        <f t="shared" si="96"/>
        <v>366.49199094166454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0.72731776230667422</v>
      </c>
      <c r="DG118" s="21">
        <f>EXP(-LN(2)/25)*DG117+(1-EXP(-LN(2)/25))/(LN(2)/25)*Calculateur!DB118*Calculateur!DD118*VLOOKUP('Données projet'!$B$13,Paramètres!$A$1:$I$89,3,0)*0.475*44/12</f>
        <v>2.4068530276358282</v>
      </c>
      <c r="DH118" s="21">
        <f>EXP(-LN(2)/2)*DH117+(1-EXP(-LN(2)/2))/(LN(2)/2)*DB118*DE118*VLOOKUP('Données projet'!$B$13,Paramètres!$A$1:$I$89,3,0)*0.475*44/12</f>
        <v>4.6415227538843026E-12</v>
      </c>
      <c r="DI118" s="22">
        <f t="shared" si="69"/>
        <v>3.1341707899471443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-1.2505552149377763E-12</v>
      </c>
      <c r="O119" s="13">
        <f>N119*VLOOKUP('Données projet'!$B$9,Paramètres!$A$1:$I$89,3,0)*VLOOKUP('Données projet'!$B$9,Paramètres!$A$1:$I$89,5,0)</f>
        <v>-6.9906036515021697E-13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415.91544298418842</v>
      </c>
      <c r="T119" s="59">
        <f t="shared" si="88"/>
        <v>422.79312683312583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2.0796353044735714</v>
      </c>
      <c r="AA119" s="21">
        <f>EXP(-LN(2)/25)*AA118+(1-EXP(-LN(2)/25))/(LN(2)/25)*Calculateur!V119*Calculateur!X119*VLOOKUP('Données projet'!$B$9,Paramètres!$A$1:$I$89,3,0)*0.475*44/12</f>
        <v>3.5713628248927294</v>
      </c>
      <c r="AB119" s="21">
        <f>EXP(-LN(2)/2)*AB118+(1-EXP(-LN(2)/2))/(LN(2)/2)*V119*Y119*VLOOKUP('Données projet'!$B$9,Paramètres!$A$1:$I$89,3,0)*0.475*44/12</f>
        <v>4.1463739938801718E-12</v>
      </c>
      <c r="AC119" s="22">
        <f t="shared" si="57"/>
        <v>5.6509981293704463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-6.7984728957526396E-14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311.06126148520821</v>
      </c>
      <c r="AO119" s="59">
        <f t="shared" si="90"/>
        <v>321.1728368524748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0.63708066726896428</v>
      </c>
      <c r="AV119" s="21">
        <f>EXP(-LN(2)/25)*AV118+(1-EXP(-LN(2)/25))/(LN(2)/25)*Calculateur!AQ119*Calculateur!AS119*VLOOKUP('Données projet'!$B$10,Paramètres!$A$1:$I$89,3,0)*0.475*44/12</f>
        <v>1.966280601676579</v>
      </c>
      <c r="AW119" s="21">
        <f>EXP(-LN(2)/2)*AW118+(1-EXP(-LN(2)/2))/(LN(2)/2)*AQ119*AT119*VLOOKUP('Données projet'!$B$10,Paramètres!$A$1:$I$89,3,0)*0.475*44/12</f>
        <v>3.4450902280888176E-12</v>
      </c>
      <c r="AX119" s="21">
        <f t="shared" si="60"/>
        <v>2.6033612689489884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-7.9580786405131221E-13</v>
      </c>
      <c r="BE119" s="13">
        <f>BD119*VLOOKUP('Données projet'!$B$11,Paramètres!$A$1:$I$89,3,0)*VLOOKUP('Données projet'!$B$11,Paramètres!$A$1:$I$89,5,0)</f>
        <v>-3.8278358260868117E-13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371.85813103419366</v>
      </c>
      <c r="BJ119" s="59">
        <f t="shared" si="92"/>
        <v>370.01698880104584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5.0615062543494016</v>
      </c>
      <c r="BQ119" s="21">
        <f>EXP(-LN(2)/25)*BQ118+(1-EXP(-LN(2)/25))/(LN(2)/25)*Calculateur!BL119*Calculateur!BN119*VLOOKUP('Données projet'!$B$11,Paramètres!$A$1:$I$89,3,0)*0.475*44/12</f>
        <v>4.1547362802333208</v>
      </c>
      <c r="BR119" s="21">
        <f>EXP(-LN(2)/2)*BR118+(1-EXP(-LN(2)/2))/(LN(2)/2)*BL119*BO119*VLOOKUP('Données projet'!$B$11,Paramètres!$A$1:$I$89,3,0)*0.475*44/12</f>
        <v>1.0057006799717766E-10</v>
      </c>
      <c r="BS119" s="22">
        <f t="shared" si="63"/>
        <v>9.2162425346832926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5.6843418860808015E-13</v>
      </c>
      <c r="BZ119" s="13">
        <f>BY119*VLOOKUP('Données projet'!$B$12,Paramètres!$A$1:$I$89,3,0)*VLOOKUP('Données projet'!$B$12,Paramètres!$A$1:$I$89,5,0)</f>
        <v>3.1036506698001181E-13</v>
      </c>
      <c r="CA119" s="13">
        <f t="shared" si="93"/>
        <v>4.086682523110923E-12</v>
      </c>
      <c r="CB119" s="20">
        <f t="shared" si="64"/>
        <v>7.6581912194083782E-12</v>
      </c>
      <c r="CC119" s="59">
        <f t="shared" si="65"/>
        <v>293.33333333334099</v>
      </c>
      <c r="CD119" s="59">
        <f ca="1">AVERAGE(OFFSET($CC$3,0,0,'Données projet'!$E$12+1,1))-AVERAGE(OFFSET($H$3,0,0,'Données projet'!$E$12+1,1))</f>
        <v>248.1486444660062</v>
      </c>
      <c r="CE119" s="59">
        <f t="shared" si="94"/>
        <v>293.34458072322127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1.5511529290026935</v>
      </c>
      <c r="CL119" s="21">
        <f>EXP(-LN(2)/25)*CL118+(1-EXP(-LN(2)/25))/(LN(2)/25)*Calculateur!CG119*Calculateur!CI119*VLOOKUP('Données projet'!$B$12,Paramètres!$A$1:$I$89,3,0)*0.475*44/12</f>
        <v>3.1362994945316984</v>
      </c>
      <c r="CM119" s="21">
        <f>EXP(-LN(2)/2)*CM118+(1-EXP(-LN(2)/2))/(LN(2)/2)*CG119*CJ119*VLOOKUP('Données projet'!$B$12,Paramètres!$A$1:$I$89,3,0)*0.475*44/12</f>
        <v>2.8629103911573853E-12</v>
      </c>
      <c r="CN119" s="22">
        <f t="shared" si="66"/>
        <v>4.6874524235372546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-2.2737367544323206E-13</v>
      </c>
      <c r="CU119" s="17">
        <f>CT119*VLOOKUP('Données projet'!$B$13,Paramètres!$A$1:$I$89,3,0)*VLOOKUP('Données projet'!$B$13,Paramètres!$A$1:$I$89,5,0)</f>
        <v>-1.8089849618263545E-13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314.94704727988847</v>
      </c>
      <c r="CZ119" s="59">
        <f t="shared" si="96"/>
        <v>366.49199094166454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0.71305550460787148</v>
      </c>
      <c r="DG119" s="21">
        <f>EXP(-LN(2)/25)*DG118+(1-EXP(-LN(2)/25))/(LN(2)/25)*Calculateur!DB119*Calculateur!DD119*VLOOKUP('Données projet'!$B$13,Paramètres!$A$1:$I$89,3,0)*0.475*44/12</f>
        <v>2.3410375050242265</v>
      </c>
      <c r="DH119" s="21">
        <f>EXP(-LN(2)/2)*DH118+(1-EXP(-LN(2)/2))/(LN(2)/2)*DB119*DE119*VLOOKUP('Données projet'!$B$13,Paramètres!$A$1:$I$89,3,0)*0.475*44/12</f>
        <v>3.2820522143032491E-12</v>
      </c>
      <c r="DI119" s="22">
        <f t="shared" si="69"/>
        <v>3.05409300963538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-1.2505552149377763E-12</v>
      </c>
      <c r="O120" s="13">
        <f>N120*VLOOKUP('Données projet'!$B$9,Paramètres!$A$1:$I$89,3,0)*VLOOKUP('Données projet'!$B$9,Paramètres!$A$1:$I$89,5,0)</f>
        <v>-6.9906036515021697E-13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415.91544298418842</v>
      </c>
      <c r="T120" s="59">
        <f t="shared" si="88"/>
        <v>422.79312683312583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2.0388549246051313</v>
      </c>
      <c r="AA120" s="21">
        <f>EXP(-LN(2)/25)*AA119+(1-EXP(-LN(2)/25))/(LN(2)/25)*Calculateur!V120*Calculateur!X120*VLOOKUP('Données projet'!$B$9,Paramètres!$A$1:$I$89,3,0)*0.475*44/12</f>
        <v>3.4737037206362293</v>
      </c>
      <c r="AB120" s="21">
        <f>EXP(-LN(2)/2)*AB119+(1-EXP(-LN(2)/2))/(LN(2)/2)*V120*Y120*VLOOKUP('Données projet'!$B$9,Paramètres!$A$1:$I$89,3,0)*0.475*44/12</f>
        <v>2.9319291684082178E-12</v>
      </c>
      <c r="AC120" s="22">
        <f t="shared" si="57"/>
        <v>5.512558645244293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-6.7984728957526396E-14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311.06126148520821</v>
      </c>
      <c r="AO120" s="59">
        <f t="shared" si="90"/>
        <v>321.1728368524748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0.6245879039646578</v>
      </c>
      <c r="AV120" s="21">
        <f>EXP(-LN(2)/25)*AV119+(1-EXP(-LN(2)/25))/(LN(2)/25)*Calculateur!AQ120*Calculateur!AS120*VLOOKUP('Données projet'!$B$10,Paramètres!$A$1:$I$89,3,0)*0.475*44/12</f>
        <v>1.9125125552215301</v>
      </c>
      <c r="AW120" s="21">
        <f>EXP(-LN(2)/2)*AW119+(1-EXP(-LN(2)/2))/(LN(2)/2)*AQ120*AT120*VLOOKUP('Données projet'!$B$10,Paramètres!$A$1:$I$89,3,0)*0.475*44/12</f>
        <v>2.4360466620811126E-12</v>
      </c>
      <c r="AX120" s="21">
        <f t="shared" si="60"/>
        <v>2.5371004591886237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-7.9580786405131221E-13</v>
      </c>
      <c r="BE120" s="13">
        <f>BD120*VLOOKUP('Données projet'!$B$11,Paramètres!$A$1:$I$89,3,0)*VLOOKUP('Données projet'!$B$11,Paramètres!$A$1:$I$89,5,0)</f>
        <v>-3.8278358260868117E-13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371.85813103419366</v>
      </c>
      <c r="BJ120" s="59">
        <f t="shared" si="92"/>
        <v>370.01698880104584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4.962253203915588</v>
      </c>
      <c r="BQ120" s="21">
        <f>EXP(-LN(2)/25)*BQ119+(1-EXP(-LN(2)/25))/(LN(2)/25)*Calculateur!BL120*Calculateur!BN120*VLOOKUP('Données projet'!$B$11,Paramètres!$A$1:$I$89,3,0)*0.475*44/12</f>
        <v>4.0411247981622553</v>
      </c>
      <c r="BR120" s="21">
        <f>EXP(-LN(2)/2)*BR119+(1-EXP(-LN(2)/2))/(LN(2)/2)*BL120*BO120*VLOOKUP('Données projet'!$B$11,Paramètres!$A$1:$I$89,3,0)*0.475*44/12</f>
        <v>7.1113777065196505E-11</v>
      </c>
      <c r="BS120" s="22">
        <f t="shared" si="63"/>
        <v>9.0033780021489562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5.6843418860808015E-13</v>
      </c>
      <c r="BZ120" s="13">
        <f>BY120*VLOOKUP('Données projet'!$B$12,Paramètres!$A$1:$I$89,3,0)*VLOOKUP('Données projet'!$B$12,Paramètres!$A$1:$I$89,5,0)</f>
        <v>3.1036506698001181E-13</v>
      </c>
      <c r="CA120" s="13">
        <f t="shared" si="93"/>
        <v>4.086682523110923E-12</v>
      </c>
      <c r="CB120" s="20">
        <f t="shared" si="64"/>
        <v>7.6581912194083782E-12</v>
      </c>
      <c r="CC120" s="59">
        <f t="shared" si="65"/>
        <v>293.33333333334099</v>
      </c>
      <c r="CD120" s="59">
        <f ca="1">AVERAGE(OFFSET($CC$3,0,0,'Données projet'!$E$12+1,1))-AVERAGE(OFFSET($H$3,0,0,'Données projet'!$E$12+1,1))</f>
        <v>248.1486444660062</v>
      </c>
      <c r="CE120" s="59">
        <f t="shared" si="94"/>
        <v>293.34458072322127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1.5207357661748169</v>
      </c>
      <c r="CL120" s="21">
        <f>EXP(-LN(2)/25)*CL119+(1-EXP(-LN(2)/25))/(LN(2)/25)*Calculateur!CG120*Calculateur!CI120*VLOOKUP('Données projet'!$B$12,Paramètres!$A$1:$I$89,3,0)*0.475*44/12</f>
        <v>3.0505372199229068</v>
      </c>
      <c r="CM120" s="21">
        <f>EXP(-LN(2)/2)*CM119+(1-EXP(-LN(2)/2))/(LN(2)/2)*CG120*CJ120*VLOOKUP('Données projet'!$B$12,Paramètres!$A$1:$I$89,3,0)*0.475*44/12</f>
        <v>2.0243833515168184E-12</v>
      </c>
      <c r="CN120" s="22">
        <f t="shared" si="66"/>
        <v>4.5712729860997481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-2.2737367544323206E-13</v>
      </c>
      <c r="CU120" s="17">
        <f>CT120*VLOOKUP('Données projet'!$B$13,Paramètres!$A$1:$I$89,3,0)*VLOOKUP('Données projet'!$B$13,Paramètres!$A$1:$I$89,5,0)</f>
        <v>-1.8089849618263545E-13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314.94704727988847</v>
      </c>
      <c r="CZ120" s="59">
        <f t="shared" si="96"/>
        <v>366.49199094166454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0.69907292108342411</v>
      </c>
      <c r="DG120" s="21">
        <f>EXP(-LN(2)/25)*DG119+(1-EXP(-LN(2)/25))/(LN(2)/25)*Calculateur!DB120*Calculateur!DD120*VLOOKUP('Données projet'!$B$13,Paramètres!$A$1:$I$89,3,0)*0.475*44/12</f>
        <v>2.2770217113395272</v>
      </c>
      <c r="DH120" s="21">
        <f>EXP(-LN(2)/2)*DH119+(1-EXP(-LN(2)/2))/(LN(2)/2)*DB120*DE120*VLOOKUP('Données projet'!$B$13,Paramètres!$A$1:$I$89,3,0)*0.475*44/12</f>
        <v>2.3207613769421513E-12</v>
      </c>
      <c r="DI120" s="22">
        <f t="shared" si="69"/>
        <v>2.9760946324252719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-1.2505552149377763E-12</v>
      </c>
      <c r="O121" s="13">
        <f>N121*VLOOKUP('Données projet'!$B$9,Paramètres!$A$1:$I$89,3,0)*VLOOKUP('Données projet'!$B$9,Paramètres!$A$1:$I$89,5,0)</f>
        <v>-6.9906036515021697E-13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415.91544298418842</v>
      </c>
      <c r="T121" s="59">
        <f t="shared" si="88"/>
        <v>422.79312683312583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1.9988742231123355</v>
      </c>
      <c r="AA121" s="21">
        <f>EXP(-LN(2)/25)*AA120+(1-EXP(-LN(2)/25))/(LN(2)/25)*Calculateur!V121*Calculateur!X121*VLOOKUP('Données projet'!$B$9,Paramètres!$A$1:$I$89,3,0)*0.475*44/12</f>
        <v>3.3787151097212922</v>
      </c>
      <c r="AB121" s="21">
        <f>EXP(-LN(2)/2)*AB120+(1-EXP(-LN(2)/2))/(LN(2)/2)*V121*Y121*VLOOKUP('Données projet'!$B$9,Paramètres!$A$1:$I$89,3,0)*0.475*44/12</f>
        <v>2.0731869969400859E-12</v>
      </c>
      <c r="AC121" s="22">
        <f t="shared" si="57"/>
        <v>5.3775893328357007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-6.7984728957526396E-14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311.06126148520821</v>
      </c>
      <c r="AO121" s="59">
        <f t="shared" si="90"/>
        <v>321.1728368524748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0.61234011612891548</v>
      </c>
      <c r="AV121" s="21">
        <f>EXP(-LN(2)/25)*AV120+(1-EXP(-LN(2)/25))/(LN(2)/25)*Calculateur!AQ121*Calculateur!AS121*VLOOKUP('Données projet'!$B$10,Paramètres!$A$1:$I$89,3,0)*0.475*44/12</f>
        <v>1.8602147988243332</v>
      </c>
      <c r="AW121" s="21">
        <f>EXP(-LN(2)/2)*AW120+(1-EXP(-LN(2)/2))/(LN(2)/2)*AQ121*AT121*VLOOKUP('Données projet'!$B$10,Paramètres!$A$1:$I$89,3,0)*0.475*44/12</f>
        <v>1.7225451140444088E-12</v>
      </c>
      <c r="AX121" s="21">
        <f t="shared" si="60"/>
        <v>2.4725549149549715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-7.9580786405131221E-13</v>
      </c>
      <c r="BE121" s="13">
        <f>BD121*VLOOKUP('Données projet'!$B$11,Paramètres!$A$1:$I$89,3,0)*VLOOKUP('Données projet'!$B$11,Paramètres!$A$1:$I$89,5,0)</f>
        <v>-3.8278358260868117E-13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371.85813103419366</v>
      </c>
      <c r="BJ121" s="59">
        <f t="shared" si="92"/>
        <v>370.01698880104584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4.8649464452623983</v>
      </c>
      <c r="BQ121" s="21">
        <f>EXP(-LN(2)/25)*BQ120+(1-EXP(-LN(2)/25))/(LN(2)/25)*Calculateur!BL121*Calculateur!BN121*VLOOKUP('Données projet'!$B$11,Paramètres!$A$1:$I$89,3,0)*0.475*44/12</f>
        <v>3.9306200280429913</v>
      </c>
      <c r="BR121" s="21">
        <f>EXP(-LN(2)/2)*BR120+(1-EXP(-LN(2)/2))/(LN(2)/2)*BL121*BO121*VLOOKUP('Données projet'!$B$11,Paramètres!$A$1:$I$89,3,0)*0.475*44/12</f>
        <v>5.0285033998588828E-11</v>
      </c>
      <c r="BS121" s="22">
        <f t="shared" si="63"/>
        <v>8.7955664733556738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5.6843418860808015E-13</v>
      </c>
      <c r="BZ121" s="13">
        <f>BY121*VLOOKUP('Données projet'!$B$12,Paramètres!$A$1:$I$89,3,0)*VLOOKUP('Données projet'!$B$12,Paramètres!$A$1:$I$89,5,0)</f>
        <v>3.1036506698001181E-13</v>
      </c>
      <c r="CA121" s="13">
        <f t="shared" si="93"/>
        <v>4.086682523110923E-12</v>
      </c>
      <c r="CB121" s="20">
        <f t="shared" si="64"/>
        <v>7.6581912194083782E-12</v>
      </c>
      <c r="CC121" s="59">
        <f t="shared" si="65"/>
        <v>293.33333333334099</v>
      </c>
      <c r="CD121" s="59">
        <f ca="1">AVERAGE(OFFSET($CC$3,0,0,'Données projet'!$E$12+1,1))-AVERAGE(OFFSET($H$3,0,0,'Données projet'!$E$12+1,1))</f>
        <v>248.1486444660062</v>
      </c>
      <c r="CE121" s="59">
        <f t="shared" si="94"/>
        <v>293.34458072322127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1.4909150653573575</v>
      </c>
      <c r="CL121" s="21">
        <f>EXP(-LN(2)/25)*CL120+(1-EXP(-LN(2)/25))/(LN(2)/25)*Calculateur!CG121*Calculateur!CI121*VLOOKUP('Données projet'!$B$12,Paramètres!$A$1:$I$89,3,0)*0.475*44/12</f>
        <v>2.9671201192233347</v>
      </c>
      <c r="CM121" s="21">
        <f>EXP(-LN(2)/2)*CM120+(1-EXP(-LN(2)/2))/(LN(2)/2)*CG121*CJ121*VLOOKUP('Données projet'!$B$12,Paramètres!$A$1:$I$89,3,0)*0.475*44/12</f>
        <v>1.4314551955786927E-12</v>
      </c>
      <c r="CN121" s="22">
        <f t="shared" si="66"/>
        <v>4.4580351845821244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-2.2737367544323206E-13</v>
      </c>
      <c r="CU121" s="17">
        <f>CT121*VLOOKUP('Données projet'!$B$13,Paramètres!$A$1:$I$89,3,0)*VLOOKUP('Données projet'!$B$13,Paramètres!$A$1:$I$89,5,0)</f>
        <v>-1.8089849618263545E-13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314.94704727988847</v>
      </c>
      <c r="CZ121" s="59">
        <f t="shared" si="96"/>
        <v>366.49199094166454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0.6853645274933573</v>
      </c>
      <c r="DG121" s="21">
        <f>EXP(-LN(2)/25)*DG120+(1-EXP(-LN(2)/25))/(LN(2)/25)*Calculateur!DB121*Calculateur!DD121*VLOOKUP('Données projet'!$B$13,Paramètres!$A$1:$I$89,3,0)*0.475*44/12</f>
        <v>2.2147564328995801</v>
      </c>
      <c r="DH121" s="21">
        <f>EXP(-LN(2)/2)*DH120+(1-EXP(-LN(2)/2))/(LN(2)/2)*DB121*DE121*VLOOKUP('Données projet'!$B$13,Paramètres!$A$1:$I$89,3,0)*0.475*44/12</f>
        <v>1.6410261071516245E-12</v>
      </c>
      <c r="DI121" s="22">
        <f t="shared" si="69"/>
        <v>2.9001209603945783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-1.2505552149377763E-12</v>
      </c>
      <c r="O122" s="13">
        <f>N122*VLOOKUP('Données projet'!$B$9,Paramètres!$A$1:$I$89,3,0)*VLOOKUP('Données projet'!$B$9,Paramètres!$A$1:$I$89,5,0)</f>
        <v>-6.9906036515021697E-13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415.91544298418842</v>
      </c>
      <c r="T122" s="59">
        <f t="shared" si="88"/>
        <v>422.79312683312583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1.9596775187899935</v>
      </c>
      <c r="AA122" s="21">
        <f>EXP(-LN(2)/25)*AA121+(1-EXP(-LN(2)/25))/(LN(2)/25)*Calculateur!V122*Calculateur!X122*VLOOKUP('Données projet'!$B$9,Paramètres!$A$1:$I$89,3,0)*0.475*44/12</f>
        <v>3.2863239673670579</v>
      </c>
      <c r="AB122" s="21">
        <f>EXP(-LN(2)/2)*AB121+(1-EXP(-LN(2)/2))/(LN(2)/2)*V122*Y122*VLOOKUP('Données projet'!$B$9,Paramètres!$A$1:$I$89,3,0)*0.475*44/12</f>
        <v>1.4659645842041089E-12</v>
      </c>
      <c r="AC122" s="22">
        <f t="shared" si="57"/>
        <v>5.2460014861585176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-6.7984728957526396E-14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311.06126148520821</v>
      </c>
      <c r="AO122" s="59">
        <f t="shared" si="90"/>
        <v>321.1728368524748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0.60033249994221916</v>
      </c>
      <c r="AV122" s="21">
        <f>EXP(-LN(2)/25)*AV121+(1-EXP(-LN(2)/25))/(LN(2)/25)*Calculateur!AQ122*Calculateur!AS122*VLOOKUP('Données projet'!$B$10,Paramètres!$A$1:$I$89,3,0)*0.475*44/12</f>
        <v>1.8093471273260371</v>
      </c>
      <c r="AW122" s="21">
        <f>EXP(-LN(2)/2)*AW121+(1-EXP(-LN(2)/2))/(LN(2)/2)*AQ122*AT122*VLOOKUP('Données projet'!$B$10,Paramètres!$A$1:$I$89,3,0)*0.475*44/12</f>
        <v>1.2180233310405563E-12</v>
      </c>
      <c r="AX122" s="21">
        <f t="shared" si="60"/>
        <v>2.4096796272694743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-7.9580786405131221E-13</v>
      </c>
      <c r="BE122" s="13">
        <f>BD122*VLOOKUP('Données projet'!$B$11,Paramètres!$A$1:$I$89,3,0)*VLOOKUP('Données projet'!$B$11,Paramètres!$A$1:$I$89,5,0)</f>
        <v>-3.8278358260868117E-13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371.85813103419366</v>
      </c>
      <c r="BJ122" s="59">
        <f t="shared" si="92"/>
        <v>370.01698880104584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4.7695478127951354</v>
      </c>
      <c r="BQ122" s="21">
        <f>EXP(-LN(2)/25)*BQ121+(1-EXP(-LN(2)/25))/(LN(2)/25)*Calculateur!BL122*Calculateur!BN122*VLOOKUP('Données projet'!$B$11,Paramètres!$A$1:$I$89,3,0)*0.475*44/12</f>
        <v>3.8231370166738321</v>
      </c>
      <c r="BR122" s="21">
        <f>EXP(-LN(2)/2)*BR121+(1-EXP(-LN(2)/2))/(LN(2)/2)*BL122*BO122*VLOOKUP('Données projet'!$B$11,Paramètres!$A$1:$I$89,3,0)*0.475*44/12</f>
        <v>3.5556888532598252E-11</v>
      </c>
      <c r="BS122" s="22">
        <f t="shared" si="63"/>
        <v>8.5926848295045257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5.6843418860808015E-13</v>
      </c>
      <c r="BZ122" s="13">
        <f>BY122*VLOOKUP('Données projet'!$B$12,Paramètres!$A$1:$I$89,3,0)*VLOOKUP('Données projet'!$B$12,Paramètres!$A$1:$I$89,5,0)</f>
        <v>3.1036506698001181E-13</v>
      </c>
      <c r="CA122" s="13">
        <f t="shared" si="93"/>
        <v>4.086682523110923E-12</v>
      </c>
      <c r="CB122" s="20">
        <f t="shared" si="64"/>
        <v>7.6581912194083782E-12</v>
      </c>
      <c r="CC122" s="59">
        <f t="shared" si="65"/>
        <v>293.33333333334099</v>
      </c>
      <c r="CD122" s="59">
        <f ca="1">AVERAGE(OFFSET($CC$3,0,0,'Données projet'!$E$12+1,1))-AVERAGE(OFFSET($H$3,0,0,'Données projet'!$E$12+1,1))</f>
        <v>248.1486444660062</v>
      </c>
      <c r="CE122" s="59">
        <f t="shared" si="94"/>
        <v>293.34458072322127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1.461679130294097</v>
      </c>
      <c r="CL122" s="21">
        <f>EXP(-LN(2)/25)*CL121+(1-EXP(-LN(2)/25))/(LN(2)/25)*Calculateur!CG122*Calculateur!CI122*VLOOKUP('Données projet'!$B$12,Paramètres!$A$1:$I$89,3,0)*0.475*44/12</f>
        <v>2.885984063529107</v>
      </c>
      <c r="CM122" s="21">
        <f>EXP(-LN(2)/2)*CM121+(1-EXP(-LN(2)/2))/(LN(2)/2)*CG122*CJ122*VLOOKUP('Données projet'!$B$12,Paramètres!$A$1:$I$89,3,0)*0.475*44/12</f>
        <v>1.0121916757584092E-12</v>
      </c>
      <c r="CN122" s="22">
        <f t="shared" si="66"/>
        <v>4.3476631938242161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-2.2737367544323206E-13</v>
      </c>
      <c r="CU122" s="17">
        <f>CT122*VLOOKUP('Données projet'!$B$13,Paramètres!$A$1:$I$89,3,0)*VLOOKUP('Données projet'!$B$13,Paramètres!$A$1:$I$89,5,0)</f>
        <v>-1.8089849618263545E-13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314.94704727988847</v>
      </c>
      <c r="CZ122" s="59">
        <f t="shared" si="96"/>
        <v>366.49199094166454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0.67192494714029716</v>
      </c>
      <c r="DG122" s="21">
        <f>EXP(-LN(2)/25)*DG121+(1-EXP(-LN(2)/25))/(LN(2)/25)*Calculateur!DB122*Calculateur!DD122*VLOOKUP('Données projet'!$B$13,Paramètres!$A$1:$I$89,3,0)*0.475*44/12</f>
        <v>2.154193801772962</v>
      </c>
      <c r="DH122" s="21">
        <f>EXP(-LN(2)/2)*DH121+(1-EXP(-LN(2)/2))/(LN(2)/2)*DB122*DE122*VLOOKUP('Données projet'!$B$13,Paramètres!$A$1:$I$89,3,0)*0.475*44/12</f>
        <v>1.1603806884710756E-12</v>
      </c>
      <c r="DI122" s="22">
        <f t="shared" si="69"/>
        <v>2.8261187489144195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-1.2505552149377763E-12</v>
      </c>
      <c r="O123" s="13">
        <f>N123*VLOOKUP('Données projet'!$B$9,Paramètres!$A$1:$I$89,3,0)*VLOOKUP('Données projet'!$B$9,Paramètres!$A$1:$I$89,5,0)</f>
        <v>-6.9906036515021697E-13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415.91544298418842</v>
      </c>
      <c r="T123" s="59">
        <f t="shared" si="88"/>
        <v>422.79312683312583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1.9212494379317835</v>
      </c>
      <c r="AA123" s="21">
        <f>EXP(-LN(2)/25)*AA122+(1-EXP(-LN(2)/25))/(LN(2)/25)*Calculateur!V123*Calculateur!X123*VLOOKUP('Données projet'!$B$9,Paramètres!$A$1:$I$89,3,0)*0.475*44/12</f>
        <v>3.1964592656591391</v>
      </c>
      <c r="AB123" s="21">
        <f>EXP(-LN(2)/2)*AB122+(1-EXP(-LN(2)/2))/(LN(2)/2)*V123*Y123*VLOOKUP('Données projet'!$B$9,Paramètres!$A$1:$I$89,3,0)*0.475*44/12</f>
        <v>1.036593498470043E-12</v>
      </c>
      <c r="AC123" s="22">
        <f t="shared" si="57"/>
        <v>5.1177087035919593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-6.7984728957526396E-14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311.06126148520821</v>
      </c>
      <c r="AO123" s="59">
        <f t="shared" si="90"/>
        <v>321.1728368524748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0.58856034578502125</v>
      </c>
      <c r="AV123" s="21">
        <f>EXP(-LN(2)/25)*AV122+(1-EXP(-LN(2)/25))/(LN(2)/25)*Calculateur!AQ123*Calculateur!AS123*VLOOKUP('Données projet'!$B$10,Paramètres!$A$1:$I$89,3,0)*0.475*44/12</f>
        <v>1.7598704349798764</v>
      </c>
      <c r="AW123" s="21">
        <f>EXP(-LN(2)/2)*AW122+(1-EXP(-LN(2)/2))/(LN(2)/2)*AQ123*AT123*VLOOKUP('Données projet'!$B$10,Paramètres!$A$1:$I$89,3,0)*0.475*44/12</f>
        <v>8.6127255702220439E-13</v>
      </c>
      <c r="AX123" s="21">
        <f t="shared" si="60"/>
        <v>2.3484307807657587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-7.9580786405131221E-13</v>
      </c>
      <c r="BE123" s="13">
        <f>BD123*VLOOKUP('Données projet'!$B$11,Paramètres!$A$1:$I$89,3,0)*VLOOKUP('Données projet'!$B$11,Paramètres!$A$1:$I$89,5,0)</f>
        <v>-3.8278358260868117E-13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371.85813103419366</v>
      </c>
      <c r="BJ123" s="59">
        <f t="shared" si="92"/>
        <v>370.01698880104584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4.6760198893231353</v>
      </c>
      <c r="BQ123" s="21">
        <f>EXP(-LN(2)/25)*BQ122+(1-EXP(-LN(2)/25))/(LN(2)/25)*Calculateur!BL123*Calculateur!BN123*VLOOKUP('Données projet'!$B$11,Paramètres!$A$1:$I$89,3,0)*0.475*44/12</f>
        <v>3.7185931339028482</v>
      </c>
      <c r="BR123" s="21">
        <f>EXP(-LN(2)/2)*BR122+(1-EXP(-LN(2)/2))/(LN(2)/2)*BL123*BO123*VLOOKUP('Données projet'!$B$11,Paramètres!$A$1:$I$89,3,0)*0.475*44/12</f>
        <v>2.5142516999294414E-11</v>
      </c>
      <c r="BS123" s="22">
        <f t="shared" si="63"/>
        <v>8.3946130232511251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5.6843418860808015E-13</v>
      </c>
      <c r="BZ123" s="13">
        <f>BY123*VLOOKUP('Données projet'!$B$12,Paramètres!$A$1:$I$89,3,0)*VLOOKUP('Données projet'!$B$12,Paramètres!$A$1:$I$89,5,0)</f>
        <v>3.1036506698001181E-13</v>
      </c>
      <c r="CA123" s="13">
        <f t="shared" si="93"/>
        <v>4.086682523110923E-12</v>
      </c>
      <c r="CB123" s="20">
        <f t="shared" si="64"/>
        <v>7.6581912194083782E-12</v>
      </c>
      <c r="CC123" s="59">
        <f t="shared" si="65"/>
        <v>293.33333333334099</v>
      </c>
      <c r="CD123" s="59">
        <f ca="1">AVERAGE(OFFSET($CC$3,0,0,'Données projet'!$E$12+1,1))-AVERAGE(OFFSET($H$3,0,0,'Données projet'!$E$12+1,1))</f>
        <v>248.1486444660062</v>
      </c>
      <c r="CE123" s="59">
        <f t="shared" si="94"/>
        <v>293.34458072322127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1.4330164940852674</v>
      </c>
      <c r="CL123" s="21">
        <f>EXP(-LN(2)/25)*CL122+(1-EXP(-LN(2)/25))/(LN(2)/25)*Calculateur!CG123*Calculateur!CI123*VLOOKUP('Données projet'!$B$12,Paramètres!$A$1:$I$89,3,0)*0.475*44/12</f>
        <v>2.8070666775445976</v>
      </c>
      <c r="CM123" s="21">
        <f>EXP(-LN(2)/2)*CM122+(1-EXP(-LN(2)/2))/(LN(2)/2)*CG123*CJ123*VLOOKUP('Données projet'!$B$12,Paramètres!$A$1:$I$89,3,0)*0.475*44/12</f>
        <v>7.1572759778934633E-13</v>
      </c>
      <c r="CN123" s="22">
        <f t="shared" si="66"/>
        <v>4.2400831716305811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-2.2737367544323206E-13</v>
      </c>
      <c r="CU123" s="17">
        <f>CT123*VLOOKUP('Données projet'!$B$13,Paramètres!$A$1:$I$89,3,0)*VLOOKUP('Données projet'!$B$13,Paramètres!$A$1:$I$89,5,0)</f>
        <v>-1.8089849618263545E-13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314.94704727988847</v>
      </c>
      <c r="CZ123" s="59">
        <f t="shared" si="96"/>
        <v>366.49199094166454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0.65874890876062597</v>
      </c>
      <c r="DG123" s="21">
        <f>EXP(-LN(2)/25)*DG122+(1-EXP(-LN(2)/25))/(LN(2)/25)*Calculateur!DB123*Calculateur!DD123*VLOOKUP('Données projet'!$B$13,Paramètres!$A$1:$I$89,3,0)*0.475*44/12</f>
        <v>2.0952872589793516</v>
      </c>
      <c r="DH123" s="21">
        <f>EXP(-LN(2)/2)*DH122+(1-EXP(-LN(2)/2))/(LN(2)/2)*DB123*DE123*VLOOKUP('Données projet'!$B$13,Paramètres!$A$1:$I$89,3,0)*0.475*44/12</f>
        <v>8.2051305357581227E-13</v>
      </c>
      <c r="DI123" s="22">
        <f t="shared" si="69"/>
        <v>2.7540361677407983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-1.2505552149377763E-12</v>
      </c>
      <c r="O124" s="13">
        <f>N124*VLOOKUP('Données projet'!$B$9,Paramètres!$A$1:$I$89,3,0)*VLOOKUP('Données projet'!$B$9,Paramètres!$A$1:$I$89,5,0)</f>
        <v>-6.9906036515021697E-13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415.91544298418842</v>
      </c>
      <c r="T124" s="59">
        <f t="shared" si="88"/>
        <v>422.79312683312583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1.8835749083003881</v>
      </c>
      <c r="AA124" s="21">
        <f>EXP(-LN(2)/25)*AA123+(1-EXP(-LN(2)/25))/(LN(2)/25)*Calculateur!V124*Calculateur!X124*VLOOKUP('Données projet'!$B$9,Paramètres!$A$1:$I$89,3,0)*0.475*44/12</f>
        <v>3.1090519189452026</v>
      </c>
      <c r="AB124" s="21">
        <f>EXP(-LN(2)/2)*AB123+(1-EXP(-LN(2)/2))/(LN(2)/2)*V124*Y124*VLOOKUP('Données projet'!$B$9,Paramètres!$A$1:$I$89,3,0)*0.475*44/12</f>
        <v>7.3298229210205446E-13</v>
      </c>
      <c r="AC124" s="22">
        <f t="shared" si="57"/>
        <v>4.9926268272463235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-6.7984728957526396E-14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311.06126148520821</v>
      </c>
      <c r="AO124" s="59">
        <f t="shared" si="90"/>
        <v>321.1728368524748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0.57701903639054097</v>
      </c>
      <c r="AV124" s="21">
        <f>EXP(-LN(2)/25)*AV123+(1-EXP(-LN(2)/25))/(LN(2)/25)*Calculateur!AQ124*Calculateur!AS124*VLOOKUP('Données projet'!$B$10,Paramètres!$A$1:$I$89,3,0)*0.475*44/12</f>
        <v>1.7117466853877876</v>
      </c>
      <c r="AW124" s="21">
        <f>EXP(-LN(2)/2)*AW123+(1-EXP(-LN(2)/2))/(LN(2)/2)*AQ124*AT124*VLOOKUP('Données projet'!$B$10,Paramètres!$A$1:$I$89,3,0)*0.475*44/12</f>
        <v>6.0901166552027815E-13</v>
      </c>
      <c r="AX124" s="21">
        <f t="shared" si="60"/>
        <v>2.2887657217789372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-7.9580786405131221E-13</v>
      </c>
      <c r="BE124" s="13">
        <f>BD124*VLOOKUP('Données projet'!$B$11,Paramètres!$A$1:$I$89,3,0)*VLOOKUP('Données projet'!$B$11,Paramètres!$A$1:$I$89,5,0)</f>
        <v>-3.8278358260868117E-13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371.85813103419366</v>
      </c>
      <c r="BJ124" s="59">
        <f t="shared" si="92"/>
        <v>370.01698880104584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4.5843259913840209</v>
      </c>
      <c r="BQ124" s="21">
        <f>EXP(-LN(2)/25)*BQ123+(1-EXP(-LN(2)/25))/(LN(2)/25)*Calculateur!BL124*Calculateur!BN124*VLOOKUP('Données projet'!$B$11,Paramètres!$A$1:$I$89,3,0)*0.475*44/12</f>
        <v>3.6169080091039607</v>
      </c>
      <c r="BR124" s="21">
        <f>EXP(-LN(2)/2)*BR123+(1-EXP(-LN(2)/2))/(LN(2)/2)*BL124*BO124*VLOOKUP('Données projet'!$B$11,Paramètres!$A$1:$I$89,3,0)*0.475*44/12</f>
        <v>1.7778444266299126E-11</v>
      </c>
      <c r="BS124" s="22">
        <f t="shared" si="63"/>
        <v>8.2012340005057602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5.6843418860808015E-13</v>
      </c>
      <c r="BZ124" s="13">
        <f>BY124*VLOOKUP('Données projet'!$B$12,Paramètres!$A$1:$I$89,3,0)*VLOOKUP('Données projet'!$B$12,Paramètres!$A$1:$I$89,5,0)</f>
        <v>3.1036506698001181E-13</v>
      </c>
      <c r="CA124" s="13">
        <f t="shared" si="93"/>
        <v>4.086682523110923E-12</v>
      </c>
      <c r="CB124" s="20">
        <f t="shared" si="64"/>
        <v>7.6581912194083782E-12</v>
      </c>
      <c r="CC124" s="59">
        <f t="shared" si="65"/>
        <v>293.33333333334099</v>
      </c>
      <c r="CD124" s="59">
        <f ca="1">AVERAGE(OFFSET($CC$3,0,0,'Données projet'!$E$12+1,1))-AVERAGE(OFFSET($H$3,0,0,'Données projet'!$E$12+1,1))</f>
        <v>248.1486444660062</v>
      </c>
      <c r="CE124" s="59">
        <f t="shared" si="94"/>
        <v>293.34458072322127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1.404915914690011</v>
      </c>
      <c r="CL124" s="21">
        <f>EXP(-LN(2)/25)*CL123+(1-EXP(-LN(2)/25))/(LN(2)/25)*Calculateur!CG124*Calculateur!CI124*VLOOKUP('Données projet'!$B$12,Paramètres!$A$1:$I$89,3,0)*0.475*44/12</f>
        <v>2.7303072916299196</v>
      </c>
      <c r="CM124" s="21">
        <f>EXP(-LN(2)/2)*CM123+(1-EXP(-LN(2)/2))/(LN(2)/2)*CG124*CJ124*VLOOKUP('Données projet'!$B$12,Paramètres!$A$1:$I$89,3,0)*0.475*44/12</f>
        <v>5.0609583787920461E-13</v>
      </c>
      <c r="CN124" s="22">
        <f t="shared" si="66"/>
        <v>4.1352232063204371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-2.2737367544323206E-13</v>
      </c>
      <c r="CU124" s="17">
        <f>CT124*VLOOKUP('Données projet'!$B$13,Paramètres!$A$1:$I$89,3,0)*VLOOKUP('Données projet'!$B$13,Paramètres!$A$1:$I$89,5,0)</f>
        <v>-1.8089849618263545E-13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314.94704727988847</v>
      </c>
      <c r="CZ124" s="59">
        <f t="shared" si="96"/>
        <v>366.49199094166454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0.64583124445699025</v>
      </c>
      <c r="DG124" s="21">
        <f>EXP(-LN(2)/25)*DG123+(1-EXP(-LN(2)/25))/(LN(2)/25)*Calculateur!DB124*Calculateur!DD124*VLOOKUP('Données projet'!$B$13,Paramètres!$A$1:$I$89,3,0)*0.475*44/12</f>
        <v>2.037991518696193</v>
      </c>
      <c r="DH124" s="21">
        <f>EXP(-LN(2)/2)*DH123+(1-EXP(-LN(2)/2))/(LN(2)/2)*DB124*DE124*VLOOKUP('Données projet'!$B$13,Paramètres!$A$1:$I$89,3,0)*0.475*44/12</f>
        <v>5.8019034423553782E-13</v>
      </c>
      <c r="DI124" s="22">
        <f t="shared" si="69"/>
        <v>2.6838227631537634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-1.2505552149377763E-12</v>
      </c>
      <c r="O125" s="13">
        <f>N125*VLOOKUP('Données projet'!$B$9,Paramètres!$A$1:$I$89,3,0)*VLOOKUP('Données projet'!$B$9,Paramètres!$A$1:$I$89,5,0)</f>
        <v>-6.9906036515021697E-13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415.91544298418842</v>
      </c>
      <c r="T125" s="59">
        <f t="shared" si="88"/>
        <v>422.79312683312583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1.8466391532158704</v>
      </c>
      <c r="AA125" s="21">
        <f>EXP(-LN(2)/25)*AA124+(1-EXP(-LN(2)/25))/(LN(2)/25)*Calculateur!V125*Calculateur!X125*VLOOKUP('Données projet'!$B$9,Paramètres!$A$1:$I$89,3,0)*0.475*44/12</f>
        <v>3.0240347307237117</v>
      </c>
      <c r="AB125" s="21">
        <f>EXP(-LN(2)/2)*AB124+(1-EXP(-LN(2)/2))/(LN(2)/2)*V125*Y125*VLOOKUP('Données projet'!$B$9,Paramètres!$A$1:$I$89,3,0)*0.475*44/12</f>
        <v>5.1829674923502148E-13</v>
      </c>
      <c r="AC125" s="22">
        <f t="shared" si="57"/>
        <v>4.8706738839401007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-6.7984728957526396E-14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311.06126148520821</v>
      </c>
      <c r="AO125" s="59">
        <f t="shared" si="90"/>
        <v>321.1728368524748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0.5657040450337828</v>
      </c>
      <c r="AV125" s="21">
        <f>EXP(-LN(2)/25)*AV124+(1-EXP(-LN(2)/25))/(LN(2)/25)*Calculateur!AQ125*Calculateur!AS125*VLOOKUP('Données projet'!$B$10,Paramètres!$A$1:$I$89,3,0)*0.475*44/12</f>
        <v>1.6649388822590125</v>
      </c>
      <c r="AW125" s="21">
        <f>EXP(-LN(2)/2)*AW124+(1-EXP(-LN(2)/2))/(LN(2)/2)*AQ125*AT125*VLOOKUP('Données projet'!$B$10,Paramètres!$A$1:$I$89,3,0)*0.475*44/12</f>
        <v>4.3063627851110219E-13</v>
      </c>
      <c r="AX125" s="21">
        <f t="shared" si="60"/>
        <v>2.2306429272932262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-7.9580786405131221E-13</v>
      </c>
      <c r="BE125" s="13">
        <f>BD125*VLOOKUP('Données projet'!$B$11,Paramètres!$A$1:$I$89,3,0)*VLOOKUP('Données projet'!$B$11,Paramètres!$A$1:$I$89,5,0)</f>
        <v>-3.8278358260868117E-13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371.85813103419366</v>
      </c>
      <c r="BJ125" s="59">
        <f t="shared" si="92"/>
        <v>370.01698880104584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4.4944301548557366</v>
      </c>
      <c r="BQ125" s="21">
        <f>EXP(-LN(2)/25)*BQ124+(1-EXP(-LN(2)/25))/(LN(2)/25)*Calculateur!BL125*Calculateur!BN125*VLOOKUP('Données projet'!$B$11,Paramètres!$A$1:$I$89,3,0)*0.475*44/12</f>
        <v>3.5180034693900875</v>
      </c>
      <c r="BR125" s="21">
        <f>EXP(-LN(2)/2)*BR124+(1-EXP(-LN(2)/2))/(LN(2)/2)*BL125*BO125*VLOOKUP('Données projet'!$B$11,Paramètres!$A$1:$I$89,3,0)*0.475*44/12</f>
        <v>1.2571258499647207E-11</v>
      </c>
      <c r="BS125" s="22">
        <f t="shared" si="63"/>
        <v>8.0124336242583958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5.6843418860808015E-13</v>
      </c>
      <c r="BZ125" s="13">
        <f>BY125*VLOOKUP('Données projet'!$B$12,Paramètres!$A$1:$I$89,3,0)*VLOOKUP('Données projet'!$B$12,Paramètres!$A$1:$I$89,5,0)</f>
        <v>3.1036506698001181E-13</v>
      </c>
      <c r="CA125" s="13">
        <f t="shared" si="93"/>
        <v>4.086682523110923E-12</v>
      </c>
      <c r="CB125" s="20">
        <f t="shared" si="64"/>
        <v>7.6581912194083782E-12</v>
      </c>
      <c r="CC125" s="59">
        <f t="shared" si="65"/>
        <v>293.33333333334099</v>
      </c>
      <c r="CD125" s="59">
        <f ca="1">AVERAGE(OFFSET($CC$3,0,0,'Données projet'!$E$12+1,1))-AVERAGE(OFFSET($H$3,0,0,'Données projet'!$E$12+1,1))</f>
        <v>248.1486444660062</v>
      </c>
      <c r="CE125" s="59">
        <f t="shared" si="94"/>
        <v>293.34458072322127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1.3773663705170345</v>
      </c>
      <c r="CL125" s="21">
        <f>EXP(-LN(2)/25)*CL124+(1-EXP(-LN(2)/25))/(LN(2)/25)*Calculateur!CG125*Calculateur!CI125*VLOOKUP('Données projet'!$B$12,Paramètres!$A$1:$I$89,3,0)*0.475*44/12</f>
        <v>2.6556468951596792</v>
      </c>
      <c r="CM125" s="21">
        <f>EXP(-LN(2)/2)*CM124+(1-EXP(-LN(2)/2))/(LN(2)/2)*CG125*CJ125*VLOOKUP('Données projet'!$B$12,Paramètres!$A$1:$I$89,3,0)*0.475*44/12</f>
        <v>3.5786379889467317E-13</v>
      </c>
      <c r="CN125" s="22">
        <f t="shared" si="66"/>
        <v>4.0330132656770719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-2.2737367544323206E-13</v>
      </c>
      <c r="CU125" s="17">
        <f>CT125*VLOOKUP('Données projet'!$B$13,Paramètres!$A$1:$I$89,3,0)*VLOOKUP('Données projet'!$B$13,Paramètres!$A$1:$I$89,5,0)</f>
        <v>-1.8089849618263545E-13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314.94704727988847</v>
      </c>
      <c r="CZ125" s="59">
        <f t="shared" si="96"/>
        <v>366.49199094166454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0.63316688767135165</v>
      </c>
      <c r="DG125" s="21">
        <f>EXP(-LN(2)/25)*DG124+(1-EXP(-LN(2)/25))/(LN(2)/25)*Calculateur!DB125*Calculateur!DD125*VLOOKUP('Données projet'!$B$13,Paramètres!$A$1:$I$89,3,0)*0.475*44/12</f>
        <v>1.9822625334441295</v>
      </c>
      <c r="DH125" s="21">
        <f>EXP(-LN(2)/2)*DH124+(1-EXP(-LN(2)/2))/(LN(2)/2)*DB125*DE125*VLOOKUP('Données projet'!$B$13,Paramètres!$A$1:$I$89,3,0)*0.475*44/12</f>
        <v>4.1025652678790614E-13</v>
      </c>
      <c r="DI125" s="22">
        <f t="shared" si="69"/>
        <v>2.6154294211158913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-1.2505552149377763E-12</v>
      </c>
      <c r="O126" s="13">
        <f>N126*VLOOKUP('Données projet'!$B$9,Paramètres!$A$1:$I$89,3,0)*VLOOKUP('Données projet'!$B$9,Paramètres!$A$1:$I$89,5,0)</f>
        <v>-6.9906036515021697E-13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415.91544298418842</v>
      </c>
      <c r="T126" s="59">
        <f t="shared" si="88"/>
        <v>422.79312683312583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1.8104276857599739</v>
      </c>
      <c r="AA126" s="21">
        <f>EXP(-LN(2)/25)*AA125+(1-EXP(-LN(2)/25))/(LN(2)/25)*Calculateur!V126*Calculateur!X126*VLOOKUP('Données projet'!$B$9,Paramètres!$A$1:$I$89,3,0)*0.475*44/12</f>
        <v>2.9413423419849969</v>
      </c>
      <c r="AB126" s="21">
        <f>EXP(-LN(2)/2)*AB125+(1-EXP(-LN(2)/2))/(LN(2)/2)*V126*Y126*VLOOKUP('Données projet'!$B$9,Paramètres!$A$1:$I$89,3,0)*0.475*44/12</f>
        <v>3.6649114605102723E-13</v>
      </c>
      <c r="AC126" s="22">
        <f t="shared" si="57"/>
        <v>4.7517700277453381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-6.7984728957526396E-14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311.06126148520821</v>
      </c>
      <c r="AO126" s="59">
        <f t="shared" si="90"/>
        <v>321.1728368524748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0.5546109337560674</v>
      </c>
      <c r="AV126" s="21">
        <f>EXP(-LN(2)/25)*AV125+(1-EXP(-LN(2)/25))/(LN(2)/25)*Calculateur!AQ126*Calculateur!AS126*VLOOKUP('Données projet'!$B$10,Paramètres!$A$1:$I$89,3,0)*0.475*44/12</f>
        <v>1.6194110409683093</v>
      </c>
      <c r="AW126" s="21">
        <f>EXP(-LN(2)/2)*AW125+(1-EXP(-LN(2)/2))/(LN(2)/2)*AQ126*AT126*VLOOKUP('Données projet'!$B$10,Paramètres!$A$1:$I$89,3,0)*0.475*44/12</f>
        <v>3.0450583276013907E-13</v>
      </c>
      <c r="AX126" s="21">
        <f t="shared" si="60"/>
        <v>2.1740219747246812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-7.9580786405131221E-13</v>
      </c>
      <c r="BE126" s="13">
        <f>BD126*VLOOKUP('Données projet'!$B$11,Paramètres!$A$1:$I$89,3,0)*VLOOKUP('Données projet'!$B$11,Paramètres!$A$1:$I$89,5,0)</f>
        <v>-3.8278358260868117E-13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371.85813103419366</v>
      </c>
      <c r="BJ126" s="59">
        <f t="shared" si="92"/>
        <v>370.01698880104584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4.4062971208507262</v>
      </c>
      <c r="BQ126" s="21">
        <f>EXP(-LN(2)/25)*BQ125+(1-EXP(-LN(2)/25))/(LN(2)/25)*Calculateur!BL126*Calculateur!BN126*VLOOKUP('Données projet'!$B$11,Paramètres!$A$1:$I$89,3,0)*0.475*44/12</f>
        <v>3.4218034795158534</v>
      </c>
      <c r="BR126" s="21">
        <f>EXP(-LN(2)/2)*BR125+(1-EXP(-LN(2)/2))/(LN(2)/2)*BL126*BO126*VLOOKUP('Données projet'!$B$11,Paramètres!$A$1:$I$89,3,0)*0.475*44/12</f>
        <v>8.8892221331495631E-12</v>
      </c>
      <c r="BS126" s="22">
        <f t="shared" si="63"/>
        <v>7.8281006003754685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5.6843418860808015E-13</v>
      </c>
      <c r="BZ126" s="13">
        <f>BY126*VLOOKUP('Données projet'!$B$12,Paramètres!$A$1:$I$89,3,0)*VLOOKUP('Données projet'!$B$12,Paramètres!$A$1:$I$89,5,0)</f>
        <v>3.1036506698001181E-13</v>
      </c>
      <c r="CA126" s="13">
        <f t="shared" si="93"/>
        <v>4.086682523110923E-12</v>
      </c>
      <c r="CB126" s="20">
        <f t="shared" si="64"/>
        <v>7.6581912194083782E-12</v>
      </c>
      <c r="CC126" s="59">
        <f t="shared" si="65"/>
        <v>293.33333333334099</v>
      </c>
      <c r="CD126" s="59">
        <f ca="1">AVERAGE(OFFSET($CC$3,0,0,'Données projet'!$E$12+1,1))-AVERAGE(OFFSET($H$3,0,0,'Données projet'!$E$12+1,1))</f>
        <v>248.1486444660062</v>
      </c>
      <c r="CE126" s="59">
        <f t="shared" si="94"/>
        <v>293.34458072322127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1.3503570561017275</v>
      </c>
      <c r="CL126" s="21">
        <f>EXP(-LN(2)/25)*CL125+(1-EXP(-LN(2)/25))/(LN(2)/25)*Calculateur!CG126*Calculateur!CI126*VLOOKUP('Données projet'!$B$12,Paramètres!$A$1:$I$89,3,0)*0.475*44/12</f>
        <v>2.5830280911571371</v>
      </c>
      <c r="CM126" s="21">
        <f>EXP(-LN(2)/2)*CM125+(1-EXP(-LN(2)/2))/(LN(2)/2)*CG126*CJ126*VLOOKUP('Données projet'!$B$12,Paramètres!$A$1:$I$89,3,0)*0.475*44/12</f>
        <v>2.530479189396023E-13</v>
      </c>
      <c r="CN126" s="22">
        <f t="shared" si="66"/>
        <v>3.9333851472591177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-2.2737367544323206E-13</v>
      </c>
      <c r="CU126" s="17">
        <f>CT126*VLOOKUP('Données projet'!$B$13,Paramètres!$A$1:$I$89,3,0)*VLOOKUP('Données projet'!$B$13,Paramètres!$A$1:$I$89,5,0)</f>
        <v>-1.8089849618263545E-13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314.94704727988847</v>
      </c>
      <c r="CZ126" s="59">
        <f t="shared" si="96"/>
        <v>366.49199094166454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0.62075087119778449</v>
      </c>
      <c r="DG126" s="21">
        <f>EXP(-LN(2)/25)*DG125+(1-EXP(-LN(2)/25))/(LN(2)/25)*Calculateur!DB126*Calculateur!DD126*VLOOKUP('Données projet'!$B$13,Paramètres!$A$1:$I$89,3,0)*0.475*44/12</f>
        <v>1.9280574602244436</v>
      </c>
      <c r="DH126" s="21">
        <f>EXP(-LN(2)/2)*DH125+(1-EXP(-LN(2)/2))/(LN(2)/2)*DB126*DE126*VLOOKUP('Données projet'!$B$13,Paramètres!$A$1:$I$89,3,0)*0.475*44/12</f>
        <v>2.9009517211776891E-13</v>
      </c>
      <c r="DI126" s="22">
        <f t="shared" si="69"/>
        <v>2.5488083314225181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-1.2505552149377763E-12</v>
      </c>
      <c r="O127" s="13">
        <f>N127*VLOOKUP('Données projet'!$B$9,Paramètres!$A$1:$I$89,3,0)*VLOOKUP('Données projet'!$B$9,Paramètres!$A$1:$I$89,5,0)</f>
        <v>-6.9906036515021697E-13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415.91544298418842</v>
      </c>
      <c r="T127" s="59">
        <f t="shared" si="88"/>
        <v>422.79312683312583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1.7749263030940734</v>
      </c>
      <c r="AA127" s="21">
        <f>EXP(-LN(2)/25)*AA126+(1-EXP(-LN(2)/25))/(LN(2)/25)*Calculateur!V127*Calculateur!X127*VLOOKUP('Données projet'!$B$9,Paramètres!$A$1:$I$89,3,0)*0.475*44/12</f>
        <v>2.8609111809649459</v>
      </c>
      <c r="AB127" s="21">
        <f>EXP(-LN(2)/2)*AB126+(1-EXP(-LN(2)/2))/(LN(2)/2)*V127*Y127*VLOOKUP('Données projet'!$B$9,Paramètres!$A$1:$I$89,3,0)*0.475*44/12</f>
        <v>2.5914837461751074E-13</v>
      </c>
      <c r="AC127" s="22">
        <f t="shared" si="57"/>
        <v>4.6358374840592784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-6.7984728957526396E-14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311.06126148520821</v>
      </c>
      <c r="AO127" s="59">
        <f t="shared" si="90"/>
        <v>321.1728368524748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0.54373535162437825</v>
      </c>
      <c r="AV127" s="21">
        <f>EXP(-LN(2)/25)*AV126+(1-EXP(-LN(2)/25))/(LN(2)/25)*Calculateur!AQ127*Calculateur!AS127*VLOOKUP('Données projet'!$B$10,Paramètres!$A$1:$I$89,3,0)*0.475*44/12</f>
        <v>1.5751281608919054</v>
      </c>
      <c r="AW127" s="21">
        <f>EXP(-LN(2)/2)*AW126+(1-EXP(-LN(2)/2))/(LN(2)/2)*AQ127*AT127*VLOOKUP('Données projet'!$B$10,Paramètres!$A$1:$I$89,3,0)*0.475*44/12</f>
        <v>2.153181392555511E-13</v>
      </c>
      <c r="AX127" s="21">
        <f t="shared" si="60"/>
        <v>2.1188635125164992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-7.9580786405131221E-13</v>
      </c>
      <c r="BE127" s="13">
        <f>BD127*VLOOKUP('Données projet'!$B$11,Paramètres!$A$1:$I$89,3,0)*VLOOKUP('Données projet'!$B$11,Paramètres!$A$1:$I$89,5,0)</f>
        <v>-3.8278358260868117E-13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371.85813103419366</v>
      </c>
      <c r="BJ127" s="59">
        <f t="shared" si="92"/>
        <v>370.01698880104584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4.3198923218867114</v>
      </c>
      <c r="BQ127" s="21">
        <f>EXP(-LN(2)/25)*BQ126+(1-EXP(-LN(2)/25))/(LN(2)/25)*Calculateur!BL127*Calculateur!BN127*VLOOKUP('Données projet'!$B$11,Paramètres!$A$1:$I$89,3,0)*0.475*44/12</f>
        <v>3.3282340834236681</v>
      </c>
      <c r="BR127" s="21">
        <f>EXP(-LN(2)/2)*BR126+(1-EXP(-LN(2)/2))/(LN(2)/2)*BL127*BO127*VLOOKUP('Données projet'!$B$11,Paramètres!$A$1:$I$89,3,0)*0.475*44/12</f>
        <v>6.2856292498236034E-12</v>
      </c>
      <c r="BS127" s="22">
        <f t="shared" si="63"/>
        <v>7.6481264053166651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5.6843418860808015E-13</v>
      </c>
      <c r="BZ127" s="13">
        <f>BY127*VLOOKUP('Données projet'!$B$12,Paramètres!$A$1:$I$89,3,0)*VLOOKUP('Données projet'!$B$12,Paramètres!$A$1:$I$89,5,0)</f>
        <v>3.1036506698001181E-13</v>
      </c>
      <c r="CA127" s="13">
        <f t="shared" si="93"/>
        <v>4.086682523110923E-12</v>
      </c>
      <c r="CB127" s="20">
        <f t="shared" si="64"/>
        <v>7.6581912194083782E-12</v>
      </c>
      <c r="CC127" s="59">
        <f t="shared" si="65"/>
        <v>293.33333333334099</v>
      </c>
      <c r="CD127" s="59">
        <f ca="1">AVERAGE(OFFSET($CC$3,0,0,'Données projet'!$E$12+1,1))-AVERAGE(OFFSET($H$3,0,0,'Données projet'!$E$12+1,1))</f>
        <v>248.1486444660062</v>
      </c>
      <c r="CE127" s="59">
        <f t="shared" si="94"/>
        <v>293.34458072322127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1.3238773778680495</v>
      </c>
      <c r="CL127" s="21">
        <f>EXP(-LN(2)/25)*CL126+(1-EXP(-LN(2)/25))/(LN(2)/25)*Calculateur!CG127*Calculateur!CI127*VLOOKUP('Données projet'!$B$12,Paramètres!$A$1:$I$89,3,0)*0.475*44/12</f>
        <v>2.5123950521689014</v>
      </c>
      <c r="CM127" s="21">
        <f>EXP(-LN(2)/2)*CM126+(1-EXP(-LN(2)/2))/(LN(2)/2)*CG127*CJ127*VLOOKUP('Données projet'!$B$12,Paramètres!$A$1:$I$89,3,0)*0.475*44/12</f>
        <v>1.7893189944733658E-13</v>
      </c>
      <c r="CN127" s="22">
        <f t="shared" si="66"/>
        <v>3.83627243003713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-2.2737367544323206E-13</v>
      </c>
      <c r="CU127" s="17">
        <f>CT127*VLOOKUP('Données projet'!$B$13,Paramètres!$A$1:$I$89,3,0)*VLOOKUP('Données projet'!$B$13,Paramètres!$A$1:$I$89,5,0)</f>
        <v>-1.8089849618263545E-13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314.94704727988847</v>
      </c>
      <c r="CZ127" s="59">
        <f t="shared" si="96"/>
        <v>366.49199094166454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0.60857832523424171</v>
      </c>
      <c r="DG127" s="21">
        <f>EXP(-LN(2)/25)*DG126+(1-EXP(-LN(2)/25))/(LN(2)/25)*Calculateur!DB127*Calculateur!DD127*VLOOKUP('Données projet'!$B$13,Paramètres!$A$1:$I$89,3,0)*0.475*44/12</f>
        <v>1.8753346275824709</v>
      </c>
      <c r="DH127" s="21">
        <f>EXP(-LN(2)/2)*DH126+(1-EXP(-LN(2)/2))/(LN(2)/2)*DB127*DE127*VLOOKUP('Données projet'!$B$13,Paramètres!$A$1:$I$89,3,0)*0.475*44/12</f>
        <v>2.0512826339395307E-13</v>
      </c>
      <c r="DI127" s="22">
        <f t="shared" si="69"/>
        <v>2.4839129528169179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-1.2505552149377763E-12</v>
      </c>
      <c r="O128" s="13">
        <f>N128*VLOOKUP('Données projet'!$B$9,Paramètres!$A$1:$I$89,3,0)*VLOOKUP('Données projet'!$B$9,Paramètres!$A$1:$I$89,5,0)</f>
        <v>-6.9906036515021697E-13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415.91544298418842</v>
      </c>
      <c r="T128" s="59">
        <f t="shared" si="88"/>
        <v>422.79312683312583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1.7401210808885459</v>
      </c>
      <c r="AA128" s="21">
        <f>EXP(-LN(2)/25)*AA127+(1-EXP(-LN(2)/25))/(LN(2)/25)*Calculateur!V128*Calculateur!X128*VLOOKUP('Données projet'!$B$9,Paramètres!$A$1:$I$89,3,0)*0.475*44/12</f>
        <v>2.7826794142726792</v>
      </c>
      <c r="AB128" s="21">
        <f>EXP(-LN(2)/2)*AB127+(1-EXP(-LN(2)/2))/(LN(2)/2)*V128*Y128*VLOOKUP('Données projet'!$B$9,Paramètres!$A$1:$I$89,3,0)*0.475*44/12</f>
        <v>1.8324557302551361E-13</v>
      </c>
      <c r="AC128" s="22">
        <f t="shared" si="57"/>
        <v>4.522800495161408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-6.7984728957526396E-14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311.06126148520821</v>
      </c>
      <c r="AO128" s="59">
        <f t="shared" si="90"/>
        <v>321.1728368524748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0.53307303302484133</v>
      </c>
      <c r="AV128" s="21">
        <f>EXP(-LN(2)/25)*AV127+(1-EXP(-LN(2)/25))/(LN(2)/25)*Calculateur!AQ128*Calculateur!AS128*VLOOKUP('Données projet'!$B$10,Paramètres!$A$1:$I$89,3,0)*0.475*44/12</f>
        <v>1.5320561984999264</v>
      </c>
      <c r="AW128" s="21">
        <f>EXP(-LN(2)/2)*AW127+(1-EXP(-LN(2)/2))/(LN(2)/2)*AQ128*AT128*VLOOKUP('Données projet'!$B$10,Paramètres!$A$1:$I$89,3,0)*0.475*44/12</f>
        <v>1.5225291638006954E-13</v>
      </c>
      <c r="AX128" s="21">
        <f t="shared" si="60"/>
        <v>2.0651292315249199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-7.9580786405131221E-13</v>
      </c>
      <c r="BE128" s="13">
        <f>BD128*VLOOKUP('Données projet'!$B$11,Paramètres!$A$1:$I$89,3,0)*VLOOKUP('Données projet'!$B$11,Paramètres!$A$1:$I$89,5,0)</f>
        <v>-3.8278358260868117E-13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371.85813103419366</v>
      </c>
      <c r="BJ128" s="59">
        <f t="shared" si="92"/>
        <v>370.01698880104584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4.2351818683286568</v>
      </c>
      <c r="BQ128" s="21">
        <f>EXP(-LN(2)/25)*BQ127+(1-EXP(-LN(2)/25))/(LN(2)/25)*Calculateur!BL128*Calculateur!BN128*VLOOKUP('Données projet'!$B$11,Paramètres!$A$1:$I$89,3,0)*0.475*44/12</f>
        <v>3.2372233473882241</v>
      </c>
      <c r="BR128" s="21">
        <f>EXP(-LN(2)/2)*BR127+(1-EXP(-LN(2)/2))/(LN(2)/2)*BL128*BO128*VLOOKUP('Données projet'!$B$11,Paramètres!$A$1:$I$89,3,0)*0.475*44/12</f>
        <v>4.4446110665747816E-12</v>
      </c>
      <c r="BS128" s="22">
        <f t="shared" si="63"/>
        <v>7.4724052157213254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5.6843418860808015E-13</v>
      </c>
      <c r="BZ128" s="13">
        <f>BY128*VLOOKUP('Données projet'!$B$12,Paramètres!$A$1:$I$89,3,0)*VLOOKUP('Données projet'!$B$12,Paramètres!$A$1:$I$89,5,0)</f>
        <v>3.1036506698001181E-13</v>
      </c>
      <c r="CA128" s="13">
        <f t="shared" si="93"/>
        <v>4.086682523110923E-12</v>
      </c>
      <c r="CB128" s="20">
        <f t="shared" si="64"/>
        <v>7.6581912194083782E-12</v>
      </c>
      <c r="CC128" s="59">
        <f t="shared" si="65"/>
        <v>293.33333333334099</v>
      </c>
      <c r="CD128" s="59">
        <f ca="1">AVERAGE(OFFSET($CC$3,0,0,'Données projet'!$E$12+1,1))-AVERAGE(OFFSET($H$3,0,0,'Données projet'!$E$12+1,1))</f>
        <v>248.1486444660062</v>
      </c>
      <c r="CE128" s="59">
        <f t="shared" si="94"/>
        <v>293.34458072322127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1.297916949973525</v>
      </c>
      <c r="CL128" s="21">
        <f>EXP(-LN(2)/25)*CL127+(1-EXP(-LN(2)/25))/(LN(2)/25)*Calculateur!CG128*Calculateur!CI128*VLOOKUP('Données projet'!$B$12,Paramètres!$A$1:$I$89,3,0)*0.475*44/12</f>
        <v>2.4436934773462293</v>
      </c>
      <c r="CM128" s="21">
        <f>EXP(-LN(2)/2)*CM127+(1-EXP(-LN(2)/2))/(LN(2)/2)*CG128*CJ128*VLOOKUP('Données projet'!$B$12,Paramètres!$A$1:$I$89,3,0)*0.475*44/12</f>
        <v>1.2652395946980115E-13</v>
      </c>
      <c r="CN128" s="22">
        <f t="shared" si="66"/>
        <v>3.7416104273198809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-2.2737367544323206E-13</v>
      </c>
      <c r="CU128" s="17">
        <f>CT128*VLOOKUP('Données projet'!$B$13,Paramètres!$A$1:$I$89,3,0)*VLOOKUP('Données projet'!$B$13,Paramètres!$A$1:$I$89,5,0)</f>
        <v>-1.8089849618263545E-13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314.94704727988847</v>
      </c>
      <c r="CZ128" s="59">
        <f t="shared" si="96"/>
        <v>366.49199094166454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0.59664447547252408</v>
      </c>
      <c r="DG128" s="21">
        <f>EXP(-LN(2)/25)*DG127+(1-EXP(-LN(2)/25))/(LN(2)/25)*Calculateur!DB128*Calculateur!DD128*VLOOKUP('Données projet'!$B$13,Paramètres!$A$1:$I$89,3,0)*0.475*44/12</f>
        <v>1.8240535035716663</v>
      </c>
      <c r="DH128" s="21">
        <f>EXP(-LN(2)/2)*DH127+(1-EXP(-LN(2)/2))/(LN(2)/2)*DB128*DE128*VLOOKUP('Données projet'!$B$13,Paramètres!$A$1:$I$89,3,0)*0.475*44/12</f>
        <v>1.4504758605888446E-13</v>
      </c>
      <c r="DI128" s="22">
        <f t="shared" si="69"/>
        <v>2.4206979790443355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-1.2505552149377763E-12</v>
      </c>
      <c r="O129" s="13">
        <f>N129*VLOOKUP('Données projet'!$B$9,Paramètres!$A$1:$I$89,3,0)*VLOOKUP('Données projet'!$B$9,Paramètres!$A$1:$I$89,5,0)</f>
        <v>-6.9906036515021697E-13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415.91544298418842</v>
      </c>
      <c r="T129" s="59">
        <f t="shared" si="88"/>
        <v>422.79312683312583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1.7059983678613793</v>
      </c>
      <c r="AA129" s="21">
        <f>EXP(-LN(2)/25)*AA128+(1-EXP(-LN(2)/25))/(LN(2)/25)*Calculateur!V129*Calculateur!X129*VLOOKUP('Données projet'!$B$9,Paramètres!$A$1:$I$89,3,0)*0.475*44/12</f>
        <v>2.7065868993546425</v>
      </c>
      <c r="AB129" s="21">
        <f>EXP(-LN(2)/2)*AB128+(1-EXP(-LN(2)/2))/(LN(2)/2)*V129*Y129*VLOOKUP('Données projet'!$B$9,Paramètres!$A$1:$I$89,3,0)*0.475*44/12</f>
        <v>1.2957418730875537E-13</v>
      </c>
      <c r="AC129" s="22">
        <f t="shared" si="57"/>
        <v>4.4125852672161514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-6.7984728957526396E-14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311.06126148520821</v>
      </c>
      <c r="AO129" s="59">
        <f t="shared" si="90"/>
        <v>321.1728368524748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0.52261979598966923</v>
      </c>
      <c r="AV129" s="21">
        <f>EXP(-LN(2)/25)*AV128+(1-EXP(-LN(2)/25))/(LN(2)/25)*Calculateur!AQ129*Calculateur!AS129*VLOOKUP('Données projet'!$B$10,Paramètres!$A$1:$I$89,3,0)*0.475*44/12</f>
        <v>1.4901620411846119</v>
      </c>
      <c r="AW129" s="21">
        <f>EXP(-LN(2)/2)*AW128+(1-EXP(-LN(2)/2))/(LN(2)/2)*AQ129*AT129*VLOOKUP('Données projet'!$B$10,Paramètres!$A$1:$I$89,3,0)*0.475*44/12</f>
        <v>1.0765906962777555E-13</v>
      </c>
      <c r="AX129" s="21">
        <f t="shared" si="60"/>
        <v>2.0127818371743889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-7.9580786405131221E-13</v>
      </c>
      <c r="BE129" s="13">
        <f>BD129*VLOOKUP('Données projet'!$B$11,Paramètres!$A$1:$I$89,3,0)*VLOOKUP('Données projet'!$B$11,Paramètres!$A$1:$I$89,5,0)</f>
        <v>-3.8278358260868117E-13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371.85813103419366</v>
      </c>
      <c r="BJ129" s="59">
        <f t="shared" si="92"/>
        <v>370.01698880104584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4.1521325350966007</v>
      </c>
      <c r="BQ129" s="21">
        <f>EXP(-LN(2)/25)*BQ128+(1-EXP(-LN(2)/25))/(LN(2)/25)*Calculateur!BL129*Calculateur!BN129*VLOOKUP('Données projet'!$B$11,Paramètres!$A$1:$I$89,3,0)*0.475*44/12</f>
        <v>3.1487013047157162</v>
      </c>
      <c r="BR129" s="21">
        <f>EXP(-LN(2)/2)*BR128+(1-EXP(-LN(2)/2))/(LN(2)/2)*BL129*BO129*VLOOKUP('Données projet'!$B$11,Paramètres!$A$1:$I$89,3,0)*0.475*44/12</f>
        <v>3.1428146249118017E-12</v>
      </c>
      <c r="BS129" s="22">
        <f t="shared" si="63"/>
        <v>7.3008338398154589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5.6843418860808015E-13</v>
      </c>
      <c r="BZ129" s="13">
        <f>BY129*VLOOKUP('Données projet'!$B$12,Paramètres!$A$1:$I$89,3,0)*VLOOKUP('Données projet'!$B$12,Paramètres!$A$1:$I$89,5,0)</f>
        <v>3.1036506698001181E-13</v>
      </c>
      <c r="CA129" s="13">
        <f t="shared" si="93"/>
        <v>4.086682523110923E-12</v>
      </c>
      <c r="CB129" s="20">
        <f t="shared" si="64"/>
        <v>7.6581912194083782E-12</v>
      </c>
      <c r="CC129" s="59">
        <f t="shared" si="65"/>
        <v>293.33333333334099</v>
      </c>
      <c r="CD129" s="59">
        <f ca="1">AVERAGE(OFFSET($CC$3,0,0,'Données projet'!$E$12+1,1))-AVERAGE(OFFSET($H$3,0,0,'Données projet'!$E$12+1,1))</f>
        <v>248.1486444660062</v>
      </c>
      <c r="CE129" s="59">
        <f t="shared" si="94"/>
        <v>293.34458072322127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1.2724655902357147</v>
      </c>
      <c r="CL129" s="21">
        <f>EXP(-LN(2)/25)*CL128+(1-EXP(-LN(2)/25))/(LN(2)/25)*Calculateur!CG129*Calculateur!CI129*VLOOKUP('Données projet'!$B$12,Paramètres!$A$1:$I$89,3,0)*0.475*44/12</f>
        <v>2.3768705506999419</v>
      </c>
      <c r="CM129" s="21">
        <f>EXP(-LN(2)/2)*CM128+(1-EXP(-LN(2)/2))/(LN(2)/2)*CG129*CJ129*VLOOKUP('Données projet'!$B$12,Paramètres!$A$1:$I$89,3,0)*0.475*44/12</f>
        <v>8.9465949723668291E-14</v>
      </c>
      <c r="CN129" s="22">
        <f t="shared" si="66"/>
        <v>3.6493361409357461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-2.2737367544323206E-13</v>
      </c>
      <c r="CU129" s="17">
        <f>CT129*VLOOKUP('Données projet'!$B$13,Paramètres!$A$1:$I$89,3,0)*VLOOKUP('Données projet'!$B$13,Paramètres!$A$1:$I$89,5,0)</f>
        <v>-1.8089849618263545E-13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314.94704727988847</v>
      </c>
      <c r="CZ129" s="59">
        <f t="shared" si="96"/>
        <v>366.49199094166454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0.58494464122570411</v>
      </c>
      <c r="DG129" s="21">
        <f>EXP(-LN(2)/25)*DG128+(1-EXP(-LN(2)/25))/(LN(2)/25)*Calculateur!DB129*Calculateur!DD129*VLOOKUP('Données projet'!$B$13,Paramètres!$A$1:$I$89,3,0)*0.475*44/12</f>
        <v>1.7741746645936942</v>
      </c>
      <c r="DH129" s="21">
        <f>EXP(-LN(2)/2)*DH128+(1-EXP(-LN(2)/2))/(LN(2)/2)*DB129*DE129*VLOOKUP('Données projet'!$B$13,Paramètres!$A$1:$I$89,3,0)*0.475*44/12</f>
        <v>1.0256413169697653E-13</v>
      </c>
      <c r="DI129" s="22">
        <f t="shared" si="69"/>
        <v>2.359119305819501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-1.2505552149377763E-12</v>
      </c>
      <c r="O130" s="13">
        <f>N130*VLOOKUP('Données projet'!$B$9,Paramètres!$A$1:$I$89,3,0)*VLOOKUP('Données projet'!$B$9,Paramètres!$A$1:$I$89,5,0)</f>
        <v>-6.9906036515021697E-13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415.91544298418842</v>
      </c>
      <c r="T130" s="59">
        <f t="shared" si="88"/>
        <v>422.79312683312583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1.6725447804238756</v>
      </c>
      <c r="AA130" s="21">
        <f>EXP(-LN(2)/25)*AA129+(1-EXP(-LN(2)/25))/(LN(2)/25)*Calculateur!V130*Calculateur!X130*VLOOKUP('Données projet'!$B$9,Paramètres!$A$1:$I$89,3,0)*0.475*44/12</f>
        <v>2.6325751382585709</v>
      </c>
      <c r="AB130" s="21">
        <f>EXP(-LN(2)/2)*AB129+(1-EXP(-LN(2)/2))/(LN(2)/2)*V130*Y130*VLOOKUP('Données projet'!$B$9,Paramètres!$A$1:$I$89,3,0)*0.475*44/12</f>
        <v>9.1622786512756807E-14</v>
      </c>
      <c r="AC130" s="22">
        <f t="shared" si="57"/>
        <v>4.3051199186825384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-6.7984728957526396E-14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311.06126148520821</v>
      </c>
      <c r="AO130" s="59">
        <f t="shared" si="90"/>
        <v>321.1728368524748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0.51237154055691181</v>
      </c>
      <c r="AV130" s="21">
        <f>EXP(-LN(2)/25)*AV129+(1-EXP(-LN(2)/25))/(LN(2)/25)*Calculateur!AQ130*Calculateur!AS130*VLOOKUP('Données projet'!$B$10,Paramètres!$A$1:$I$89,3,0)*0.475*44/12</f>
        <v>1.4494134818042028</v>
      </c>
      <c r="AW130" s="21">
        <f>EXP(-LN(2)/2)*AW129+(1-EXP(-LN(2)/2))/(LN(2)/2)*AQ130*AT130*VLOOKUP('Données projet'!$B$10,Paramètres!$A$1:$I$89,3,0)*0.475*44/12</f>
        <v>7.6126458190034768E-14</v>
      </c>
      <c r="AX130" s="21">
        <f t="shared" si="60"/>
        <v>1.9617850223611908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-7.9580786405131221E-13</v>
      </c>
      <c r="BE130" s="13">
        <f>BD130*VLOOKUP('Données projet'!$B$11,Paramètres!$A$1:$I$89,3,0)*VLOOKUP('Données projet'!$B$11,Paramètres!$A$1:$I$89,5,0)</f>
        <v>-3.8278358260868117E-13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371.85813103419366</v>
      </c>
      <c r="BJ130" s="59">
        <f t="shared" si="92"/>
        <v>370.01698880104584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4.0707117486341344</v>
      </c>
      <c r="BQ130" s="21">
        <f>EXP(-LN(2)/25)*BQ129+(1-EXP(-LN(2)/25))/(LN(2)/25)*Calculateur!BL130*Calculateur!BN130*VLOOKUP('Données projet'!$B$11,Paramètres!$A$1:$I$89,3,0)*0.475*44/12</f>
        <v>3.0625999019552599</v>
      </c>
      <c r="BR130" s="21">
        <f>EXP(-LN(2)/2)*BR129+(1-EXP(-LN(2)/2))/(LN(2)/2)*BL130*BO130*VLOOKUP('Données projet'!$B$11,Paramètres!$A$1:$I$89,3,0)*0.475*44/12</f>
        <v>2.2223055332873908E-12</v>
      </c>
      <c r="BS130" s="22">
        <f t="shared" si="63"/>
        <v>7.133311650591617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5.6843418860808015E-13</v>
      </c>
      <c r="BZ130" s="13">
        <f>BY130*VLOOKUP('Données projet'!$B$12,Paramètres!$A$1:$I$89,3,0)*VLOOKUP('Données projet'!$B$12,Paramètres!$A$1:$I$89,5,0)</f>
        <v>3.1036506698001181E-13</v>
      </c>
      <c r="CA130" s="13">
        <f t="shared" si="93"/>
        <v>4.086682523110923E-12</v>
      </c>
      <c r="CB130" s="20">
        <f t="shared" si="64"/>
        <v>7.6581912194083782E-12</v>
      </c>
      <c r="CC130" s="59">
        <f t="shared" si="65"/>
        <v>293.33333333334099</v>
      </c>
      <c r="CD130" s="59">
        <f ca="1">AVERAGE(OFFSET($CC$3,0,0,'Données projet'!$E$12+1,1))-AVERAGE(OFFSET($H$3,0,0,'Données projet'!$E$12+1,1))</f>
        <v>248.1486444660062</v>
      </c>
      <c r="CE130" s="59">
        <f t="shared" si="94"/>
        <v>293.34458072322127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1.2475133161385661</v>
      </c>
      <c r="CL130" s="21">
        <f>EXP(-LN(2)/25)*CL129+(1-EXP(-LN(2)/25))/(LN(2)/25)*Calculateur!CG130*Calculateur!CI130*VLOOKUP('Données projet'!$B$12,Paramètres!$A$1:$I$89,3,0)*0.475*44/12</f>
        <v>2.311874900496862</v>
      </c>
      <c r="CM130" s="21">
        <f>EXP(-LN(2)/2)*CM129+(1-EXP(-LN(2)/2))/(LN(2)/2)*CG130*CJ130*VLOOKUP('Données projet'!$B$12,Paramètres!$A$1:$I$89,3,0)*0.475*44/12</f>
        <v>6.3261979734900576E-14</v>
      </c>
      <c r="CN130" s="22">
        <f t="shared" si="66"/>
        <v>3.5593882166354911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-2.2737367544323206E-13</v>
      </c>
      <c r="CU130" s="17">
        <f>CT130*VLOOKUP('Données projet'!$B$13,Paramètres!$A$1:$I$89,3,0)*VLOOKUP('Données projet'!$B$13,Paramètres!$A$1:$I$89,5,0)</f>
        <v>-1.8089849618263545E-13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314.94704727988847</v>
      </c>
      <c r="CZ130" s="59">
        <f t="shared" si="96"/>
        <v>366.49199094166454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0.57347423359227001</v>
      </c>
      <c r="DG130" s="21">
        <f>EXP(-LN(2)/25)*DG129+(1-EXP(-LN(2)/25))/(LN(2)/25)*Calculateur!DB130*Calculateur!DD130*VLOOKUP('Données projet'!$B$13,Paramètres!$A$1:$I$89,3,0)*0.475*44/12</f>
        <v>1.7256597650905889</v>
      </c>
      <c r="DH130" s="21">
        <f>EXP(-LN(2)/2)*DH129+(1-EXP(-LN(2)/2))/(LN(2)/2)*DB130*DE130*VLOOKUP('Données projet'!$B$13,Paramètres!$A$1:$I$89,3,0)*0.475*44/12</f>
        <v>7.2523793029442228E-14</v>
      </c>
      <c r="DI130" s="22">
        <f t="shared" si="69"/>
        <v>2.2991339986829313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-1.2505552149377763E-12</v>
      </c>
      <c r="O131" s="13">
        <f>N131*VLOOKUP('Données projet'!$B$9,Paramètres!$A$1:$I$89,3,0)*VLOOKUP('Données projet'!$B$9,Paramètres!$A$1:$I$89,5,0)</f>
        <v>-6.9906036515021697E-13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415.91544298418842</v>
      </c>
      <c r="T131" s="59">
        <f t="shared" si="88"/>
        <v>422.79312683312583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1.6397471974313478</v>
      </c>
      <c r="AA131" s="21">
        <f>EXP(-LN(2)/25)*AA130+(1-EXP(-LN(2)/25))/(LN(2)/25)*Calculateur!V131*Calculateur!X131*VLOOKUP('Données projet'!$B$9,Paramètres!$A$1:$I$89,3,0)*0.475*44/12</f>
        <v>2.5605872326617805</v>
      </c>
      <c r="AB131" s="21">
        <f>EXP(-LN(2)/2)*AB130+(1-EXP(-LN(2)/2))/(LN(2)/2)*V131*Y131*VLOOKUP('Données projet'!$B$9,Paramètres!$A$1:$I$89,3,0)*0.475*44/12</f>
        <v>6.4787093654377685E-14</v>
      </c>
      <c r="AC131" s="22">
        <f t="shared" si="57"/>
        <v>4.2003344300931929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-6.7984728957526396E-14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311.06126148520821</v>
      </c>
      <c r="AO131" s="59">
        <f t="shared" si="90"/>
        <v>321.1728368524748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0.50232424716237212</v>
      </c>
      <c r="AV131" s="21">
        <f>EXP(-LN(2)/25)*AV130+(1-EXP(-LN(2)/25))/(LN(2)/25)*Calculateur!AQ131*Calculateur!AS131*VLOOKUP('Données projet'!$B$10,Paramètres!$A$1:$I$89,3,0)*0.475*44/12</f>
        <v>1.4097791939229245</v>
      </c>
      <c r="AW131" s="21">
        <f>EXP(-LN(2)/2)*AW130+(1-EXP(-LN(2)/2))/(LN(2)/2)*AQ131*AT131*VLOOKUP('Données projet'!$B$10,Paramètres!$A$1:$I$89,3,0)*0.475*44/12</f>
        <v>5.3829534813887774E-14</v>
      </c>
      <c r="AX131" s="21">
        <f t="shared" si="60"/>
        <v>1.9121034410853504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-7.9580786405131221E-13</v>
      </c>
      <c r="BE131" s="13">
        <f>BD131*VLOOKUP('Données projet'!$B$11,Paramètres!$A$1:$I$89,3,0)*VLOOKUP('Données projet'!$B$11,Paramètres!$A$1:$I$89,5,0)</f>
        <v>-3.8278358260868117E-13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371.85813103419366</v>
      </c>
      <c r="BJ131" s="59">
        <f t="shared" si="92"/>
        <v>370.01698880104584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3.990887574132421</v>
      </c>
      <c r="BQ131" s="21">
        <f>EXP(-LN(2)/25)*BQ130+(1-EXP(-LN(2)/25))/(LN(2)/25)*Calculateur!BL131*Calculateur!BN131*VLOOKUP('Données projet'!$B$11,Paramètres!$A$1:$I$89,3,0)*0.475*44/12</f>
        <v>2.978852946581164</v>
      </c>
      <c r="BR131" s="21">
        <f>EXP(-LN(2)/2)*BR130+(1-EXP(-LN(2)/2))/(LN(2)/2)*BL131*BO131*VLOOKUP('Données projet'!$B$11,Paramètres!$A$1:$I$89,3,0)*0.475*44/12</f>
        <v>1.5714073124559009E-12</v>
      </c>
      <c r="BS131" s="22">
        <f t="shared" si="63"/>
        <v>6.9697405207151562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5.6843418860808015E-13</v>
      </c>
      <c r="BZ131" s="13">
        <f>BY131*VLOOKUP('Données projet'!$B$12,Paramètres!$A$1:$I$89,3,0)*VLOOKUP('Données projet'!$B$12,Paramètres!$A$1:$I$89,5,0)</f>
        <v>3.1036506698001181E-13</v>
      </c>
      <c r="CA131" s="13">
        <f t="shared" si="93"/>
        <v>4.086682523110923E-12</v>
      </c>
      <c r="CB131" s="20">
        <f t="shared" si="64"/>
        <v>7.6581912194083782E-12</v>
      </c>
      <c r="CC131" s="59">
        <f t="shared" si="65"/>
        <v>293.33333333334099</v>
      </c>
      <c r="CD131" s="59">
        <f ca="1">AVERAGE(OFFSET($CC$3,0,0,'Données projet'!$E$12+1,1))-AVERAGE(OFFSET($H$3,0,0,'Données projet'!$E$12+1,1))</f>
        <v>248.1486444660062</v>
      </c>
      <c r="CE131" s="59">
        <f t="shared" si="94"/>
        <v>293.34458072322127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1.2230503409170783</v>
      </c>
      <c r="CL131" s="21">
        <f>EXP(-LN(2)/25)*CL130+(1-EXP(-LN(2)/25))/(LN(2)/25)*Calculateur!CG131*Calculateur!CI131*VLOOKUP('Données projet'!$B$12,Paramètres!$A$1:$I$89,3,0)*0.475*44/12</f>
        <v>2.248656559766558</v>
      </c>
      <c r="CM131" s="21">
        <f>EXP(-LN(2)/2)*CM130+(1-EXP(-LN(2)/2))/(LN(2)/2)*CG131*CJ131*VLOOKUP('Données projet'!$B$12,Paramètres!$A$1:$I$89,3,0)*0.475*44/12</f>
        <v>4.4732974861834146E-14</v>
      </c>
      <c r="CN131" s="22">
        <f t="shared" si="66"/>
        <v>3.4717069006836812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-2.2737367544323206E-13</v>
      </c>
      <c r="CU131" s="17">
        <f>CT131*VLOOKUP('Données projet'!$B$13,Paramètres!$A$1:$I$89,3,0)*VLOOKUP('Données projet'!$B$13,Paramètres!$A$1:$I$89,5,0)</f>
        <v>-1.8089849618263545E-13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314.94704727988847</v>
      </c>
      <c r="CZ131" s="59">
        <f t="shared" si="96"/>
        <v>366.49199094166454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0.56222875365626968</v>
      </c>
      <c r="DG131" s="21">
        <f>EXP(-LN(2)/25)*DG130+(1-EXP(-LN(2)/25))/(LN(2)/25)*Calculateur!DB131*Calculateur!DD131*VLOOKUP('Données projet'!$B$13,Paramètres!$A$1:$I$89,3,0)*0.475*44/12</f>
        <v>1.6784715080656838</v>
      </c>
      <c r="DH131" s="21">
        <f>EXP(-LN(2)/2)*DH130+(1-EXP(-LN(2)/2))/(LN(2)/2)*DB131*DE131*VLOOKUP('Données projet'!$B$13,Paramètres!$A$1:$I$89,3,0)*0.475*44/12</f>
        <v>5.1282065848488267E-14</v>
      </c>
      <c r="DI131" s="22">
        <f t="shared" si="69"/>
        <v>2.2407002617220044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-1.2505552149377763E-12</v>
      </c>
      <c r="O132" s="13">
        <f>N132*VLOOKUP('Données projet'!$B$9,Paramètres!$A$1:$I$89,3,0)*VLOOKUP('Données projet'!$B$9,Paramètres!$A$1:$I$89,5,0)</f>
        <v>-6.9906036515021697E-13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415.91544298418842</v>
      </c>
      <c r="T132" s="59">
        <f t="shared" si="88"/>
        <v>422.79312683312583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1.6075927550367533</v>
      </c>
      <c r="AA132" s="21">
        <f>EXP(-LN(2)/25)*AA131+(1-EXP(-LN(2)/25))/(LN(2)/25)*Calculateur!V132*Calculateur!X132*VLOOKUP('Données projet'!$B$9,Paramètres!$A$1:$I$89,3,0)*0.475*44/12</f>
        <v>2.4905678401292137</v>
      </c>
      <c r="AB132" s="21">
        <f>EXP(-LN(2)/2)*AB131+(1-EXP(-LN(2)/2))/(LN(2)/2)*V132*Y132*VLOOKUP('Données projet'!$B$9,Paramètres!$A$1:$I$89,3,0)*0.475*44/12</f>
        <v>4.5811393256378404E-14</v>
      </c>
      <c r="AC132" s="22">
        <f t="shared" ref="AC132:AC153" si="111">SUM(Z132:AB132)</f>
        <v>4.0981605951660134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-6.7984728957526396E-14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311.06126148520821</v>
      </c>
      <c r="AO132" s="59">
        <f t="shared" si="90"/>
        <v>321.1728368524748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0.49247397506305551</v>
      </c>
      <c r="AV132" s="21">
        <f>EXP(-LN(2)/25)*AV131+(1-EXP(-LN(2)/25))/(LN(2)/25)*Calculateur!AQ132*Calculateur!AS132*VLOOKUP('Données projet'!$B$10,Paramètres!$A$1:$I$89,3,0)*0.475*44/12</f>
        <v>1.3712287077280365</v>
      </c>
      <c r="AW132" s="21">
        <f>EXP(-LN(2)/2)*AW131+(1-EXP(-LN(2)/2))/(LN(2)/2)*AQ132*AT132*VLOOKUP('Données projet'!$B$10,Paramètres!$A$1:$I$89,3,0)*0.475*44/12</f>
        <v>3.8063229095017384E-14</v>
      </c>
      <c r="AX132" s="21">
        <f t="shared" ref="AX132:AX153" si="114">SUM(AU132:AW132)</f>
        <v>1.86370268279113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-7.9580786405131221E-13</v>
      </c>
      <c r="BE132" s="13">
        <f>BD132*VLOOKUP('Données projet'!$B$11,Paramètres!$A$1:$I$89,3,0)*VLOOKUP('Données projet'!$B$11,Paramètres!$A$1:$I$89,5,0)</f>
        <v>-3.8278358260868117E-13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371.85813103419366</v>
      </c>
      <c r="BJ132" s="59">
        <f t="shared" si="92"/>
        <v>370.01698880104584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3.9126287030047471</v>
      </c>
      <c r="BQ132" s="21">
        <f>EXP(-LN(2)/25)*BQ131+(1-EXP(-LN(2)/25))/(LN(2)/25)*Calculateur!BL132*Calculateur!BN132*VLOOKUP('Données projet'!$B$11,Paramètres!$A$1:$I$89,3,0)*0.475*44/12</f>
        <v>2.8973960561058338</v>
      </c>
      <c r="BR132" s="21">
        <f>EXP(-LN(2)/2)*BR131+(1-EXP(-LN(2)/2))/(LN(2)/2)*BL132*BO132*VLOOKUP('Données projet'!$B$11,Paramètres!$A$1:$I$89,3,0)*0.475*44/12</f>
        <v>1.1111527666436954E-12</v>
      </c>
      <c r="BS132" s="22">
        <f t="shared" ref="BS132:BS153" si="117">SUM(BP132:BR132)</f>
        <v>6.810024759111692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5.6843418860808015E-13</v>
      </c>
      <c r="BZ132" s="13">
        <f>BY132*VLOOKUP('Données projet'!$B$12,Paramètres!$A$1:$I$89,3,0)*VLOOKUP('Données projet'!$B$12,Paramètres!$A$1:$I$89,5,0)</f>
        <v>3.1036506698001181E-13</v>
      </c>
      <c r="CA132" s="13">
        <f t="shared" si="93"/>
        <v>4.086682523110923E-12</v>
      </c>
      <c r="CB132" s="20">
        <f t="shared" ref="CB132:CB153" si="118">(BZ132+CA132)*0.475*44/12</f>
        <v>7.6581912194083782E-12</v>
      </c>
      <c r="CC132" s="59">
        <f t="shared" ref="CC132:CC195" si="119">CB132+(BT132+BU132)*44/12</f>
        <v>293.33333333334099</v>
      </c>
      <c r="CD132" s="59">
        <f ca="1">AVERAGE(OFFSET($CC$3,0,0,'Données projet'!$E$12+1,1))-AVERAGE(OFFSET($H$3,0,0,'Données projet'!$E$12+1,1))</f>
        <v>248.1486444660062</v>
      </c>
      <c r="CE132" s="59">
        <f t="shared" si="94"/>
        <v>293.34458072322127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1.1990670697187422</v>
      </c>
      <c r="CL132" s="21">
        <f>EXP(-LN(2)/25)*CL131+(1-EXP(-LN(2)/25))/(LN(2)/25)*Calculateur!CG132*Calculateur!CI132*VLOOKUP('Données projet'!$B$12,Paramètres!$A$1:$I$89,3,0)*0.475*44/12</f>
        <v>2.1871669278880321</v>
      </c>
      <c r="CM132" s="21">
        <f>EXP(-LN(2)/2)*CM131+(1-EXP(-LN(2)/2))/(LN(2)/2)*CG132*CJ132*VLOOKUP('Données projet'!$B$12,Paramètres!$A$1:$I$89,3,0)*0.475*44/12</f>
        <v>3.1630989867450288E-14</v>
      </c>
      <c r="CN132" s="22">
        <f t="shared" ref="CN132:CN153" si="120">SUM(CK132:CM132)</f>
        <v>3.3862339976068059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-2.2737367544323206E-13</v>
      </c>
      <c r="CU132" s="17">
        <f>CT132*VLOOKUP('Données projet'!$B$13,Paramètres!$A$1:$I$89,3,0)*VLOOKUP('Données projet'!$B$13,Paramètres!$A$1:$I$89,5,0)</f>
        <v>-1.8089849618263545E-13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314.94704727988847</v>
      </c>
      <c r="CZ132" s="59">
        <f t="shared" si="96"/>
        <v>366.49199094166454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0.55120379072274883</v>
      </c>
      <c r="DG132" s="21">
        <f>EXP(-LN(2)/25)*DG131+(1-EXP(-LN(2)/25))/(LN(2)/25)*Calculateur!DB132*Calculateur!DD132*VLOOKUP('Données projet'!$B$13,Paramètres!$A$1:$I$89,3,0)*0.475*44/12</f>
        <v>1.6325736164106472</v>
      </c>
      <c r="DH132" s="21">
        <f>EXP(-LN(2)/2)*DH131+(1-EXP(-LN(2)/2))/(LN(2)/2)*DB132*DE132*VLOOKUP('Données projet'!$B$13,Paramètres!$A$1:$I$89,3,0)*0.475*44/12</f>
        <v>3.6261896514721114E-14</v>
      </c>
      <c r="DI132" s="22">
        <f t="shared" ref="DI132:DI153" si="123">SUM(DF132:DH132)</f>
        <v>2.1837774071334324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-1.2505552149377763E-12</v>
      </c>
      <c r="O133" s="13">
        <f>N133*VLOOKUP('Données projet'!$B$9,Paramètres!$A$1:$I$89,3,0)*VLOOKUP('Données projet'!$B$9,Paramètres!$A$1:$I$89,5,0)</f>
        <v>-6.9906036515021697E-13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415.91544298418842</v>
      </c>
      <c r="T133" s="59">
        <f t="shared" ref="T133:T196" si="142">$T$3</f>
        <v>422.79312683312583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1.5760688416452433</v>
      </c>
      <c r="AA133" s="21">
        <f>EXP(-LN(2)/25)*AA132+(1-EXP(-LN(2)/25))/(LN(2)/25)*Calculateur!V133*Calculateur!X133*VLOOKUP('Données projet'!$B$9,Paramètres!$A$1:$I$89,3,0)*0.475*44/12</f>
        <v>2.4224631315676097</v>
      </c>
      <c r="AB133" s="21">
        <f>EXP(-LN(2)/2)*AB132+(1-EXP(-LN(2)/2))/(LN(2)/2)*V133*Y133*VLOOKUP('Données projet'!$B$9,Paramètres!$A$1:$I$89,3,0)*0.475*44/12</f>
        <v>3.2393546827188842E-14</v>
      </c>
      <c r="AC133" s="22">
        <f t="shared" si="111"/>
        <v>3.9985319732128857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-6.7984728957526396E-14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311.06126148520821</v>
      </c>
      <c r="AO133" s="59">
        <f t="shared" ref="AO133:AO196" si="144">$AO$3</f>
        <v>321.1728368524748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0.4828168607915338</v>
      </c>
      <c r="AV133" s="21">
        <f>EXP(-LN(2)/25)*AV132+(1-EXP(-LN(2)/25))/(LN(2)/25)*Calculateur!AQ133*Calculateur!AS133*VLOOKUP('Données projet'!$B$10,Paramètres!$A$1:$I$89,3,0)*0.475*44/12</f>
        <v>1.3337323866054296</v>
      </c>
      <c r="AW133" s="21">
        <f>EXP(-LN(2)/2)*AW132+(1-EXP(-LN(2)/2))/(LN(2)/2)*AQ133*AT133*VLOOKUP('Données projet'!$B$10,Paramètres!$A$1:$I$89,3,0)*0.475*44/12</f>
        <v>2.6914767406943887E-14</v>
      </c>
      <c r="AX133" s="21">
        <f t="shared" si="114"/>
        <v>1.8165492473969902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-7.9580786405131221E-13</v>
      </c>
      <c r="BE133" s="13">
        <f>BD133*VLOOKUP('Données projet'!$B$11,Paramètres!$A$1:$I$89,3,0)*VLOOKUP('Données projet'!$B$11,Paramètres!$A$1:$I$89,5,0)</f>
        <v>-3.8278358260868117E-13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371.85813103419366</v>
      </c>
      <c r="BJ133" s="59">
        <f t="shared" ref="BJ133:BJ196" si="146">$BJ$3</f>
        <v>370.01698880104584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3.8359044406066887</v>
      </c>
      <c r="BQ133" s="21">
        <f>EXP(-LN(2)/25)*BQ132+(1-EXP(-LN(2)/25))/(LN(2)/25)*Calculateur!BL133*Calculateur!BN133*VLOOKUP('Données projet'!$B$11,Paramètres!$A$1:$I$89,3,0)*0.475*44/12</f>
        <v>2.8181666085841832</v>
      </c>
      <c r="BR133" s="21">
        <f>EXP(-LN(2)/2)*BR132+(1-EXP(-LN(2)/2))/(LN(2)/2)*BL133*BO133*VLOOKUP('Données projet'!$B$11,Paramètres!$A$1:$I$89,3,0)*0.475*44/12</f>
        <v>7.8570365622795043E-13</v>
      </c>
      <c r="BS133" s="22">
        <f t="shared" si="117"/>
        <v>6.6540710491916579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5.6843418860808015E-13</v>
      </c>
      <c r="BZ133" s="13">
        <f>BY133*VLOOKUP('Données projet'!$B$12,Paramètres!$A$1:$I$89,3,0)*VLOOKUP('Données projet'!$B$12,Paramètres!$A$1:$I$89,5,0)</f>
        <v>3.1036506698001181E-13</v>
      </c>
      <c r="CA133" s="13">
        <f t="shared" ref="CA133:CA153" si="147">EXP(-1.0587+0.8836*LN(BZ133)+0.284)</f>
        <v>4.086682523110923E-12</v>
      </c>
      <c r="CB133" s="20">
        <f t="shared" si="118"/>
        <v>7.6581912194083782E-12</v>
      </c>
      <c r="CC133" s="59">
        <f t="shared" si="119"/>
        <v>293.33333333334099</v>
      </c>
      <c r="CD133" s="59">
        <f ca="1">AVERAGE(OFFSET($CC$3,0,0,'Données projet'!$E$12+1,1))-AVERAGE(OFFSET($H$3,0,0,'Données projet'!$E$12+1,1))</f>
        <v>248.1486444660062</v>
      </c>
      <c r="CE133" s="59">
        <f t="shared" ref="CE133:CE196" si="148">$CE$3</f>
        <v>293.34458072322127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1.1755540958402546</v>
      </c>
      <c r="CL133" s="21">
        <f>EXP(-LN(2)/25)*CL132+(1-EXP(-LN(2)/25))/(LN(2)/25)*Calculateur!CG133*Calculateur!CI133*VLOOKUP('Données projet'!$B$12,Paramètres!$A$1:$I$89,3,0)*0.475*44/12</f>
        <v>2.1273587332268238</v>
      </c>
      <c r="CM133" s="21">
        <f>EXP(-LN(2)/2)*CM132+(1-EXP(-LN(2)/2))/(LN(2)/2)*CG133*CJ133*VLOOKUP('Données projet'!$B$12,Paramètres!$A$1:$I$89,3,0)*0.475*44/12</f>
        <v>2.2366487430917073E-14</v>
      </c>
      <c r="CN133" s="22">
        <f t="shared" si="120"/>
        <v>3.3029128290671004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-2.2737367544323206E-13</v>
      </c>
      <c r="CU133" s="17">
        <f>CT133*VLOOKUP('Données projet'!$B$13,Paramètres!$A$1:$I$89,3,0)*VLOOKUP('Données projet'!$B$13,Paramètres!$A$1:$I$89,5,0)</f>
        <v>-1.8089849618263545E-13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314.94704727988847</v>
      </c>
      <c r="CZ133" s="59">
        <f t="shared" ref="CZ133:CZ196" si="150">$CZ$3</f>
        <v>366.49199094166454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0.54039502058779099</v>
      </c>
      <c r="DG133" s="21">
        <f>EXP(-LN(2)/25)*DG132+(1-EXP(-LN(2)/25))/(LN(2)/25)*Calculateur!DB133*Calculateur!DD133*VLOOKUP('Données projet'!$B$13,Paramètres!$A$1:$I$89,3,0)*0.475*44/12</f>
        <v>1.587930805016583</v>
      </c>
      <c r="DH133" s="21">
        <f>EXP(-LN(2)/2)*DH132+(1-EXP(-LN(2)/2))/(LN(2)/2)*DB133*DE133*VLOOKUP('Données projet'!$B$13,Paramètres!$A$1:$I$89,3,0)*0.475*44/12</f>
        <v>2.5641032924244134E-14</v>
      </c>
      <c r="DI133" s="22">
        <f t="shared" si="123"/>
        <v>2.1283258256043998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-1.2505552149377763E-12</v>
      </c>
      <c r="O134" s="13">
        <f>N134*VLOOKUP('Données projet'!$B$9,Paramètres!$A$1:$I$89,3,0)*VLOOKUP('Données projet'!$B$9,Paramètres!$A$1:$I$89,5,0)</f>
        <v>-6.9906036515021697E-13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415.91544298418842</v>
      </c>
      <c r="T134" s="59">
        <f t="shared" si="142"/>
        <v>422.79312683312583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1.5451630929676523</v>
      </c>
      <c r="AA134" s="21">
        <f>EXP(-LN(2)/25)*AA133+(1-EXP(-LN(2)/25))/(LN(2)/25)*Calculateur!V134*Calculateur!X134*VLOOKUP('Données projet'!$B$9,Paramètres!$A$1:$I$89,3,0)*0.475*44/12</f>
        <v>2.3562207498430938</v>
      </c>
      <c r="AB134" s="21">
        <f>EXP(-LN(2)/2)*AB133+(1-EXP(-LN(2)/2))/(LN(2)/2)*V134*Y134*VLOOKUP('Données projet'!$B$9,Paramètres!$A$1:$I$89,3,0)*0.475*44/12</f>
        <v>2.2905696628189202E-14</v>
      </c>
      <c r="AC134" s="22">
        <f t="shared" si="111"/>
        <v>3.9013838428107692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-6.7984728957526396E-14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311.06126148520821</v>
      </c>
      <c r="AO134" s="59">
        <f t="shared" si="144"/>
        <v>321.1728368524748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0.47334911664061852</v>
      </c>
      <c r="AV134" s="21">
        <f>EXP(-LN(2)/25)*AV133+(1-EXP(-LN(2)/25))/(LN(2)/25)*Calculateur!AQ134*Calculateur!AS134*VLOOKUP('Données projet'!$B$10,Paramètres!$A$1:$I$89,3,0)*0.475*44/12</f>
        <v>1.2972614043557662</v>
      </c>
      <c r="AW134" s="21">
        <f>EXP(-LN(2)/2)*AW133+(1-EXP(-LN(2)/2))/(LN(2)/2)*AQ134*AT134*VLOOKUP('Données projet'!$B$10,Paramètres!$A$1:$I$89,3,0)*0.475*44/12</f>
        <v>1.9031614547508692E-14</v>
      </c>
      <c r="AX134" s="21">
        <f t="shared" si="114"/>
        <v>1.7706105209964038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-7.9580786405131221E-13</v>
      </c>
      <c r="BE134" s="13">
        <f>BD134*VLOOKUP('Données projet'!$B$11,Paramètres!$A$1:$I$89,3,0)*VLOOKUP('Données projet'!$B$11,Paramètres!$A$1:$I$89,5,0)</f>
        <v>-3.8278358260868117E-13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371.85813103419366</v>
      </c>
      <c r="BJ134" s="59">
        <f t="shared" si="146"/>
        <v>370.01698880104584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3.7606846941970771</v>
      </c>
      <c r="BQ134" s="21">
        <f>EXP(-LN(2)/25)*BQ133+(1-EXP(-LN(2)/25))/(LN(2)/25)*Calculateur!BL134*Calculateur!BN134*VLOOKUP('Données projet'!$B$11,Paramètres!$A$1:$I$89,3,0)*0.475*44/12</f>
        <v>2.7411036944715077</v>
      </c>
      <c r="BR134" s="21">
        <f>EXP(-LN(2)/2)*BR133+(1-EXP(-LN(2)/2))/(LN(2)/2)*BL134*BO134*VLOOKUP('Données projet'!$B$11,Paramètres!$A$1:$I$89,3,0)*0.475*44/12</f>
        <v>5.5557638332184769E-13</v>
      </c>
      <c r="BS134" s="22">
        <f t="shared" si="117"/>
        <v>6.5017883886691408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5.6843418860808015E-13</v>
      </c>
      <c r="BZ134" s="13">
        <f>BY134*VLOOKUP('Données projet'!$B$12,Paramètres!$A$1:$I$89,3,0)*VLOOKUP('Données projet'!$B$12,Paramètres!$A$1:$I$89,5,0)</f>
        <v>3.1036506698001181E-13</v>
      </c>
      <c r="CA134" s="13">
        <f t="shared" si="147"/>
        <v>4.086682523110923E-12</v>
      </c>
      <c r="CB134" s="20">
        <f t="shared" si="118"/>
        <v>7.6581912194083782E-12</v>
      </c>
      <c r="CC134" s="59">
        <f t="shared" si="119"/>
        <v>293.33333333334099</v>
      </c>
      <c r="CD134" s="59">
        <f ca="1">AVERAGE(OFFSET($CC$3,0,0,'Données projet'!$E$12+1,1))-AVERAGE(OFFSET($H$3,0,0,'Données projet'!$E$12+1,1))</f>
        <v>248.1486444660062</v>
      </c>
      <c r="CE134" s="59">
        <f t="shared" si="148"/>
        <v>293.34458072322127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1.152502197038026</v>
      </c>
      <c r="CL134" s="21">
        <f>EXP(-LN(2)/25)*CL133+(1-EXP(-LN(2)/25))/(LN(2)/25)*Calculateur!CG134*Calculateur!CI134*VLOOKUP('Données projet'!$B$12,Paramètres!$A$1:$I$89,3,0)*0.475*44/12</f>
        <v>2.0691859967938027</v>
      </c>
      <c r="CM134" s="21">
        <f>EXP(-LN(2)/2)*CM133+(1-EXP(-LN(2)/2))/(LN(2)/2)*CG134*CJ134*VLOOKUP('Données projet'!$B$12,Paramètres!$A$1:$I$89,3,0)*0.475*44/12</f>
        <v>1.5815494933725144E-14</v>
      </c>
      <c r="CN134" s="22">
        <f t="shared" si="120"/>
        <v>3.2216881938318447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-2.2737367544323206E-13</v>
      </c>
      <c r="CU134" s="17">
        <f>CT134*VLOOKUP('Données projet'!$B$13,Paramètres!$A$1:$I$89,3,0)*VLOOKUP('Données projet'!$B$13,Paramètres!$A$1:$I$89,5,0)</f>
        <v>-1.8089849618263545E-13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314.94704727988847</v>
      </c>
      <c r="CZ134" s="59">
        <f t="shared" si="150"/>
        <v>366.49199094166454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0.52979820384248089</v>
      </c>
      <c r="DG134" s="21">
        <f>EXP(-LN(2)/25)*DG133+(1-EXP(-LN(2)/25))/(LN(2)/25)*Calculateur!DB134*Calculateur!DD134*VLOOKUP('Données projet'!$B$13,Paramètres!$A$1:$I$89,3,0)*0.475*44/12</f>
        <v>1.5445087536477529</v>
      </c>
      <c r="DH134" s="21">
        <f>EXP(-LN(2)/2)*DH133+(1-EXP(-LN(2)/2))/(LN(2)/2)*DB134*DE134*VLOOKUP('Données projet'!$B$13,Paramètres!$A$1:$I$89,3,0)*0.475*44/12</f>
        <v>1.8130948257360557E-14</v>
      </c>
      <c r="DI134" s="22">
        <f t="shared" si="123"/>
        <v>2.074306957490252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-1.2505552149377763E-12</v>
      </c>
      <c r="O135" s="13">
        <f>N135*VLOOKUP('Données projet'!$B$9,Paramètres!$A$1:$I$89,3,0)*VLOOKUP('Données projet'!$B$9,Paramètres!$A$1:$I$89,5,0)</f>
        <v>-6.9906036515021697E-13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415.91544298418842</v>
      </c>
      <c r="T135" s="59">
        <f t="shared" si="142"/>
        <v>422.79312683312583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1.5148633871709836</v>
      </c>
      <c r="AA135" s="21">
        <f>EXP(-LN(2)/25)*AA134+(1-EXP(-LN(2)/25))/(LN(2)/25)*Calculateur!V135*Calculateur!X135*VLOOKUP('Données projet'!$B$9,Paramètres!$A$1:$I$89,3,0)*0.475*44/12</f>
        <v>2.2917897695303706</v>
      </c>
      <c r="AB135" s="21">
        <f>EXP(-LN(2)/2)*AB134+(1-EXP(-LN(2)/2))/(LN(2)/2)*V135*Y135*VLOOKUP('Données projet'!$B$9,Paramètres!$A$1:$I$89,3,0)*0.475*44/12</f>
        <v>1.6196773413594421E-14</v>
      </c>
      <c r="AC135" s="22">
        <f t="shared" si="111"/>
        <v>3.8066531567013699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-6.7984728957526396E-14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311.06126148520821</v>
      </c>
      <c r="AO135" s="59">
        <f t="shared" si="144"/>
        <v>321.1728368524748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0.46406702917774895</v>
      </c>
      <c r="AV135" s="21">
        <f>EXP(-LN(2)/25)*AV134+(1-EXP(-LN(2)/25))/(LN(2)/25)*Calculateur!AQ135*Calculateur!AS135*VLOOKUP('Données projet'!$B$10,Paramètres!$A$1:$I$89,3,0)*0.475*44/12</f>
        <v>1.2617877230336454</v>
      </c>
      <c r="AW135" s="21">
        <f>EXP(-LN(2)/2)*AW134+(1-EXP(-LN(2)/2))/(LN(2)/2)*AQ135*AT135*VLOOKUP('Données projet'!$B$10,Paramètres!$A$1:$I$89,3,0)*0.475*44/12</f>
        <v>1.3457383703471944E-14</v>
      </c>
      <c r="AX135" s="21">
        <f t="shared" si="114"/>
        <v>1.7258547522114078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-7.9580786405131221E-13</v>
      </c>
      <c r="BE135" s="13">
        <f>BD135*VLOOKUP('Données projet'!$B$11,Paramètres!$A$1:$I$89,3,0)*VLOOKUP('Données projet'!$B$11,Paramètres!$A$1:$I$89,5,0)</f>
        <v>-3.8278358260868117E-13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371.85813103419366</v>
      </c>
      <c r="BJ135" s="59">
        <f t="shared" si="146"/>
        <v>370.01698880104584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3.6869399611350429</v>
      </c>
      <c r="BQ135" s="21">
        <f>EXP(-LN(2)/25)*BQ134+(1-EXP(-LN(2)/25))/(LN(2)/25)*Calculateur!BL135*Calculateur!BN135*VLOOKUP('Données projet'!$B$11,Paramètres!$A$1:$I$89,3,0)*0.475*44/12</f>
        <v>2.6661480697978059</v>
      </c>
      <c r="BR135" s="21">
        <f>EXP(-LN(2)/2)*BR134+(1-EXP(-LN(2)/2))/(LN(2)/2)*BL135*BO135*VLOOKUP('Données projet'!$B$11,Paramètres!$A$1:$I$89,3,0)*0.475*44/12</f>
        <v>3.9285182811397522E-13</v>
      </c>
      <c r="BS135" s="22">
        <f t="shared" si="117"/>
        <v>6.3530880309332414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5.6843418860808015E-13</v>
      </c>
      <c r="BZ135" s="13">
        <f>BY135*VLOOKUP('Données projet'!$B$12,Paramètres!$A$1:$I$89,3,0)*VLOOKUP('Données projet'!$B$12,Paramètres!$A$1:$I$89,5,0)</f>
        <v>3.1036506698001181E-13</v>
      </c>
      <c r="CA135" s="13">
        <f t="shared" si="147"/>
        <v>4.086682523110923E-12</v>
      </c>
      <c r="CB135" s="20">
        <f t="shared" si="118"/>
        <v>7.6581912194083782E-12</v>
      </c>
      <c r="CC135" s="59">
        <f t="shared" si="119"/>
        <v>293.33333333334099</v>
      </c>
      <c r="CD135" s="59">
        <f ca="1">AVERAGE(OFFSET($CC$3,0,0,'Données projet'!$E$12+1,1))-AVERAGE(OFFSET($H$3,0,0,'Données projet'!$E$12+1,1))</f>
        <v>248.1486444660062</v>
      </c>
      <c r="CE135" s="59">
        <f t="shared" si="148"/>
        <v>293.34458072322127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1.1299023319110393</v>
      </c>
      <c r="CL135" s="21">
        <f>EXP(-LN(2)/25)*CL134+(1-EXP(-LN(2)/25))/(LN(2)/25)*Calculateur!CG135*Calculateur!CI135*VLOOKUP('Données projet'!$B$12,Paramètres!$A$1:$I$89,3,0)*0.475*44/12</f>
        <v>2.0126039968977136</v>
      </c>
      <c r="CM135" s="21">
        <f>EXP(-LN(2)/2)*CM134+(1-EXP(-LN(2)/2))/(LN(2)/2)*CG135*CJ135*VLOOKUP('Données projet'!$B$12,Paramètres!$A$1:$I$89,3,0)*0.475*44/12</f>
        <v>1.1183243715458536E-14</v>
      </c>
      <c r="CN135" s="22">
        <f t="shared" si="120"/>
        <v>3.1425063288087638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-2.2737367544323206E-13</v>
      </c>
      <c r="CU135" s="17">
        <f>CT135*VLOOKUP('Données projet'!$B$13,Paramètres!$A$1:$I$89,3,0)*VLOOKUP('Données projet'!$B$13,Paramètres!$A$1:$I$89,5,0)</f>
        <v>-1.8089849618263545E-13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314.94704727988847</v>
      </c>
      <c r="CZ135" s="59">
        <f t="shared" si="150"/>
        <v>366.49199094166454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0.51940918421012627</v>
      </c>
      <c r="DG135" s="21">
        <f>EXP(-LN(2)/25)*DG134+(1-EXP(-LN(2)/25))/(LN(2)/25)*Calculateur!DB135*Calculateur!DD135*VLOOKUP('Données projet'!$B$13,Paramètres!$A$1:$I$89,3,0)*0.475*44/12</f>
        <v>1.5022740805570698</v>
      </c>
      <c r="DH135" s="21">
        <f>EXP(-LN(2)/2)*DH134+(1-EXP(-LN(2)/2))/(LN(2)/2)*DB135*DE135*VLOOKUP('Données projet'!$B$13,Paramètres!$A$1:$I$89,3,0)*0.475*44/12</f>
        <v>1.2820516462122067E-14</v>
      </c>
      <c r="DI135" s="22">
        <f t="shared" si="123"/>
        <v>2.0216832647672089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-1.2505552149377763E-12</v>
      </c>
      <c r="O136" s="13">
        <f>N136*VLOOKUP('Données projet'!$B$9,Paramètres!$A$1:$I$89,3,0)*VLOOKUP('Données projet'!$B$9,Paramètres!$A$1:$I$89,5,0)</f>
        <v>-6.9906036515021697E-13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415.91544298418842</v>
      </c>
      <c r="T136" s="59">
        <f t="shared" si="142"/>
        <v>422.79312683312583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1.4851578401239918</v>
      </c>
      <c r="AA136" s="21">
        <f>EXP(-LN(2)/25)*AA135+(1-EXP(-LN(2)/25))/(LN(2)/25)*Calculateur!V136*Calculateur!X136*VLOOKUP('Données projet'!$B$9,Paramètres!$A$1:$I$89,3,0)*0.475*44/12</f>
        <v>2.2291206577625764</v>
      </c>
      <c r="AB136" s="21">
        <f>EXP(-LN(2)/2)*AB135+(1-EXP(-LN(2)/2))/(LN(2)/2)*V136*Y136*VLOOKUP('Données projet'!$B$9,Paramètres!$A$1:$I$89,3,0)*0.475*44/12</f>
        <v>1.1452848314094601E-14</v>
      </c>
      <c r="AC136" s="22">
        <f t="shared" si="111"/>
        <v>3.7142784978865797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-6.7984728957526396E-14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311.06126148520821</v>
      </c>
      <c r="AO136" s="59">
        <f t="shared" si="144"/>
        <v>321.1728368524748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0.45496695778851193</v>
      </c>
      <c r="AV136" s="21">
        <f>EXP(-LN(2)/25)*AV135+(1-EXP(-LN(2)/25))/(LN(2)/25)*Calculateur!AQ136*Calculateur!AS136*VLOOKUP('Données projet'!$B$10,Paramètres!$A$1:$I$89,3,0)*0.475*44/12</f>
        <v>1.227284071392758</v>
      </c>
      <c r="AW136" s="21">
        <f>EXP(-LN(2)/2)*AW135+(1-EXP(-LN(2)/2))/(LN(2)/2)*AQ136*AT136*VLOOKUP('Données projet'!$B$10,Paramètres!$A$1:$I$89,3,0)*0.475*44/12</f>
        <v>9.515807273754346E-15</v>
      </c>
      <c r="AX136" s="21">
        <f t="shared" si="114"/>
        <v>1.6822510291812793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-7.9580786405131221E-13</v>
      </c>
      <c r="BE136" s="13">
        <f>BD136*VLOOKUP('Données projet'!$B$11,Paramètres!$A$1:$I$89,3,0)*VLOOKUP('Données projet'!$B$11,Paramètres!$A$1:$I$89,5,0)</f>
        <v>-3.8278358260868117E-13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371.85813103419366</v>
      </c>
      <c r="BJ136" s="59">
        <f t="shared" si="146"/>
        <v>370.01698880104584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3.6146413173085095</v>
      </c>
      <c r="BQ136" s="21">
        <f>EXP(-LN(2)/25)*BQ135+(1-EXP(-LN(2)/25))/(LN(2)/25)*Calculateur!BL136*Calculateur!BN136*VLOOKUP('Données projet'!$B$11,Paramètres!$A$1:$I$89,3,0)*0.475*44/12</f>
        <v>2.5932421106225516</v>
      </c>
      <c r="BR136" s="21">
        <f>EXP(-LN(2)/2)*BR135+(1-EXP(-LN(2)/2))/(LN(2)/2)*BL136*BO136*VLOOKUP('Données projet'!$B$11,Paramètres!$A$1:$I$89,3,0)*0.475*44/12</f>
        <v>2.7778819166092385E-13</v>
      </c>
      <c r="BS136" s="22">
        <f t="shared" si="117"/>
        <v>6.2078834279313391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5.6843418860808015E-13</v>
      </c>
      <c r="BZ136" s="13">
        <f>BY136*VLOOKUP('Données projet'!$B$12,Paramètres!$A$1:$I$89,3,0)*VLOOKUP('Données projet'!$B$12,Paramètres!$A$1:$I$89,5,0)</f>
        <v>3.1036506698001181E-13</v>
      </c>
      <c r="CA136" s="13">
        <f t="shared" si="147"/>
        <v>4.086682523110923E-12</v>
      </c>
      <c r="CB136" s="20">
        <f t="shared" si="118"/>
        <v>7.6581912194083782E-12</v>
      </c>
      <c r="CC136" s="59">
        <f t="shared" si="119"/>
        <v>293.33333333334099</v>
      </c>
      <c r="CD136" s="59">
        <f ca="1">AVERAGE(OFFSET($CC$3,0,0,'Données projet'!$E$12+1,1))-AVERAGE(OFFSET($H$3,0,0,'Données projet'!$E$12+1,1))</f>
        <v>248.1486444660062</v>
      </c>
      <c r="CE136" s="59">
        <f t="shared" si="148"/>
        <v>293.34458072322127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1.1077456363546361</v>
      </c>
      <c r="CL136" s="21">
        <f>EXP(-LN(2)/25)*CL135+(1-EXP(-LN(2)/25))/(LN(2)/25)*Calculateur!CG136*Calculateur!CI136*VLOOKUP('Données projet'!$B$12,Paramètres!$A$1:$I$89,3,0)*0.475*44/12</f>
        <v>1.9575692347643012</v>
      </c>
      <c r="CM136" s="21">
        <f>EXP(-LN(2)/2)*CM135+(1-EXP(-LN(2)/2))/(LN(2)/2)*CG136*CJ136*VLOOKUP('Données projet'!$B$12,Paramètres!$A$1:$I$89,3,0)*0.475*44/12</f>
        <v>7.907747466862572E-15</v>
      </c>
      <c r="CN136" s="22">
        <f t="shared" si="120"/>
        <v>3.0653148711189453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-2.2737367544323206E-13</v>
      </c>
      <c r="CU136" s="17">
        <f>CT136*VLOOKUP('Données projet'!$B$13,Paramètres!$A$1:$I$89,3,0)*VLOOKUP('Données projet'!$B$13,Paramètres!$A$1:$I$89,5,0)</f>
        <v>-1.8089849618263545E-13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314.94704727988847</v>
      </c>
      <c r="CZ136" s="59">
        <f t="shared" si="150"/>
        <v>366.49199094166454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0.50922388691608589</v>
      </c>
      <c r="DG136" s="21">
        <f>EXP(-LN(2)/25)*DG135+(1-EXP(-LN(2)/25))/(LN(2)/25)*Calculateur!DB136*Calculateur!DD136*VLOOKUP('Données projet'!$B$13,Paramètres!$A$1:$I$89,3,0)*0.475*44/12</f>
        <v>1.4611943168230763</v>
      </c>
      <c r="DH136" s="21">
        <f>EXP(-LN(2)/2)*DH135+(1-EXP(-LN(2)/2))/(LN(2)/2)*DB136*DE136*VLOOKUP('Données projet'!$B$13,Paramètres!$A$1:$I$89,3,0)*0.475*44/12</f>
        <v>9.0654741286802785E-15</v>
      </c>
      <c r="DI136" s="22">
        <f t="shared" si="123"/>
        <v>1.9704182037391713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-1.2505552149377763E-12</v>
      </c>
      <c r="O137" s="13">
        <f>N137*VLOOKUP('Données projet'!$B$9,Paramètres!$A$1:$I$89,3,0)*VLOOKUP('Données projet'!$B$9,Paramètres!$A$1:$I$89,5,0)</f>
        <v>-6.9906036515021697E-13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415.91544298418842</v>
      </c>
      <c r="T137" s="59">
        <f t="shared" si="142"/>
        <v>422.79312683312583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1.4560348007359969</v>
      </c>
      <c r="AA137" s="21">
        <f>EXP(-LN(2)/25)*AA136+(1-EXP(-LN(2)/25))/(LN(2)/25)*Calculateur!V137*Calculateur!X137*VLOOKUP('Données projet'!$B$9,Paramètres!$A$1:$I$89,3,0)*0.475*44/12</f>
        <v>2.1681652361516979</v>
      </c>
      <c r="AB137" s="21">
        <f>EXP(-LN(2)/2)*AB136+(1-EXP(-LN(2)/2))/(LN(2)/2)*V137*Y137*VLOOKUP('Données projet'!$B$9,Paramètres!$A$1:$I$89,3,0)*0.475*44/12</f>
        <v>8.0983867067972106E-15</v>
      </c>
      <c r="AC137" s="22">
        <f t="shared" si="111"/>
        <v>3.6242000368877028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-6.7984728957526396E-14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311.06126148520821</v>
      </c>
      <c r="AO137" s="59">
        <f t="shared" si="144"/>
        <v>321.1728368524748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0.44604533324872236</v>
      </c>
      <c r="AV137" s="21">
        <f>EXP(-LN(2)/25)*AV136+(1-EXP(-LN(2)/25))/(LN(2)/25)*Calculateur!AQ137*Calculateur!AS137*VLOOKUP('Données projet'!$B$10,Paramètres!$A$1:$I$89,3,0)*0.475*44/12</f>
        <v>1.1937239239204587</v>
      </c>
      <c r="AW137" s="21">
        <f>EXP(-LN(2)/2)*AW136+(1-EXP(-LN(2)/2))/(LN(2)/2)*AQ137*AT137*VLOOKUP('Données projet'!$B$10,Paramètres!$A$1:$I$89,3,0)*0.475*44/12</f>
        <v>6.7286918517359718E-15</v>
      </c>
      <c r="AX137" s="21">
        <f t="shared" si="114"/>
        <v>1.6397692571691878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-7.9580786405131221E-13</v>
      </c>
      <c r="BE137" s="13">
        <f>BD137*VLOOKUP('Données projet'!$B$11,Paramètres!$A$1:$I$89,3,0)*VLOOKUP('Données projet'!$B$11,Paramètres!$A$1:$I$89,5,0)</f>
        <v>-3.8278358260868117E-13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371.85813103419366</v>
      </c>
      <c r="BJ137" s="59">
        <f t="shared" si="146"/>
        <v>370.01698880104584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3.5437604057895959</v>
      </c>
      <c r="BQ137" s="21">
        <f>EXP(-LN(2)/25)*BQ136+(1-EXP(-LN(2)/25))/(LN(2)/25)*Calculateur!BL137*Calculateur!BN137*VLOOKUP('Données projet'!$B$11,Paramètres!$A$1:$I$89,3,0)*0.475*44/12</f>
        <v>2.5223297687349024</v>
      </c>
      <c r="BR137" s="21">
        <f>EXP(-LN(2)/2)*BR136+(1-EXP(-LN(2)/2))/(LN(2)/2)*BL137*BO137*VLOOKUP('Données projet'!$B$11,Paramètres!$A$1:$I$89,3,0)*0.475*44/12</f>
        <v>1.9642591405698761E-13</v>
      </c>
      <c r="BS137" s="22">
        <f t="shared" si="117"/>
        <v>6.0660901745246951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5.6843418860808015E-13</v>
      </c>
      <c r="BZ137" s="13">
        <f>BY137*VLOOKUP('Données projet'!$B$12,Paramètres!$A$1:$I$89,3,0)*VLOOKUP('Données projet'!$B$12,Paramètres!$A$1:$I$89,5,0)</f>
        <v>3.1036506698001181E-13</v>
      </c>
      <c r="CA137" s="13">
        <f t="shared" si="147"/>
        <v>4.086682523110923E-12</v>
      </c>
      <c r="CB137" s="20">
        <f t="shared" si="118"/>
        <v>7.6581912194083782E-12</v>
      </c>
      <c r="CC137" s="59">
        <f t="shared" si="119"/>
        <v>293.33333333334099</v>
      </c>
      <c r="CD137" s="59">
        <f ca="1">AVERAGE(OFFSET($CC$3,0,0,'Données projet'!$E$12+1,1))-AVERAGE(OFFSET($H$3,0,0,'Données projet'!$E$12+1,1))</f>
        <v>248.1486444660062</v>
      </c>
      <c r="CE137" s="59">
        <f t="shared" si="148"/>
        <v>293.34458072322127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1.0860234200838441</v>
      </c>
      <c r="CL137" s="21">
        <f>EXP(-LN(2)/25)*CL136+(1-EXP(-LN(2)/25))/(LN(2)/25)*Calculateur!CG137*Calculateur!CI137*VLOOKUP('Données projet'!$B$12,Paramètres!$A$1:$I$89,3,0)*0.475*44/12</f>
        <v>1.9040394010955795</v>
      </c>
      <c r="CM137" s="21">
        <f>EXP(-LN(2)/2)*CM136+(1-EXP(-LN(2)/2))/(LN(2)/2)*CG137*CJ137*VLOOKUP('Données projet'!$B$12,Paramètres!$A$1:$I$89,3,0)*0.475*44/12</f>
        <v>5.5916218577292682E-15</v>
      </c>
      <c r="CN137" s="22">
        <f t="shared" si="120"/>
        <v>2.9900628211794293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-2.2737367544323206E-13</v>
      </c>
      <c r="CU137" s="17">
        <f>CT137*VLOOKUP('Données projet'!$B$13,Paramètres!$A$1:$I$89,3,0)*VLOOKUP('Données projet'!$B$13,Paramètres!$A$1:$I$89,5,0)</f>
        <v>-1.8089849618263545E-13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314.94704727988847</v>
      </c>
      <c r="CZ137" s="59">
        <f t="shared" si="150"/>
        <v>366.49199094166454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0.49923831708956368</v>
      </c>
      <c r="DG137" s="21">
        <f>EXP(-LN(2)/25)*DG136+(1-EXP(-LN(2)/25))/(LN(2)/25)*Calculateur!DB137*Calculateur!DD137*VLOOKUP('Données projet'!$B$13,Paramètres!$A$1:$I$89,3,0)*0.475*44/12</f>
        <v>1.4212378813886797</v>
      </c>
      <c r="DH137" s="21">
        <f>EXP(-LN(2)/2)*DH136+(1-EXP(-LN(2)/2))/(LN(2)/2)*DB137*DE137*VLOOKUP('Données projet'!$B$13,Paramètres!$A$1:$I$89,3,0)*0.475*44/12</f>
        <v>6.4102582310610334E-15</v>
      </c>
      <c r="DI137" s="22">
        <f t="shared" si="123"/>
        <v>1.9204761984782499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-1.2505552149377763E-12</v>
      </c>
      <c r="O138" s="13">
        <f>N138*VLOOKUP('Données projet'!$B$9,Paramètres!$A$1:$I$89,3,0)*VLOOKUP('Données projet'!$B$9,Paramètres!$A$1:$I$89,5,0)</f>
        <v>-6.9906036515021697E-13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415.91544298418842</v>
      </c>
      <c r="T138" s="59">
        <f t="shared" si="142"/>
        <v>422.79312683312583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1.4274828463871005</v>
      </c>
      <c r="AA138" s="21">
        <f>EXP(-LN(2)/25)*AA137+(1-EXP(-LN(2)/25))/(LN(2)/25)*Calculateur!V138*Calculateur!X138*VLOOKUP('Données projet'!$B$9,Paramètres!$A$1:$I$89,3,0)*0.475*44/12</f>
        <v>2.1088766437502753</v>
      </c>
      <c r="AB138" s="21">
        <f>EXP(-LN(2)/2)*AB137+(1-EXP(-LN(2)/2))/(LN(2)/2)*V138*Y138*VLOOKUP('Données projet'!$B$9,Paramètres!$A$1:$I$89,3,0)*0.475*44/12</f>
        <v>5.7264241570473004E-15</v>
      </c>
      <c r="AC138" s="22">
        <f t="shared" si="111"/>
        <v>3.5363594901373818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-6.7984728957526396E-14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311.06126148520821</v>
      </c>
      <c r="AO138" s="59">
        <f t="shared" si="144"/>
        <v>321.1728368524748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0.43729865632450443</v>
      </c>
      <c r="AV138" s="21">
        <f>EXP(-LN(2)/25)*AV137+(1-EXP(-LN(2)/25))/(LN(2)/25)*Calculateur!AQ138*Calculateur!AS138*VLOOKUP('Données projet'!$B$10,Paramètres!$A$1:$I$89,3,0)*0.475*44/12</f>
        <v>1.1610814804456409</v>
      </c>
      <c r="AW138" s="21">
        <f>EXP(-LN(2)/2)*AW137+(1-EXP(-LN(2)/2))/(LN(2)/2)*AQ138*AT138*VLOOKUP('Données projet'!$B$10,Paramètres!$A$1:$I$89,3,0)*0.475*44/12</f>
        <v>4.757903636877173E-15</v>
      </c>
      <c r="AX138" s="21">
        <f t="shared" si="114"/>
        <v>1.59838013677015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-7.9580786405131221E-13</v>
      </c>
      <c r="BE138" s="13">
        <f>BD138*VLOOKUP('Données projet'!$B$11,Paramètres!$A$1:$I$89,3,0)*VLOOKUP('Données projet'!$B$11,Paramètres!$A$1:$I$89,5,0)</f>
        <v>-3.8278358260868117E-13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371.85813103419366</v>
      </c>
      <c r="BJ138" s="59">
        <f t="shared" si="146"/>
        <v>370.01698880104584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3.4742694257124809</v>
      </c>
      <c r="BQ138" s="21">
        <f>EXP(-LN(2)/25)*BQ137+(1-EXP(-LN(2)/25))/(LN(2)/25)*Calculateur!BL138*Calculateur!BN138*VLOOKUP('Données projet'!$B$11,Paramètres!$A$1:$I$89,3,0)*0.475*44/12</f>
        <v>2.4533565285652887</v>
      </c>
      <c r="BR138" s="21">
        <f>EXP(-LN(2)/2)*BR137+(1-EXP(-LN(2)/2))/(LN(2)/2)*BL138*BO138*VLOOKUP('Données projet'!$B$11,Paramètres!$A$1:$I$89,3,0)*0.475*44/12</f>
        <v>1.3889409583046192E-13</v>
      </c>
      <c r="BS138" s="22">
        <f t="shared" si="117"/>
        <v>5.9276259542779082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5.6843418860808015E-13</v>
      </c>
      <c r="BZ138" s="13">
        <f>BY138*VLOOKUP('Données projet'!$B$12,Paramètres!$A$1:$I$89,3,0)*VLOOKUP('Données projet'!$B$12,Paramètres!$A$1:$I$89,5,0)</f>
        <v>3.1036506698001181E-13</v>
      </c>
      <c r="CA138" s="13">
        <f t="shared" si="147"/>
        <v>4.086682523110923E-12</v>
      </c>
      <c r="CB138" s="20">
        <f t="shared" si="118"/>
        <v>7.6581912194083782E-12</v>
      </c>
      <c r="CC138" s="59">
        <f t="shared" si="119"/>
        <v>293.33333333334099</v>
      </c>
      <c r="CD138" s="59">
        <f ca="1">AVERAGE(OFFSET($CC$3,0,0,'Données projet'!$E$12+1,1))-AVERAGE(OFFSET($H$3,0,0,'Données projet'!$E$12+1,1))</f>
        <v>248.1486444660062</v>
      </c>
      <c r="CE138" s="59">
        <f t="shared" si="148"/>
        <v>293.34458072322127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1.0647271632248787</v>
      </c>
      <c r="CL138" s="21">
        <f>EXP(-LN(2)/25)*CL137+(1-EXP(-LN(2)/25))/(LN(2)/25)*Calculateur!CG138*Calculateur!CI138*VLOOKUP('Données projet'!$B$12,Paramètres!$A$1:$I$89,3,0)*0.475*44/12</f>
        <v>1.8519733435435404</v>
      </c>
      <c r="CM138" s="21">
        <f>EXP(-LN(2)/2)*CM137+(1-EXP(-LN(2)/2))/(LN(2)/2)*CG138*CJ138*VLOOKUP('Données projet'!$B$12,Paramètres!$A$1:$I$89,3,0)*0.475*44/12</f>
        <v>3.953873733431286E-15</v>
      </c>
      <c r="CN138" s="22">
        <f t="shared" si="120"/>
        <v>2.9167005067684229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-2.2737367544323206E-13</v>
      </c>
      <c r="CU138" s="17">
        <f>CT138*VLOOKUP('Données projet'!$B$13,Paramètres!$A$1:$I$89,3,0)*VLOOKUP('Données projet'!$B$13,Paramètres!$A$1:$I$89,5,0)</f>
        <v>-1.8089849618263545E-13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314.94704727988847</v>
      </c>
      <c r="CZ138" s="59">
        <f t="shared" si="150"/>
        <v>366.49199094166454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0.48944855819674338</v>
      </c>
      <c r="DG138" s="21">
        <f>EXP(-LN(2)/25)*DG137+(1-EXP(-LN(2)/25))/(LN(2)/25)*Calculateur!DB138*Calculateur!DD138*VLOOKUP('Données projet'!$B$13,Paramètres!$A$1:$I$89,3,0)*0.475*44/12</f>
        <v>1.3823740567824543</v>
      </c>
      <c r="DH138" s="21">
        <f>EXP(-LN(2)/2)*DH137+(1-EXP(-LN(2)/2))/(LN(2)/2)*DB138*DE138*VLOOKUP('Données projet'!$B$13,Paramètres!$A$1:$I$89,3,0)*0.475*44/12</f>
        <v>4.5327370643401393E-15</v>
      </c>
      <c r="DI138" s="22">
        <f t="shared" si="123"/>
        <v>1.8718226149792021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-1.2505552149377763E-12</v>
      </c>
      <c r="O139" s="13">
        <f>N139*VLOOKUP('Données projet'!$B$9,Paramètres!$A$1:$I$89,3,0)*VLOOKUP('Données projet'!$B$9,Paramètres!$A$1:$I$89,5,0)</f>
        <v>-6.9906036515021697E-13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415.91544298418842</v>
      </c>
      <c r="T139" s="59">
        <f t="shared" si="142"/>
        <v>422.79312683312583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1.3994907784480135</v>
      </c>
      <c r="AA139" s="21">
        <f>EXP(-LN(2)/25)*AA138+(1-EXP(-LN(2)/25))/(LN(2)/25)*Calculateur!V139*Calculateur!X139*VLOOKUP('Données projet'!$B$9,Paramètres!$A$1:$I$89,3,0)*0.475*44/12</f>
        <v>2.0512093010259211</v>
      </c>
      <c r="AB139" s="21">
        <f>EXP(-LN(2)/2)*AB138+(1-EXP(-LN(2)/2))/(LN(2)/2)*V139*Y139*VLOOKUP('Données projet'!$B$9,Paramètres!$A$1:$I$89,3,0)*0.475*44/12</f>
        <v>4.0491933533986053E-15</v>
      </c>
      <c r="AC139" s="22">
        <f t="shared" si="111"/>
        <v>3.4507000794739384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-6.7984728957526396E-14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311.06126148520821</v>
      </c>
      <c r="AO139" s="59">
        <f t="shared" si="144"/>
        <v>321.1728368524748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0.42872349639982427</v>
      </c>
      <c r="AV139" s="21">
        <f>EXP(-LN(2)/25)*AV138+(1-EXP(-LN(2)/25))/(LN(2)/25)*Calculateur!AQ139*Calculateur!AS139*VLOOKUP('Données projet'!$B$10,Paramètres!$A$1:$I$89,3,0)*0.475*44/12</f>
        <v>1.1293316463042333</v>
      </c>
      <c r="AW139" s="21">
        <f>EXP(-LN(2)/2)*AW138+(1-EXP(-LN(2)/2))/(LN(2)/2)*AQ139*AT139*VLOOKUP('Données projet'!$B$10,Paramètres!$A$1:$I$89,3,0)*0.475*44/12</f>
        <v>3.3643459258679859E-15</v>
      </c>
      <c r="AX139" s="21">
        <f t="shared" si="114"/>
        <v>1.558055142704061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-7.9580786405131221E-13</v>
      </c>
      <c r="BE139" s="13">
        <f>BD139*VLOOKUP('Données projet'!$B$11,Paramètres!$A$1:$I$89,3,0)*VLOOKUP('Données projet'!$B$11,Paramètres!$A$1:$I$89,5,0)</f>
        <v>-3.8278358260868117E-13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371.85813103419366</v>
      </c>
      <c r="BJ139" s="59">
        <f t="shared" si="146"/>
        <v>370.01698880104584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3.4061411213693655</v>
      </c>
      <c r="BQ139" s="21">
        <f>EXP(-LN(2)/25)*BQ138+(1-EXP(-LN(2)/25))/(LN(2)/25)*Calculateur!BL139*Calculateur!BN139*VLOOKUP('Données projet'!$B$11,Paramètres!$A$1:$I$89,3,0)*0.475*44/12</f>
        <v>2.3862693652752585</v>
      </c>
      <c r="BR139" s="21">
        <f>EXP(-LN(2)/2)*BR138+(1-EXP(-LN(2)/2))/(LN(2)/2)*BL139*BO139*VLOOKUP('Données projet'!$B$11,Paramètres!$A$1:$I$89,3,0)*0.475*44/12</f>
        <v>9.8212957028493804E-14</v>
      </c>
      <c r="BS139" s="22">
        <f t="shared" si="117"/>
        <v>5.7924104866447221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5.6843418860808015E-13</v>
      </c>
      <c r="BZ139" s="13">
        <f>BY139*VLOOKUP('Données projet'!$B$12,Paramètres!$A$1:$I$89,3,0)*VLOOKUP('Données projet'!$B$12,Paramètres!$A$1:$I$89,5,0)</f>
        <v>3.1036506698001181E-13</v>
      </c>
      <c r="CA139" s="13">
        <f t="shared" si="147"/>
        <v>4.086682523110923E-12</v>
      </c>
      <c r="CB139" s="20">
        <f t="shared" si="118"/>
        <v>7.6581912194083782E-12</v>
      </c>
      <c r="CC139" s="59">
        <f t="shared" si="119"/>
        <v>293.33333333334099</v>
      </c>
      <c r="CD139" s="59">
        <f ca="1">AVERAGE(OFFSET($CC$3,0,0,'Données projet'!$E$12+1,1))-AVERAGE(OFFSET($H$3,0,0,'Données projet'!$E$12+1,1))</f>
        <v>248.1486444660062</v>
      </c>
      <c r="CE139" s="59">
        <f t="shared" si="148"/>
        <v>293.34458072322127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1.0438485129734836</v>
      </c>
      <c r="CL139" s="21">
        <f>EXP(-LN(2)/25)*CL138+(1-EXP(-LN(2)/25))/(LN(2)/25)*Calculateur!CG139*Calculateur!CI139*VLOOKUP('Données projet'!$B$12,Paramètres!$A$1:$I$89,3,0)*0.475*44/12</f>
        <v>1.8013310350732969</v>
      </c>
      <c r="CM139" s="21">
        <f>EXP(-LN(2)/2)*CM138+(1-EXP(-LN(2)/2))/(LN(2)/2)*CG139*CJ139*VLOOKUP('Données projet'!$B$12,Paramètres!$A$1:$I$89,3,0)*0.475*44/12</f>
        <v>2.7958109288646341E-15</v>
      </c>
      <c r="CN139" s="22">
        <f t="shared" si="120"/>
        <v>2.845179548046783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-2.2737367544323206E-13</v>
      </c>
      <c r="CU139" s="17">
        <f>CT139*VLOOKUP('Données projet'!$B$13,Paramètres!$A$1:$I$89,3,0)*VLOOKUP('Données projet'!$B$13,Paramètres!$A$1:$I$89,5,0)</f>
        <v>-1.8089849618263545E-13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314.94704727988847</v>
      </c>
      <c r="CZ139" s="59">
        <f t="shared" si="150"/>
        <v>366.49199094166454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0.47985077050464792</v>
      </c>
      <c r="DG139" s="21">
        <f>EXP(-LN(2)/25)*DG138+(1-EXP(-LN(2)/25))/(LN(2)/25)*Calculateur!DB139*Calculateur!DD139*VLOOKUP('Données projet'!$B$13,Paramètres!$A$1:$I$89,3,0)*0.475*44/12</f>
        <v>1.3445729655038459</v>
      </c>
      <c r="DH139" s="21">
        <f>EXP(-LN(2)/2)*DH138+(1-EXP(-LN(2)/2))/(LN(2)/2)*DB139*DE139*VLOOKUP('Données projet'!$B$13,Paramètres!$A$1:$I$89,3,0)*0.475*44/12</f>
        <v>3.2051291155305167E-15</v>
      </c>
      <c r="DI139" s="22">
        <f t="shared" si="123"/>
        <v>1.8244237360084969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-1.2505552149377763E-12</v>
      </c>
      <c r="O140" s="13">
        <f>N140*VLOOKUP('Données projet'!$B$9,Paramètres!$A$1:$I$89,3,0)*VLOOKUP('Données projet'!$B$9,Paramètres!$A$1:$I$89,5,0)</f>
        <v>-6.9906036515021697E-13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415.91544298418842</v>
      </c>
      <c r="T140" s="59">
        <f t="shared" si="142"/>
        <v>422.79312683312583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1.3720476178877363</v>
      </c>
      <c r="AA140" s="21">
        <f>EXP(-LN(2)/25)*AA139+(1-EXP(-LN(2)/25))/(LN(2)/25)*Calculateur!V140*Calculateur!X140*VLOOKUP('Données projet'!$B$9,Paramètres!$A$1:$I$89,3,0)*0.475*44/12</f>
        <v>1.9951188748209583</v>
      </c>
      <c r="AB140" s="21">
        <f>EXP(-LN(2)/2)*AB139+(1-EXP(-LN(2)/2))/(LN(2)/2)*V140*Y140*VLOOKUP('Données projet'!$B$9,Paramètres!$A$1:$I$89,3,0)*0.475*44/12</f>
        <v>2.8632120785236502E-15</v>
      </c>
      <c r="AC140" s="22">
        <f t="shared" si="111"/>
        <v>3.3671664927086971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-6.7984728957526396E-14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311.06126148520821</v>
      </c>
      <c r="AO140" s="59">
        <f t="shared" si="144"/>
        <v>321.1728368524748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0.42031649013093597</v>
      </c>
      <c r="AV140" s="21">
        <f>EXP(-LN(2)/25)*AV139+(1-EXP(-LN(2)/25))/(LN(2)/25)*Calculateur!AQ140*Calculateur!AS140*VLOOKUP('Données projet'!$B$10,Paramètres!$A$1:$I$89,3,0)*0.475*44/12</f>
        <v>1.098450013047074</v>
      </c>
      <c r="AW140" s="21">
        <f>EXP(-LN(2)/2)*AW139+(1-EXP(-LN(2)/2))/(LN(2)/2)*AQ140*AT140*VLOOKUP('Données projet'!$B$10,Paramètres!$A$1:$I$89,3,0)*0.475*44/12</f>
        <v>2.3789518184385865E-15</v>
      </c>
      <c r="AX140" s="21">
        <f t="shared" si="114"/>
        <v>1.5187665031780124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-7.9580786405131221E-13</v>
      </c>
      <c r="BE140" s="13">
        <f>BD140*VLOOKUP('Données projet'!$B$11,Paramètres!$A$1:$I$89,3,0)*VLOOKUP('Données projet'!$B$11,Paramètres!$A$1:$I$89,5,0)</f>
        <v>-3.8278358260868117E-13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371.85813103419366</v>
      </c>
      <c r="BJ140" s="59">
        <f t="shared" si="146"/>
        <v>370.01698880104584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3.3393487715202563</v>
      </c>
      <c r="BQ140" s="21">
        <f>EXP(-LN(2)/25)*BQ139+(1-EXP(-LN(2)/25))/(LN(2)/25)*Calculateur!BL140*Calculateur!BN140*VLOOKUP('Données projet'!$B$11,Paramètres!$A$1:$I$89,3,0)*0.475*44/12</f>
        <v>2.3210167039933545</v>
      </c>
      <c r="BR140" s="21">
        <f>EXP(-LN(2)/2)*BR139+(1-EXP(-LN(2)/2))/(LN(2)/2)*BL140*BO140*VLOOKUP('Données projet'!$B$11,Paramètres!$A$1:$I$89,3,0)*0.475*44/12</f>
        <v>6.9447047915230962E-14</v>
      </c>
      <c r="BS140" s="22">
        <f t="shared" si="117"/>
        <v>5.6603654755136805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5.6843418860808015E-13</v>
      </c>
      <c r="BZ140" s="13">
        <f>BY140*VLOOKUP('Données projet'!$B$12,Paramètres!$A$1:$I$89,3,0)*VLOOKUP('Données projet'!$B$12,Paramètres!$A$1:$I$89,5,0)</f>
        <v>3.1036506698001181E-13</v>
      </c>
      <c r="CA140" s="13">
        <f t="shared" si="147"/>
        <v>4.086682523110923E-12</v>
      </c>
      <c r="CB140" s="20">
        <f t="shared" si="118"/>
        <v>7.6581912194083782E-12</v>
      </c>
      <c r="CC140" s="59">
        <f t="shared" si="119"/>
        <v>293.33333333334099</v>
      </c>
      <c r="CD140" s="59">
        <f ca="1">AVERAGE(OFFSET($CC$3,0,0,'Données projet'!$E$12+1,1))-AVERAGE(OFFSET($H$3,0,0,'Données projet'!$E$12+1,1))</f>
        <v>248.1486444660062</v>
      </c>
      <c r="CE140" s="59">
        <f t="shared" si="148"/>
        <v>293.34458072322127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1.0233792803187991</v>
      </c>
      <c r="CL140" s="21">
        <f>EXP(-LN(2)/25)*CL139+(1-EXP(-LN(2)/25))/(LN(2)/25)*Calculateur!CG140*Calculateur!CI140*VLOOKUP('Données projet'!$B$12,Paramètres!$A$1:$I$89,3,0)*0.475*44/12</f>
        <v>1.7520735431913355</v>
      </c>
      <c r="CM140" s="21">
        <f>EXP(-LN(2)/2)*CM139+(1-EXP(-LN(2)/2))/(LN(2)/2)*CG140*CJ140*VLOOKUP('Données projet'!$B$12,Paramètres!$A$1:$I$89,3,0)*0.475*44/12</f>
        <v>1.976936866715643E-15</v>
      </c>
      <c r="CN140" s="22">
        <f t="shared" si="120"/>
        <v>2.7754528235101361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-2.2737367544323206E-13</v>
      </c>
      <c r="CU140" s="17">
        <f>CT140*VLOOKUP('Données projet'!$B$13,Paramètres!$A$1:$I$89,3,0)*VLOOKUP('Données projet'!$B$13,Paramètres!$A$1:$I$89,5,0)</f>
        <v>-1.8089849618263545E-13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314.94704727988847</v>
      </c>
      <c r="CZ140" s="59">
        <f t="shared" si="150"/>
        <v>366.49199094166454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0.47044118957512204</v>
      </c>
      <c r="DG140" s="21">
        <f>EXP(-LN(2)/25)*DG139+(1-EXP(-LN(2)/25))/(LN(2)/25)*Calculateur!DB140*Calculateur!DD140*VLOOKUP('Données projet'!$B$13,Paramètres!$A$1:$I$89,3,0)*0.475*44/12</f>
        <v>1.3078055470541241</v>
      </c>
      <c r="DH140" s="21">
        <f>EXP(-LN(2)/2)*DH139+(1-EXP(-LN(2)/2))/(LN(2)/2)*DB140*DE140*VLOOKUP('Données projet'!$B$13,Paramètres!$A$1:$I$89,3,0)*0.475*44/12</f>
        <v>2.2663685321700696E-15</v>
      </c>
      <c r="DI140" s="22">
        <f t="shared" si="123"/>
        <v>1.7782467366292485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-1.2505552149377763E-12</v>
      </c>
      <c r="O141" s="13">
        <f>N141*VLOOKUP('Données projet'!$B$9,Paramètres!$A$1:$I$89,3,0)*VLOOKUP('Données projet'!$B$9,Paramètres!$A$1:$I$89,5,0)</f>
        <v>-6.9906036515021697E-13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415.91544298418842</v>
      </c>
      <c r="T141" s="59">
        <f t="shared" si="142"/>
        <v>422.79312683312583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1.345142600967371</v>
      </c>
      <c r="AA141" s="21">
        <f>EXP(-LN(2)/25)*AA140+(1-EXP(-LN(2)/25))/(LN(2)/25)*Calculateur!V141*Calculateur!X141*VLOOKUP('Données projet'!$B$9,Paramètres!$A$1:$I$89,3,0)*0.475*44/12</f>
        <v>1.9405622442702375</v>
      </c>
      <c r="AB141" s="21">
        <f>EXP(-LN(2)/2)*AB140+(1-EXP(-LN(2)/2))/(LN(2)/2)*V141*Y141*VLOOKUP('Données projet'!$B$9,Paramètres!$A$1:$I$89,3,0)*0.475*44/12</f>
        <v>2.0245966766993026E-15</v>
      </c>
      <c r="AC141" s="22">
        <f t="shared" si="111"/>
        <v>3.285704845237611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-6.7984728957526396E-14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311.06126148520821</v>
      </c>
      <c r="AO141" s="59">
        <f t="shared" si="144"/>
        <v>321.1728368524748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0.41207434012721311</v>
      </c>
      <c r="AV141" s="21">
        <f>EXP(-LN(2)/25)*AV140+(1-EXP(-LN(2)/25))/(LN(2)/25)*Calculateur!AQ141*Calculateur!AS141*VLOOKUP('Données projet'!$B$10,Paramètres!$A$1:$I$89,3,0)*0.475*44/12</f>
        <v>1.0684128396753261</v>
      </c>
      <c r="AW141" s="21">
        <f>EXP(-LN(2)/2)*AW140+(1-EXP(-LN(2)/2))/(LN(2)/2)*AQ141*AT141*VLOOKUP('Données projet'!$B$10,Paramètres!$A$1:$I$89,3,0)*0.475*44/12</f>
        <v>1.6821729629339929E-15</v>
      </c>
      <c r="AX141" s="21">
        <f t="shared" si="114"/>
        <v>1.480487179802541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-7.9580786405131221E-13</v>
      </c>
      <c r="BE141" s="13">
        <f>BD141*VLOOKUP('Données projet'!$B$11,Paramètres!$A$1:$I$89,3,0)*VLOOKUP('Données projet'!$B$11,Paramètres!$A$1:$I$89,5,0)</f>
        <v>-3.8278358260868117E-13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371.85813103419366</v>
      </c>
      <c r="BJ141" s="59">
        <f t="shared" si="146"/>
        <v>370.01698880104584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3.2738661789123773</v>
      </c>
      <c r="BQ141" s="21">
        <f>EXP(-LN(2)/25)*BQ140+(1-EXP(-LN(2)/25))/(LN(2)/25)*Calculateur!BL141*Calculateur!BN141*VLOOKUP('Données projet'!$B$11,Paramètres!$A$1:$I$89,3,0)*0.475*44/12</f>
        <v>2.2575483801656926</v>
      </c>
      <c r="BR141" s="21">
        <f>EXP(-LN(2)/2)*BR140+(1-EXP(-LN(2)/2))/(LN(2)/2)*BL141*BO141*VLOOKUP('Données projet'!$B$11,Paramètres!$A$1:$I$89,3,0)*0.475*44/12</f>
        <v>4.9106478514246902E-14</v>
      </c>
      <c r="BS141" s="22">
        <f t="shared" si="117"/>
        <v>5.5314145590781187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5.6843418860808015E-13</v>
      </c>
      <c r="BZ141" s="13">
        <f>BY141*VLOOKUP('Données projet'!$B$12,Paramètres!$A$1:$I$89,3,0)*VLOOKUP('Données projet'!$B$12,Paramètres!$A$1:$I$89,5,0)</f>
        <v>3.1036506698001181E-13</v>
      </c>
      <c r="CA141" s="13">
        <f t="shared" si="147"/>
        <v>4.086682523110923E-12</v>
      </c>
      <c r="CB141" s="20">
        <f t="shared" si="118"/>
        <v>7.6581912194083782E-12</v>
      </c>
      <c r="CC141" s="59">
        <f t="shared" si="119"/>
        <v>293.33333333334099</v>
      </c>
      <c r="CD141" s="59">
        <f ca="1">AVERAGE(OFFSET($CC$3,0,0,'Données projet'!$E$12+1,1))-AVERAGE(OFFSET($H$3,0,0,'Données projet'!$E$12+1,1))</f>
        <v>248.1486444660062</v>
      </c>
      <c r="CE141" s="59">
        <f t="shared" si="148"/>
        <v>293.34458072322127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1.0033114368314739</v>
      </c>
      <c r="CL141" s="21">
        <f>EXP(-LN(2)/25)*CL140+(1-EXP(-LN(2)/25))/(LN(2)/25)*Calculateur!CG141*Calculateur!CI141*VLOOKUP('Données projet'!$B$12,Paramètres!$A$1:$I$89,3,0)*0.475*44/12</f>
        <v>1.7041630000152252</v>
      </c>
      <c r="CM141" s="21">
        <f>EXP(-LN(2)/2)*CM140+(1-EXP(-LN(2)/2))/(LN(2)/2)*CG141*CJ141*VLOOKUP('Données projet'!$B$12,Paramètres!$A$1:$I$89,3,0)*0.475*44/12</f>
        <v>1.3979054644323171E-15</v>
      </c>
      <c r="CN141" s="22">
        <f t="shared" si="120"/>
        <v>2.7074744368467005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-2.2737367544323206E-13</v>
      </c>
      <c r="CU141" s="17">
        <f>CT141*VLOOKUP('Données projet'!$B$13,Paramètres!$A$1:$I$89,3,0)*VLOOKUP('Données projet'!$B$13,Paramètres!$A$1:$I$89,5,0)</f>
        <v>-1.8089849618263545E-13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314.94704727988847</v>
      </c>
      <c r="CZ141" s="59">
        <f t="shared" si="150"/>
        <v>366.49199094166454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0.4612161247883465</v>
      </c>
      <c r="DG141" s="21">
        <f>EXP(-LN(2)/25)*DG140+(1-EXP(-LN(2)/25))/(LN(2)/25)*Calculateur!DB141*Calculateur!DD141*VLOOKUP('Données projet'!$B$13,Paramètres!$A$1:$I$89,3,0)*0.475*44/12</f>
        <v>1.2720435355954245</v>
      </c>
      <c r="DH141" s="21">
        <f>EXP(-LN(2)/2)*DH140+(1-EXP(-LN(2)/2))/(LN(2)/2)*DB141*DE141*VLOOKUP('Données projet'!$B$13,Paramètres!$A$1:$I$89,3,0)*0.475*44/12</f>
        <v>1.6025645577652583E-15</v>
      </c>
      <c r="DI141" s="22">
        <f t="shared" si="123"/>
        <v>1.7332596603837727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-1.2505552149377763E-12</v>
      </c>
      <c r="O142" s="13">
        <f>N142*VLOOKUP('Données projet'!$B$9,Paramètres!$A$1:$I$89,3,0)*VLOOKUP('Données projet'!$B$9,Paramètres!$A$1:$I$89,5,0)</f>
        <v>-6.9906036515021697E-13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415.91544298418842</v>
      </c>
      <c r="T142" s="59">
        <f t="shared" si="142"/>
        <v>422.79312683312583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1.3187651750183742</v>
      </c>
      <c r="AA142" s="21">
        <f>EXP(-LN(2)/25)*AA141+(1-EXP(-LN(2)/25))/(LN(2)/25)*Calculateur!V142*Calculateur!X142*VLOOKUP('Données projet'!$B$9,Paramètres!$A$1:$I$89,3,0)*0.475*44/12</f>
        <v>1.8874974676509346</v>
      </c>
      <c r="AB142" s="21">
        <f>EXP(-LN(2)/2)*AB141+(1-EXP(-LN(2)/2))/(LN(2)/2)*V142*Y142*VLOOKUP('Données projet'!$B$9,Paramètres!$A$1:$I$89,3,0)*0.475*44/12</f>
        <v>1.4316060392618251E-15</v>
      </c>
      <c r="AC142" s="22">
        <f t="shared" si="111"/>
        <v>3.2062626426693099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-6.7984728957526396E-14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311.06126148520821</v>
      </c>
      <c r="AO142" s="59">
        <f t="shared" si="144"/>
        <v>321.1728368524748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0.40399381365784814</v>
      </c>
      <c r="AV142" s="21">
        <f>EXP(-LN(2)/25)*AV141+(1-EXP(-LN(2)/25))/(LN(2)/25)*Calculateur!AQ142*Calculateur!AS142*VLOOKUP('Données projet'!$B$10,Paramètres!$A$1:$I$89,3,0)*0.475*44/12</f>
        <v>1.0391970343890149</v>
      </c>
      <c r="AW142" s="21">
        <f>EXP(-LN(2)/2)*AW141+(1-EXP(-LN(2)/2))/(LN(2)/2)*AQ142*AT142*VLOOKUP('Données projet'!$B$10,Paramètres!$A$1:$I$89,3,0)*0.475*44/12</f>
        <v>1.1894759092192933E-15</v>
      </c>
      <c r="AX142" s="21">
        <f t="shared" si="114"/>
        <v>1.443190848046864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-7.9580786405131221E-13</v>
      </c>
      <c r="BE142" s="13">
        <f>BD142*VLOOKUP('Données projet'!$B$11,Paramètres!$A$1:$I$89,3,0)*VLOOKUP('Données projet'!$B$11,Paramètres!$A$1:$I$89,5,0)</f>
        <v>-3.8278358260868117E-13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371.85813103419366</v>
      </c>
      <c r="BJ142" s="59">
        <f t="shared" si="146"/>
        <v>370.01698880104584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3.2096676600051008</v>
      </c>
      <c r="BQ142" s="21">
        <f>EXP(-LN(2)/25)*BQ141+(1-EXP(-LN(2)/25))/(LN(2)/25)*Calculateur!BL142*Calculateur!BN142*VLOOKUP('Données projet'!$B$11,Paramètres!$A$1:$I$89,3,0)*0.475*44/12</f>
        <v>2.1958156009907519</v>
      </c>
      <c r="BR142" s="21">
        <f>EXP(-LN(2)/2)*BR141+(1-EXP(-LN(2)/2))/(LN(2)/2)*BL142*BO142*VLOOKUP('Données projet'!$B$11,Paramètres!$A$1:$I$89,3,0)*0.475*44/12</f>
        <v>3.4723523957615481E-14</v>
      </c>
      <c r="BS142" s="22">
        <f t="shared" si="117"/>
        <v>5.4054832609958874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5.6843418860808015E-13</v>
      </c>
      <c r="BZ142" s="13">
        <f>BY142*VLOOKUP('Données projet'!$B$12,Paramètres!$A$1:$I$89,3,0)*VLOOKUP('Données projet'!$B$12,Paramètres!$A$1:$I$89,5,0)</f>
        <v>3.1036506698001181E-13</v>
      </c>
      <c r="CA142" s="13">
        <f t="shared" si="147"/>
        <v>4.086682523110923E-12</v>
      </c>
      <c r="CB142" s="20">
        <f t="shared" si="118"/>
        <v>7.6581912194083782E-12</v>
      </c>
      <c r="CC142" s="59">
        <f t="shared" si="119"/>
        <v>293.33333333334099</v>
      </c>
      <c r="CD142" s="59">
        <f ca="1">AVERAGE(OFFSET($CC$3,0,0,'Données projet'!$E$12+1,1))-AVERAGE(OFFSET($H$3,0,0,'Données projet'!$E$12+1,1))</f>
        <v>248.1486444660062</v>
      </c>
      <c r="CE142" s="59">
        <f t="shared" si="148"/>
        <v>293.34458072322127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0.98363711151475919</v>
      </c>
      <c r="CL142" s="21">
        <f>EXP(-LN(2)/25)*CL141+(1-EXP(-LN(2)/25))/(LN(2)/25)*Calculateur!CG142*Calculateur!CI142*VLOOKUP('Données projet'!$B$12,Paramètres!$A$1:$I$89,3,0)*0.475*44/12</f>
        <v>1.6575625731617716</v>
      </c>
      <c r="CM142" s="21">
        <f>EXP(-LN(2)/2)*CM141+(1-EXP(-LN(2)/2))/(LN(2)/2)*CG142*CJ142*VLOOKUP('Données projet'!$B$12,Paramètres!$A$1:$I$89,3,0)*0.475*44/12</f>
        <v>9.884684333578215E-16</v>
      </c>
      <c r="CN142" s="22">
        <f t="shared" si="120"/>
        <v>2.6411996846765318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-2.2737367544323206E-13</v>
      </c>
      <c r="CU142" s="17">
        <f>CT142*VLOOKUP('Données projet'!$B$13,Paramètres!$A$1:$I$89,3,0)*VLOOKUP('Données projet'!$B$13,Paramètres!$A$1:$I$89,5,0)</f>
        <v>-1.8089849618263545E-13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314.94704727988847</v>
      </c>
      <c r="CZ142" s="59">
        <f t="shared" si="150"/>
        <v>366.49199094166454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0.45217195789530568</v>
      </c>
      <c r="DG142" s="21">
        <f>EXP(-LN(2)/25)*DG141+(1-EXP(-LN(2)/25))/(LN(2)/25)*Calculateur!DB142*Calculateur!DD142*VLOOKUP('Données projet'!$B$13,Paramètres!$A$1:$I$89,3,0)*0.475*44/12</f>
        <v>1.2372594382207054</v>
      </c>
      <c r="DH142" s="21">
        <f>EXP(-LN(2)/2)*DH141+(1-EXP(-LN(2)/2))/(LN(2)/2)*DB142*DE142*VLOOKUP('Données projet'!$B$13,Paramètres!$A$1:$I$89,3,0)*0.475*44/12</f>
        <v>1.1331842660850348E-15</v>
      </c>
      <c r="DI142" s="22">
        <f t="shared" si="123"/>
        <v>1.6894313961160121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-1.2505552149377763E-12</v>
      </c>
      <c r="O143" s="13">
        <f>N143*VLOOKUP('Données projet'!$B$9,Paramètres!$A$1:$I$89,3,0)*VLOOKUP('Données projet'!$B$9,Paramètres!$A$1:$I$89,5,0)</f>
        <v>-6.9906036515021697E-13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415.91544298418842</v>
      </c>
      <c r="T143" s="59">
        <f t="shared" si="142"/>
        <v>422.79312683312583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1.292904994303596</v>
      </c>
      <c r="AA143" s="21">
        <f>EXP(-LN(2)/25)*AA142+(1-EXP(-LN(2)/25))/(LN(2)/25)*Calculateur!V143*Calculateur!X143*VLOOKUP('Données projet'!$B$9,Paramètres!$A$1:$I$89,3,0)*0.475*44/12</f>
        <v>1.8358837501388419</v>
      </c>
      <c r="AB143" s="21">
        <f>EXP(-LN(2)/2)*AB142+(1-EXP(-LN(2)/2))/(LN(2)/2)*V143*Y143*VLOOKUP('Données projet'!$B$9,Paramètres!$A$1:$I$89,3,0)*0.475*44/12</f>
        <v>1.0122983383496513E-15</v>
      </c>
      <c r="AC143" s="22">
        <f t="shared" si="111"/>
        <v>3.1287887444424385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-6.7984728957526396E-14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311.06126148520821</v>
      </c>
      <c r="AO143" s="59">
        <f t="shared" si="144"/>
        <v>321.1728368524748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0.39607174138391293</v>
      </c>
      <c r="AV143" s="21">
        <f>EXP(-LN(2)/25)*AV142+(1-EXP(-LN(2)/25))/(LN(2)/25)*Calculateur!AQ143*Calculateur!AS143*VLOOKUP('Données projet'!$B$10,Paramètres!$A$1:$I$89,3,0)*0.475*44/12</f>
        <v>1.0107801368346503</v>
      </c>
      <c r="AW143" s="21">
        <f>EXP(-LN(2)/2)*AW142+(1-EXP(-LN(2)/2))/(LN(2)/2)*AQ143*AT143*VLOOKUP('Données projet'!$B$10,Paramètres!$A$1:$I$89,3,0)*0.475*44/12</f>
        <v>8.4108648146699647E-16</v>
      </c>
      <c r="AX143" s="21">
        <f t="shared" si="114"/>
        <v>1.4068518782185642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-7.9580786405131221E-13</v>
      </c>
      <c r="BE143" s="13">
        <f>BD143*VLOOKUP('Données projet'!$B$11,Paramètres!$A$1:$I$89,3,0)*VLOOKUP('Données projet'!$B$11,Paramètres!$A$1:$I$89,5,0)</f>
        <v>-3.8278358260868117E-13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371.85813103419366</v>
      </c>
      <c r="BJ143" s="59">
        <f t="shared" si="146"/>
        <v>370.01698880104584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3.1467280348963662</v>
      </c>
      <c r="BQ143" s="21">
        <f>EXP(-LN(2)/25)*BQ142+(1-EXP(-LN(2)/25))/(LN(2)/25)*Calculateur!BL143*Calculateur!BN143*VLOOKUP('Données projet'!$B$11,Paramètres!$A$1:$I$89,3,0)*0.475*44/12</f>
        <v>2.1357709079087361</v>
      </c>
      <c r="BR143" s="21">
        <f>EXP(-LN(2)/2)*BR142+(1-EXP(-LN(2)/2))/(LN(2)/2)*BL143*BO143*VLOOKUP('Données projet'!$B$11,Paramètres!$A$1:$I$89,3,0)*0.475*44/12</f>
        <v>2.4553239257123451E-14</v>
      </c>
      <c r="BS143" s="22">
        <f t="shared" si="117"/>
        <v>5.2824989428051268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5.6843418860808015E-13</v>
      </c>
      <c r="BZ143" s="13">
        <f>BY143*VLOOKUP('Données projet'!$B$12,Paramètres!$A$1:$I$89,3,0)*VLOOKUP('Données projet'!$B$12,Paramètres!$A$1:$I$89,5,0)</f>
        <v>3.1036506698001181E-13</v>
      </c>
      <c r="CA143" s="13">
        <f t="shared" si="147"/>
        <v>4.086682523110923E-12</v>
      </c>
      <c r="CB143" s="20">
        <f t="shared" si="118"/>
        <v>7.6581912194083782E-12</v>
      </c>
      <c r="CC143" s="59">
        <f t="shared" si="119"/>
        <v>293.33333333334099</v>
      </c>
      <c r="CD143" s="59">
        <f ca="1">AVERAGE(OFFSET($CC$3,0,0,'Données projet'!$E$12+1,1))-AVERAGE(OFFSET($H$3,0,0,'Données projet'!$E$12+1,1))</f>
        <v>248.1486444660062</v>
      </c>
      <c r="CE143" s="59">
        <f t="shared" si="148"/>
        <v>293.34458072322127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0.96434858771735177</v>
      </c>
      <c r="CL143" s="21">
        <f>EXP(-LN(2)/25)*CL142+(1-EXP(-LN(2)/25))/(LN(2)/25)*Calculateur!CG143*Calculateur!CI143*VLOOKUP('Données projet'!$B$12,Paramètres!$A$1:$I$89,3,0)*0.475*44/12</f>
        <v>1.6122364374312357</v>
      </c>
      <c r="CM143" s="21">
        <f>EXP(-LN(2)/2)*CM142+(1-EXP(-LN(2)/2))/(LN(2)/2)*CG143*CJ143*VLOOKUP('Données projet'!$B$12,Paramètres!$A$1:$I$89,3,0)*0.475*44/12</f>
        <v>6.9895273221615853E-16</v>
      </c>
      <c r="CN143" s="22">
        <f t="shared" si="120"/>
        <v>2.5765850251485882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-2.2737367544323206E-13</v>
      </c>
      <c r="CU143" s="17">
        <f>CT143*VLOOKUP('Données projet'!$B$13,Paramètres!$A$1:$I$89,3,0)*VLOOKUP('Données projet'!$B$13,Paramètres!$A$1:$I$89,5,0)</f>
        <v>-1.8089849618263545E-13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314.94704727988847</v>
      </c>
      <c r="CZ143" s="59">
        <f t="shared" si="150"/>
        <v>366.49199094166454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0.44330514159864032</v>
      </c>
      <c r="DG143" s="21">
        <f>EXP(-LN(2)/25)*DG142+(1-EXP(-LN(2)/25))/(LN(2)/25)*Calculateur!DB143*Calculateur!DD143*VLOOKUP('Données projet'!$B$13,Paramètres!$A$1:$I$89,3,0)*0.475*44/12</f>
        <v>1.2034265138179141</v>
      </c>
      <c r="DH143" s="21">
        <f>EXP(-LN(2)/2)*DH142+(1-EXP(-LN(2)/2))/(LN(2)/2)*DB143*DE143*VLOOKUP('Données projet'!$B$13,Paramètres!$A$1:$I$89,3,0)*0.475*44/12</f>
        <v>8.0128227888262917E-16</v>
      </c>
      <c r="DI143" s="22">
        <f t="shared" si="123"/>
        <v>1.6467316554165552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-1.2505552149377763E-12</v>
      </c>
      <c r="O144" s="13">
        <f>N144*VLOOKUP('Données projet'!$B$9,Paramètres!$A$1:$I$89,3,0)*VLOOKUP('Données projet'!$B$9,Paramètres!$A$1:$I$89,5,0)</f>
        <v>-6.9906036515021697E-13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415.91544298418842</v>
      </c>
      <c r="T144" s="59">
        <f t="shared" si="142"/>
        <v>422.79312683312583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1.2675519159594817</v>
      </c>
      <c r="AA144" s="21">
        <f>EXP(-LN(2)/25)*AA143+(1-EXP(-LN(2)/25))/(LN(2)/25)*Calculateur!V144*Calculateur!X144*VLOOKUP('Données projet'!$B$9,Paramètres!$A$1:$I$89,3,0)*0.475*44/12</f>
        <v>1.7856814124463647</v>
      </c>
      <c r="AB144" s="21">
        <f>EXP(-LN(2)/2)*AB143+(1-EXP(-LN(2)/2))/(LN(2)/2)*V144*Y144*VLOOKUP('Données projet'!$B$9,Paramètres!$A$1:$I$89,3,0)*0.475*44/12</f>
        <v>7.1580301963091256E-16</v>
      </c>
      <c r="AC144" s="22">
        <f t="shared" si="111"/>
        <v>3.053233328405847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-6.7984728957526396E-14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311.06126148520821</v>
      </c>
      <c r="AO144" s="59">
        <f t="shared" si="144"/>
        <v>321.1728368524748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0.38830501611528262</v>
      </c>
      <c r="AV144" s="21">
        <f>EXP(-LN(2)/25)*AV143+(1-EXP(-LN(2)/25))/(LN(2)/25)*Calculateur!AQ144*Calculateur!AS144*VLOOKUP('Données projet'!$B$10,Paramètres!$A$1:$I$89,3,0)*0.475*44/12</f>
        <v>0.98314030083828952</v>
      </c>
      <c r="AW144" s="21">
        <f>EXP(-LN(2)/2)*AW143+(1-EXP(-LN(2)/2))/(LN(2)/2)*AQ144*AT144*VLOOKUP('Données projet'!$B$10,Paramètres!$A$1:$I$89,3,0)*0.475*44/12</f>
        <v>5.9473795460964663E-16</v>
      </c>
      <c r="AX144" s="21">
        <f t="shared" si="114"/>
        <v>1.3714453169535727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-7.9580786405131221E-13</v>
      </c>
      <c r="BE144" s="13">
        <f>BD144*VLOOKUP('Données projet'!$B$11,Paramètres!$A$1:$I$89,3,0)*VLOOKUP('Données projet'!$B$11,Paramètres!$A$1:$I$89,5,0)</f>
        <v>-3.8278358260868117E-13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371.85813103419366</v>
      </c>
      <c r="BJ144" s="59">
        <f t="shared" si="146"/>
        <v>370.01698880104584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3.0850226174466333</v>
      </c>
      <c r="BQ144" s="21">
        <f>EXP(-LN(2)/25)*BQ143+(1-EXP(-LN(2)/25))/(LN(2)/25)*Calculateur!BL144*Calculateur!BN144*VLOOKUP('Données projet'!$B$11,Paramètres!$A$1:$I$89,3,0)*0.475*44/12</f>
        <v>2.0773681401166613</v>
      </c>
      <c r="BR144" s="21">
        <f>EXP(-LN(2)/2)*BR143+(1-EXP(-LN(2)/2))/(LN(2)/2)*BL144*BO144*VLOOKUP('Données projet'!$B$11,Paramètres!$A$1:$I$89,3,0)*0.475*44/12</f>
        <v>1.736176197880774E-14</v>
      </c>
      <c r="BS144" s="22">
        <f t="shared" si="117"/>
        <v>5.1623907575633119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5.6843418860808015E-13</v>
      </c>
      <c r="BZ144" s="13">
        <f>BY144*VLOOKUP('Données projet'!$B$12,Paramètres!$A$1:$I$89,3,0)*VLOOKUP('Données projet'!$B$12,Paramètres!$A$1:$I$89,5,0)</f>
        <v>3.1036506698001181E-13</v>
      </c>
      <c r="CA144" s="13">
        <f t="shared" si="147"/>
        <v>4.086682523110923E-12</v>
      </c>
      <c r="CB144" s="20">
        <f t="shared" si="118"/>
        <v>7.6581912194083782E-12</v>
      </c>
      <c r="CC144" s="59">
        <f t="shared" si="119"/>
        <v>293.33333333334099</v>
      </c>
      <c r="CD144" s="59">
        <f ca="1">AVERAGE(OFFSET($CC$3,0,0,'Données projet'!$E$12+1,1))-AVERAGE(OFFSET($H$3,0,0,'Données projet'!$E$12+1,1))</f>
        <v>248.1486444660062</v>
      </c>
      <c r="CE144" s="59">
        <f t="shared" si="148"/>
        <v>293.34458072322127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0.94543830010677365</v>
      </c>
      <c r="CL144" s="21">
        <f>EXP(-LN(2)/25)*CL143+(1-EXP(-LN(2)/25))/(LN(2)/25)*Calculateur!CG144*Calculateur!CI144*VLOOKUP('Données projet'!$B$12,Paramètres!$A$1:$I$89,3,0)*0.475*44/12</f>
        <v>1.5681497472658492</v>
      </c>
      <c r="CM144" s="21">
        <f>EXP(-LN(2)/2)*CM143+(1-EXP(-LN(2)/2))/(LN(2)/2)*CG144*CJ144*VLOOKUP('Données projet'!$B$12,Paramètres!$A$1:$I$89,3,0)*0.475*44/12</f>
        <v>4.9423421667891075E-16</v>
      </c>
      <c r="CN144" s="22">
        <f t="shared" si="120"/>
        <v>2.5135880473726231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-2.2737367544323206E-13</v>
      </c>
      <c r="CU144" s="17">
        <f>CT144*VLOOKUP('Données projet'!$B$13,Paramètres!$A$1:$I$89,3,0)*VLOOKUP('Données projet'!$B$13,Paramètres!$A$1:$I$89,5,0)</f>
        <v>-1.8089849618263545E-13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314.94704727988847</v>
      </c>
      <c r="CZ144" s="59">
        <f t="shared" si="150"/>
        <v>366.49199094166454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0.43461219816132862</v>
      </c>
      <c r="DG144" s="21">
        <f>EXP(-LN(2)/25)*DG143+(1-EXP(-LN(2)/25))/(LN(2)/25)*Calculateur!DB144*Calculateur!DD144*VLOOKUP('Données projet'!$B$13,Paramètres!$A$1:$I$89,3,0)*0.475*44/12</f>
        <v>1.1705187525121132</v>
      </c>
      <c r="DH144" s="21">
        <f>EXP(-LN(2)/2)*DH143+(1-EXP(-LN(2)/2))/(LN(2)/2)*DB144*DE144*VLOOKUP('Données projet'!$B$13,Paramètres!$A$1:$I$89,3,0)*0.475*44/12</f>
        <v>5.6659213304251741E-16</v>
      </c>
      <c r="DI144" s="22">
        <f t="shared" si="123"/>
        <v>1.6051309506734426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-1.2505552149377763E-12</v>
      </c>
      <c r="O145" s="13">
        <f>N145*VLOOKUP('Données projet'!$B$9,Paramètres!$A$1:$I$89,3,0)*VLOOKUP('Données projet'!$B$9,Paramètres!$A$1:$I$89,5,0)</f>
        <v>-6.9906036515021697E-13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415.91544298418842</v>
      </c>
      <c r="T145" s="59">
        <f t="shared" si="142"/>
        <v>422.79312683312583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1.2426959960178448</v>
      </c>
      <c r="AA145" s="21">
        <f>EXP(-LN(2)/25)*AA144+(1-EXP(-LN(2)/25))/(LN(2)/25)*Calculateur!V145*Calculateur!X145*VLOOKUP('Données projet'!$B$9,Paramètres!$A$1:$I$89,3,0)*0.475*44/12</f>
        <v>1.7368518603181147</v>
      </c>
      <c r="AB145" s="21">
        <f>EXP(-LN(2)/2)*AB144+(1-EXP(-LN(2)/2))/(LN(2)/2)*V145*Y145*VLOOKUP('Données projet'!$B$9,Paramètres!$A$1:$I$89,3,0)*0.475*44/12</f>
        <v>5.0614916917482566E-16</v>
      </c>
      <c r="AC145" s="22">
        <f t="shared" si="111"/>
        <v>2.9795478563359601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-6.7984728957526396E-14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311.06126148520821</v>
      </c>
      <c r="AO145" s="59">
        <f t="shared" si="144"/>
        <v>321.1728368524748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0.38069059159193547</v>
      </c>
      <c r="AV145" s="21">
        <f>EXP(-LN(2)/25)*AV144+(1-EXP(-LN(2)/25))/(LN(2)/25)*Calculateur!AQ145*Calculateur!AS145*VLOOKUP('Données projet'!$B$10,Paramètres!$A$1:$I$89,3,0)*0.475*44/12</f>
        <v>0.95625627761076504</v>
      </c>
      <c r="AW145" s="21">
        <f>EXP(-LN(2)/2)*AW144+(1-EXP(-LN(2)/2))/(LN(2)/2)*AQ145*AT145*VLOOKUP('Données projet'!$B$10,Paramètres!$A$1:$I$89,3,0)*0.475*44/12</f>
        <v>4.2054324073349824E-16</v>
      </c>
      <c r="AX145" s="21">
        <f t="shared" si="114"/>
        <v>1.3369468692027009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-7.9580786405131221E-13</v>
      </c>
      <c r="BE145" s="13">
        <f>BD145*VLOOKUP('Données projet'!$B$11,Paramètres!$A$1:$I$89,3,0)*VLOOKUP('Données projet'!$B$11,Paramètres!$A$1:$I$89,5,0)</f>
        <v>-3.8278358260868117E-13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371.85813103419366</v>
      </c>
      <c r="BJ145" s="59">
        <f t="shared" si="146"/>
        <v>370.01698880104584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3.0245272055965011</v>
      </c>
      <c r="BQ145" s="21">
        <f>EXP(-LN(2)/25)*BQ144+(1-EXP(-LN(2)/25))/(LN(2)/25)*Calculateur!BL145*Calculateur!BN145*VLOOKUP('Données projet'!$B$11,Paramètres!$A$1:$I$89,3,0)*0.475*44/12</f>
        <v>2.0205623990811286</v>
      </c>
      <c r="BR145" s="21">
        <f>EXP(-LN(2)/2)*BR144+(1-EXP(-LN(2)/2))/(LN(2)/2)*BL145*BO145*VLOOKUP('Données projet'!$B$11,Paramètres!$A$1:$I$89,3,0)*0.475*44/12</f>
        <v>1.2276619628561725E-14</v>
      </c>
      <c r="BS145" s="22">
        <f t="shared" si="117"/>
        <v>5.0450896046776421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5.6843418860808015E-13</v>
      </c>
      <c r="BZ145" s="13">
        <f>BY145*VLOOKUP('Données projet'!$B$12,Paramètres!$A$1:$I$89,3,0)*VLOOKUP('Données projet'!$B$12,Paramètres!$A$1:$I$89,5,0)</f>
        <v>3.1036506698001181E-13</v>
      </c>
      <c r="CA145" s="13">
        <f t="shared" si="147"/>
        <v>4.086682523110923E-12</v>
      </c>
      <c r="CB145" s="20">
        <f t="shared" si="118"/>
        <v>7.6581912194083782E-12</v>
      </c>
      <c r="CC145" s="59">
        <f t="shared" si="119"/>
        <v>293.33333333334099</v>
      </c>
      <c r="CD145" s="59">
        <f ca="1">AVERAGE(OFFSET($CC$3,0,0,'Données projet'!$E$12+1,1))-AVERAGE(OFFSET($H$3,0,0,'Données projet'!$E$12+1,1))</f>
        <v>248.1486444660062</v>
      </c>
      <c r="CE145" s="59">
        <f t="shared" si="148"/>
        <v>293.34458072322127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0.92689883170210241</v>
      </c>
      <c r="CL145" s="21">
        <f>EXP(-LN(2)/25)*CL144+(1-EXP(-LN(2)/25))/(LN(2)/25)*Calculateur!CG145*Calculateur!CI145*VLOOKUP('Données projet'!$B$12,Paramètres!$A$1:$I$89,3,0)*0.475*44/12</f>
        <v>1.5252686099614534</v>
      </c>
      <c r="CM145" s="21">
        <f>EXP(-LN(2)/2)*CM144+(1-EXP(-LN(2)/2))/(LN(2)/2)*CG145*CJ145*VLOOKUP('Données projet'!$B$12,Paramètres!$A$1:$I$89,3,0)*0.475*44/12</f>
        <v>3.4947636610807926E-16</v>
      </c>
      <c r="CN145" s="22">
        <f t="shared" si="120"/>
        <v>2.4521674416635562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-2.2737367544323206E-13</v>
      </c>
      <c r="CU145" s="17">
        <f>CT145*VLOOKUP('Données projet'!$B$13,Paramètres!$A$1:$I$89,3,0)*VLOOKUP('Données projet'!$B$13,Paramètres!$A$1:$I$89,5,0)</f>
        <v>-1.8089849618263545E-13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314.94704727988847</v>
      </c>
      <c r="CZ145" s="59">
        <f t="shared" si="150"/>
        <v>366.49199094166454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0.42608971804265067</v>
      </c>
      <c r="DG145" s="21">
        <f>EXP(-LN(2)/25)*DG144+(1-EXP(-LN(2)/25))/(LN(2)/25)*Calculateur!DB145*Calculateur!DD145*VLOOKUP('Données projet'!$B$13,Paramètres!$A$1:$I$89,3,0)*0.475*44/12</f>
        <v>1.1385108556697636</v>
      </c>
      <c r="DH145" s="21">
        <f>EXP(-LN(2)/2)*DH144+(1-EXP(-LN(2)/2))/(LN(2)/2)*DB145*DE145*VLOOKUP('Données projet'!$B$13,Paramètres!$A$1:$I$89,3,0)*0.475*44/12</f>
        <v>4.0064113944131459E-16</v>
      </c>
      <c r="DI145" s="22">
        <f t="shared" si="123"/>
        <v>1.5646005737124147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-1.2505552149377763E-12</v>
      </c>
      <c r="O146" s="13">
        <f>N146*VLOOKUP('Données projet'!$B$9,Paramètres!$A$1:$I$89,3,0)*VLOOKUP('Données projet'!$B$9,Paramètres!$A$1:$I$89,5,0)</f>
        <v>-6.9906036515021697E-13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415.91544298418842</v>
      </c>
      <c r="T146" s="59">
        <f t="shared" si="142"/>
        <v>422.79312683312583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1.2183274855056492</v>
      </c>
      <c r="AA146" s="21">
        <f>EXP(-LN(2)/25)*AA145+(1-EXP(-LN(2)/25))/(LN(2)/25)*Calculateur!V146*Calculateur!X146*VLOOKUP('Données projet'!$B$9,Paramètres!$A$1:$I$89,3,0)*0.475*44/12</f>
        <v>1.6893575548606461</v>
      </c>
      <c r="AB146" s="21">
        <f>EXP(-LN(2)/2)*AB145+(1-EXP(-LN(2)/2))/(LN(2)/2)*V146*Y146*VLOOKUP('Données projet'!$B$9,Paramètres!$A$1:$I$89,3,0)*0.475*44/12</f>
        <v>3.5790150981545628E-16</v>
      </c>
      <c r="AC146" s="22">
        <f t="shared" si="111"/>
        <v>2.9076850403662955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-6.7984728957526396E-14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311.06126148520821</v>
      </c>
      <c r="AO146" s="59">
        <f t="shared" si="144"/>
        <v>321.1728368524748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0.37322548128915078</v>
      </c>
      <c r="AV146" s="21">
        <f>EXP(-LN(2)/25)*AV145+(1-EXP(-LN(2)/25))/(LN(2)/25)*Calculateur!AQ146*Calculateur!AS146*VLOOKUP('Données projet'!$B$10,Paramètres!$A$1:$I$89,3,0)*0.475*44/12</f>
        <v>0.93010739941216658</v>
      </c>
      <c r="AW146" s="21">
        <f>EXP(-LN(2)/2)*AW145+(1-EXP(-LN(2)/2))/(LN(2)/2)*AQ146*AT146*VLOOKUP('Données projet'!$B$10,Paramètres!$A$1:$I$89,3,0)*0.475*44/12</f>
        <v>2.9736897730482331E-16</v>
      </c>
      <c r="AX146" s="21">
        <f t="shared" si="114"/>
        <v>1.3033328807013176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-7.9580786405131221E-13</v>
      </c>
      <c r="BE146" s="13">
        <f>BD146*VLOOKUP('Données projet'!$B$11,Paramètres!$A$1:$I$89,3,0)*VLOOKUP('Données projet'!$B$11,Paramètres!$A$1:$I$89,5,0)</f>
        <v>-3.8278358260868117E-13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371.85813103419366</v>
      </c>
      <c r="BJ146" s="59">
        <f t="shared" si="146"/>
        <v>370.01698880104584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2.9652180718741925</v>
      </c>
      <c r="BQ146" s="21">
        <f>EXP(-LN(2)/25)*BQ145+(1-EXP(-LN(2)/25))/(LN(2)/25)*Calculateur!BL146*Calculateur!BN146*VLOOKUP('Données projet'!$B$11,Paramètres!$A$1:$I$89,3,0)*0.475*44/12</f>
        <v>1.9653100140214965</v>
      </c>
      <c r="BR146" s="21">
        <f>EXP(-LN(2)/2)*BR145+(1-EXP(-LN(2)/2))/(LN(2)/2)*BL146*BO146*VLOOKUP('Données projet'!$B$11,Paramètres!$A$1:$I$89,3,0)*0.475*44/12</f>
        <v>8.6808809894038702E-15</v>
      </c>
      <c r="BS146" s="22">
        <f t="shared" si="117"/>
        <v>4.9305280858956984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5.6843418860808015E-13</v>
      </c>
      <c r="BZ146" s="13">
        <f>BY146*VLOOKUP('Données projet'!$B$12,Paramètres!$A$1:$I$89,3,0)*VLOOKUP('Données projet'!$B$12,Paramètres!$A$1:$I$89,5,0)</f>
        <v>3.1036506698001181E-13</v>
      </c>
      <c r="CA146" s="13">
        <f t="shared" si="147"/>
        <v>4.086682523110923E-12</v>
      </c>
      <c r="CB146" s="20">
        <f t="shared" si="118"/>
        <v>7.6581912194083782E-12</v>
      </c>
      <c r="CC146" s="59">
        <f t="shared" si="119"/>
        <v>293.33333333334099</v>
      </c>
      <c r="CD146" s="59">
        <f ca="1">AVERAGE(OFFSET($CC$3,0,0,'Données projet'!$E$12+1,1))-AVERAGE(OFFSET($H$3,0,0,'Données projet'!$E$12+1,1))</f>
        <v>248.1486444660062</v>
      </c>
      <c r="CE146" s="59">
        <f t="shared" si="148"/>
        <v>293.34458072322127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0.90872291096488755</v>
      </c>
      <c r="CL146" s="21">
        <f>EXP(-LN(2)/25)*CL145+(1-EXP(-LN(2)/25))/(LN(2)/25)*Calculateur!CG146*Calculateur!CI146*VLOOKUP('Données projet'!$B$12,Paramètres!$A$1:$I$89,3,0)*0.475*44/12</f>
        <v>1.4835600596116674</v>
      </c>
      <c r="CM146" s="21">
        <f>EXP(-LN(2)/2)*CM145+(1-EXP(-LN(2)/2))/(LN(2)/2)*CG146*CJ146*VLOOKUP('Données projet'!$B$12,Paramètres!$A$1:$I$89,3,0)*0.475*44/12</f>
        <v>2.4711710833945538E-16</v>
      </c>
      <c r="CN146" s="22">
        <f t="shared" si="120"/>
        <v>2.3922829705765554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-2.2737367544323206E-13</v>
      </c>
      <c r="CU146" s="17">
        <f>CT146*VLOOKUP('Données projet'!$B$13,Paramètres!$A$1:$I$89,3,0)*VLOOKUP('Données projet'!$B$13,Paramètres!$A$1:$I$89,5,0)</f>
        <v>-1.8089849618263545E-13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314.94704727988847</v>
      </c>
      <c r="CZ146" s="59">
        <f t="shared" si="150"/>
        <v>366.49199094166454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0.41773435856090035</v>
      </c>
      <c r="DG146" s="21">
        <f>EXP(-LN(2)/25)*DG145+(1-EXP(-LN(2)/25))/(LN(2)/25)*Calculateur!DB146*Calculateur!DD146*VLOOKUP('Données projet'!$B$13,Paramètres!$A$1:$I$89,3,0)*0.475*44/12</f>
        <v>1.1073782164497901</v>
      </c>
      <c r="DH146" s="21">
        <f>EXP(-LN(2)/2)*DH145+(1-EXP(-LN(2)/2))/(LN(2)/2)*DB146*DE146*VLOOKUP('Données projet'!$B$13,Paramètres!$A$1:$I$89,3,0)*0.475*44/12</f>
        <v>2.832960665212587E-16</v>
      </c>
      <c r="DI146" s="22">
        <f t="shared" si="123"/>
        <v>1.5251125750106906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-1.2505552149377763E-12</v>
      </c>
      <c r="O147" s="13">
        <f>N147*VLOOKUP('Données projet'!$B$9,Paramètres!$A$1:$I$89,3,0)*VLOOKUP('Données projet'!$B$9,Paramètres!$A$1:$I$89,5,0)</f>
        <v>-6.9906036515021697E-13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415.91544298418842</v>
      </c>
      <c r="T147" s="59">
        <f t="shared" si="142"/>
        <v>422.79312683312583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1.1944368266212739</v>
      </c>
      <c r="AA147" s="21">
        <f>EXP(-LN(2)/25)*AA146+(1-EXP(-LN(2)/25))/(LN(2)/25)*Calculateur!V147*Calculateur!X147*VLOOKUP('Données projet'!$B$9,Paramètres!$A$1:$I$89,3,0)*0.475*44/12</f>
        <v>1.6431619836835289</v>
      </c>
      <c r="AB147" s="21">
        <f>EXP(-LN(2)/2)*AB146+(1-EXP(-LN(2)/2))/(LN(2)/2)*V147*Y147*VLOOKUP('Données projet'!$B$9,Paramètres!$A$1:$I$89,3,0)*0.475*44/12</f>
        <v>2.5307458458741283E-16</v>
      </c>
      <c r="AC147" s="22">
        <f t="shared" si="111"/>
        <v>2.8375988103048031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-6.7984728957526396E-14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311.06126148520821</v>
      </c>
      <c r="AO147" s="59">
        <f t="shared" si="144"/>
        <v>321.1728368524748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0.36590675724613603</v>
      </c>
      <c r="AV147" s="21">
        <f>EXP(-LN(2)/25)*AV146+(1-EXP(-LN(2)/25))/(LN(2)/25)*Calculateur!AQ147*Calculateur!AS147*VLOOKUP('Données projet'!$B$10,Paramètres!$A$1:$I$89,3,0)*0.475*44/12</f>
        <v>0.90467356366301854</v>
      </c>
      <c r="AW147" s="21">
        <f>EXP(-LN(2)/2)*AW146+(1-EXP(-LN(2)/2))/(LN(2)/2)*AQ147*AT147*VLOOKUP('Données projet'!$B$10,Paramètres!$A$1:$I$89,3,0)*0.475*44/12</f>
        <v>2.1027162036674912E-16</v>
      </c>
      <c r="AX147" s="21">
        <f t="shared" si="114"/>
        <v>1.2705803209091548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-7.9580786405131221E-13</v>
      </c>
      <c r="BE147" s="13">
        <f>BD147*VLOOKUP('Données projet'!$B$11,Paramètres!$A$1:$I$89,3,0)*VLOOKUP('Données projet'!$B$11,Paramètres!$A$1:$I$89,5,0)</f>
        <v>-3.8278358260868117E-13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371.85813103419366</v>
      </c>
      <c r="BJ147" s="59">
        <f t="shared" si="146"/>
        <v>370.01698880104584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2.9070719540891785</v>
      </c>
      <c r="BQ147" s="21">
        <f>EXP(-LN(2)/25)*BQ146+(1-EXP(-LN(2)/25))/(LN(2)/25)*Calculateur!BL147*Calculateur!BN147*VLOOKUP('Données projet'!$B$11,Paramètres!$A$1:$I$89,3,0)*0.475*44/12</f>
        <v>1.9115685083369169</v>
      </c>
      <c r="BR147" s="21">
        <f>EXP(-LN(2)/2)*BR146+(1-EXP(-LN(2)/2))/(LN(2)/2)*BL147*BO147*VLOOKUP('Données projet'!$B$11,Paramètres!$A$1:$I$89,3,0)*0.475*44/12</f>
        <v>6.1383098142808627E-15</v>
      </c>
      <c r="BS147" s="22">
        <f t="shared" si="117"/>
        <v>4.8186404624261021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5.6843418860808015E-13</v>
      </c>
      <c r="BZ147" s="13">
        <f>BY147*VLOOKUP('Données projet'!$B$12,Paramètres!$A$1:$I$89,3,0)*VLOOKUP('Données projet'!$B$12,Paramètres!$A$1:$I$89,5,0)</f>
        <v>3.1036506698001181E-13</v>
      </c>
      <c r="CA147" s="13">
        <f t="shared" si="147"/>
        <v>4.086682523110923E-12</v>
      </c>
      <c r="CB147" s="20">
        <f t="shared" si="118"/>
        <v>7.6581912194083782E-12</v>
      </c>
      <c r="CC147" s="59">
        <f t="shared" si="119"/>
        <v>293.33333333334099</v>
      </c>
      <c r="CD147" s="59">
        <f ca="1">AVERAGE(OFFSET($CC$3,0,0,'Données projet'!$E$12+1,1))-AVERAGE(OFFSET($H$3,0,0,'Données projet'!$E$12+1,1))</f>
        <v>248.1486444660062</v>
      </c>
      <c r="CE147" s="59">
        <f t="shared" si="148"/>
        <v>293.34458072322127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0.89090340894711251</v>
      </c>
      <c r="CL147" s="21">
        <f>EXP(-LN(2)/25)*CL146+(1-EXP(-LN(2)/25))/(LN(2)/25)*Calculateur!CG147*Calculateur!CI147*VLOOKUP('Données projet'!$B$12,Paramètres!$A$1:$I$89,3,0)*0.475*44/12</f>
        <v>1.4429920317645535</v>
      </c>
      <c r="CM147" s="21">
        <f>EXP(-LN(2)/2)*CM146+(1-EXP(-LN(2)/2))/(LN(2)/2)*CG147*CJ147*VLOOKUP('Données projet'!$B$12,Paramètres!$A$1:$I$89,3,0)*0.475*44/12</f>
        <v>1.7473818305403963E-16</v>
      </c>
      <c r="CN147" s="22">
        <f t="shared" si="120"/>
        <v>2.3338954407116659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-2.2737367544323206E-13</v>
      </c>
      <c r="CU147" s="17">
        <f>CT147*VLOOKUP('Données projet'!$B$13,Paramètres!$A$1:$I$89,3,0)*VLOOKUP('Données projet'!$B$13,Paramètres!$A$1:$I$89,5,0)</f>
        <v>-1.8089849618263545E-13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314.94704727988847</v>
      </c>
      <c r="CZ147" s="59">
        <f t="shared" si="150"/>
        <v>366.49199094166454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0.4095428425823211</v>
      </c>
      <c r="DG147" s="21">
        <f>EXP(-LN(2)/25)*DG146+(1-EXP(-LN(2)/25))/(LN(2)/25)*Calculateur!DB147*Calculateur!DD147*VLOOKUP('Données projet'!$B$13,Paramètres!$A$1:$I$89,3,0)*0.475*44/12</f>
        <v>1.077096900886481</v>
      </c>
      <c r="DH147" s="21">
        <f>EXP(-LN(2)/2)*DH146+(1-EXP(-LN(2)/2))/(LN(2)/2)*DB147*DE147*VLOOKUP('Données projet'!$B$13,Paramètres!$A$1:$I$89,3,0)*0.475*44/12</f>
        <v>2.0032056972065729E-16</v>
      </c>
      <c r="DI147" s="22">
        <f t="shared" si="123"/>
        <v>1.4866397434688023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-1.2505552149377763E-12</v>
      </c>
      <c r="O148" s="13">
        <f>N148*VLOOKUP('Données projet'!$B$9,Paramètres!$A$1:$I$89,3,0)*VLOOKUP('Données projet'!$B$9,Paramètres!$A$1:$I$89,5,0)</f>
        <v>-6.9906036515021697E-13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415.91544298418842</v>
      </c>
      <c r="T148" s="59">
        <f t="shared" si="142"/>
        <v>422.79312683312583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1.1710146489857582</v>
      </c>
      <c r="AA148" s="21">
        <f>EXP(-LN(2)/25)*AA147+(1-EXP(-LN(2)/25))/(LN(2)/25)*Calculateur!V148*Calculateur!X148*VLOOKUP('Données projet'!$B$9,Paramètres!$A$1:$I$89,3,0)*0.475*44/12</f>
        <v>1.5982296328295695</v>
      </c>
      <c r="AB148" s="21">
        <f>EXP(-LN(2)/2)*AB147+(1-EXP(-LN(2)/2))/(LN(2)/2)*V148*Y148*VLOOKUP('Données projet'!$B$9,Paramètres!$A$1:$I$89,3,0)*0.475*44/12</f>
        <v>1.7895075490772814E-16</v>
      </c>
      <c r="AC148" s="22">
        <f t="shared" si="111"/>
        <v>2.769244281815328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-6.7984728957526396E-14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311.06126148520821</v>
      </c>
      <c r="AO148" s="59">
        <f t="shared" si="144"/>
        <v>321.1728368524748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0.35873154891762393</v>
      </c>
      <c r="AV148" s="21">
        <f>EXP(-LN(2)/25)*AV147+(1-EXP(-LN(2)/25))/(LN(2)/25)*Calculateur!AQ148*Calculateur!AS148*VLOOKUP('Données projet'!$B$10,Paramètres!$A$1:$I$89,3,0)*0.475*44/12</f>
        <v>0.87993521748993819</v>
      </c>
      <c r="AW148" s="21">
        <f>EXP(-LN(2)/2)*AW147+(1-EXP(-LN(2)/2))/(LN(2)/2)*AQ148*AT148*VLOOKUP('Données projet'!$B$10,Paramètres!$A$1:$I$89,3,0)*0.475*44/12</f>
        <v>1.4868448865241166E-16</v>
      </c>
      <c r="AX148" s="21">
        <f t="shared" si="114"/>
        <v>1.2386667664075623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-7.9580786405131221E-13</v>
      </c>
      <c r="BE148" s="13">
        <f>BD148*VLOOKUP('Données projet'!$B$11,Paramètres!$A$1:$I$89,3,0)*VLOOKUP('Données projet'!$B$11,Paramètres!$A$1:$I$89,5,0)</f>
        <v>-3.8278358260868117E-13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371.85813103419366</v>
      </c>
      <c r="BJ148" s="59">
        <f t="shared" si="146"/>
        <v>370.01698880104584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2.850066046208299</v>
      </c>
      <c r="BQ148" s="21">
        <f>EXP(-LN(2)/25)*BQ147+(1-EXP(-LN(2)/25))/(LN(2)/25)*Calculateur!BL148*Calculateur!BN148*VLOOKUP('Données projet'!$B$11,Paramètres!$A$1:$I$89,3,0)*0.475*44/12</f>
        <v>1.859296566951425</v>
      </c>
      <c r="BR148" s="21">
        <f>EXP(-LN(2)/2)*BR147+(1-EXP(-LN(2)/2))/(LN(2)/2)*BL148*BO148*VLOOKUP('Données projet'!$B$11,Paramètres!$A$1:$I$89,3,0)*0.475*44/12</f>
        <v>4.3404404947019351E-15</v>
      </c>
      <c r="BS148" s="22">
        <f t="shared" si="117"/>
        <v>4.7093626131597288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5.6843418860808015E-13</v>
      </c>
      <c r="BZ148" s="13">
        <f>BY148*VLOOKUP('Données projet'!$B$12,Paramètres!$A$1:$I$89,3,0)*VLOOKUP('Données projet'!$B$12,Paramètres!$A$1:$I$89,5,0)</f>
        <v>3.1036506698001181E-13</v>
      </c>
      <c r="CA148" s="13">
        <f t="shared" si="147"/>
        <v>4.086682523110923E-12</v>
      </c>
      <c r="CB148" s="20">
        <f t="shared" si="118"/>
        <v>7.6581912194083782E-12</v>
      </c>
      <c r="CC148" s="59">
        <f t="shared" si="119"/>
        <v>293.33333333334099</v>
      </c>
      <c r="CD148" s="59">
        <f ca="1">AVERAGE(OFFSET($CC$3,0,0,'Données projet'!$E$12+1,1))-AVERAGE(OFFSET($H$3,0,0,'Données projet'!$E$12+1,1))</f>
        <v>248.1486444660062</v>
      </c>
      <c r="CE148" s="59">
        <f t="shared" si="148"/>
        <v>293.34458072322127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0.87343333649508303</v>
      </c>
      <c r="CL148" s="21">
        <f>EXP(-LN(2)/25)*CL147+(1-EXP(-LN(2)/25))/(LN(2)/25)*Calculateur!CG148*Calculateur!CI148*VLOOKUP('Données projet'!$B$12,Paramètres!$A$1:$I$89,3,0)*0.475*44/12</f>
        <v>1.4035333387722988</v>
      </c>
      <c r="CM148" s="21">
        <f>EXP(-LN(2)/2)*CM147+(1-EXP(-LN(2)/2))/(LN(2)/2)*CG148*CJ148*VLOOKUP('Données projet'!$B$12,Paramètres!$A$1:$I$89,3,0)*0.475*44/12</f>
        <v>1.2355855416972769E-16</v>
      </c>
      <c r="CN148" s="22">
        <f t="shared" si="120"/>
        <v>2.2769666752673818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-2.2737367544323206E-13</v>
      </c>
      <c r="CU148" s="17">
        <f>CT148*VLOOKUP('Données projet'!$B$13,Paramètres!$A$1:$I$89,3,0)*VLOOKUP('Données projet'!$B$13,Paramètres!$A$1:$I$89,5,0)</f>
        <v>-1.8089849618263545E-13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314.94704727988847</v>
      </c>
      <c r="CZ148" s="59">
        <f t="shared" si="150"/>
        <v>366.49199094166454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0.40151195723575039</v>
      </c>
      <c r="DG148" s="21">
        <f>EXP(-LN(2)/25)*DG147+(1-EXP(-LN(2)/25))/(LN(2)/25)*Calculateur!DB148*Calculateur!DD148*VLOOKUP('Données projet'!$B$13,Paramètres!$A$1:$I$89,3,0)*0.475*44/12</f>
        <v>1.0476436294896758</v>
      </c>
      <c r="DH148" s="21">
        <f>EXP(-LN(2)/2)*DH147+(1-EXP(-LN(2)/2))/(LN(2)/2)*DB148*DE148*VLOOKUP('Données projet'!$B$13,Paramètres!$A$1:$I$89,3,0)*0.475*44/12</f>
        <v>1.4164803326062935E-16</v>
      </c>
      <c r="DI148" s="22">
        <f t="shared" si="123"/>
        <v>1.4491555867254264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-1.2505552149377763E-12</v>
      </c>
      <c r="O149" s="13">
        <f>N149*VLOOKUP('Données projet'!$B$9,Paramètres!$A$1:$I$89,3,0)*VLOOKUP('Données projet'!$B$9,Paramètres!$A$1:$I$89,5,0)</f>
        <v>-6.9906036515021697E-13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415.91544298418842</v>
      </c>
      <c r="T149" s="59">
        <f t="shared" si="142"/>
        <v>422.79312683312583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1.1480517659675573</v>
      </c>
      <c r="AA149" s="21">
        <f>EXP(-LN(2)/25)*AA148+(1-EXP(-LN(2)/25))/(LN(2)/25)*Calculateur!V149*Calculateur!X149*VLOOKUP('Données projet'!$B$9,Paramètres!$A$1:$I$89,3,0)*0.475*44/12</f>
        <v>1.5545259594726013</v>
      </c>
      <c r="AB149" s="21">
        <f>EXP(-LN(2)/2)*AB148+(1-EXP(-LN(2)/2))/(LN(2)/2)*V149*Y149*VLOOKUP('Données projet'!$B$9,Paramètres!$A$1:$I$89,3,0)*0.475*44/12</f>
        <v>1.2653729229370642E-16</v>
      </c>
      <c r="AC149" s="22">
        <f t="shared" si="111"/>
        <v>2.7025777254401584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-6.7984728957526396E-14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311.06126148520821</v>
      </c>
      <c r="AO149" s="59">
        <f t="shared" si="144"/>
        <v>321.1728368524748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0.35169704204798902</v>
      </c>
      <c r="AV149" s="21">
        <f>EXP(-LN(2)/25)*AV148+(1-EXP(-LN(2)/25))/(LN(2)/25)*Calculateur!AQ149*Calculateur!AS149*VLOOKUP('Données projet'!$B$10,Paramètres!$A$1:$I$89,3,0)*0.475*44/12</f>
        <v>0.85587334269389381</v>
      </c>
      <c r="AW149" s="21">
        <f>EXP(-LN(2)/2)*AW148+(1-EXP(-LN(2)/2))/(LN(2)/2)*AQ149*AT149*VLOOKUP('Données projet'!$B$10,Paramètres!$A$1:$I$89,3,0)*0.475*44/12</f>
        <v>1.0513581018337456E-16</v>
      </c>
      <c r="AX149" s="21">
        <f t="shared" si="114"/>
        <v>1.2075703847418828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-7.9580786405131221E-13</v>
      </c>
      <c r="BE149" s="13">
        <f>BD149*VLOOKUP('Données projet'!$B$11,Paramètres!$A$1:$I$89,3,0)*VLOOKUP('Données projet'!$B$11,Paramètres!$A$1:$I$89,5,0)</f>
        <v>-3.8278358260868117E-13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371.85813103419366</v>
      </c>
      <c r="BJ149" s="59">
        <f t="shared" si="146"/>
        <v>370.01698880104584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2.7941779894107928</v>
      </c>
      <c r="BQ149" s="21">
        <f>EXP(-LN(2)/25)*BQ148+(1-EXP(-LN(2)/25))/(LN(2)/25)*Calculateur!BL149*Calculateur!BN149*VLOOKUP('Données projet'!$B$11,Paramètres!$A$1:$I$89,3,0)*0.475*44/12</f>
        <v>1.8084540045519812</v>
      </c>
      <c r="BR149" s="21">
        <f>EXP(-LN(2)/2)*BR148+(1-EXP(-LN(2)/2))/(LN(2)/2)*BL149*BO149*VLOOKUP('Données projet'!$B$11,Paramètres!$A$1:$I$89,3,0)*0.475*44/12</f>
        <v>3.0691549071404314E-15</v>
      </c>
      <c r="BS149" s="22">
        <f t="shared" si="117"/>
        <v>4.6026319939627767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5.6843418860808015E-13</v>
      </c>
      <c r="BZ149" s="13">
        <f>BY149*VLOOKUP('Données projet'!$B$12,Paramètres!$A$1:$I$89,3,0)*VLOOKUP('Données projet'!$B$12,Paramètres!$A$1:$I$89,5,0)</f>
        <v>3.1036506698001181E-13</v>
      </c>
      <c r="CA149" s="13">
        <f t="shared" si="147"/>
        <v>4.086682523110923E-12</v>
      </c>
      <c r="CB149" s="20">
        <f t="shared" si="118"/>
        <v>7.6581912194083782E-12</v>
      </c>
      <c r="CC149" s="59">
        <f t="shared" si="119"/>
        <v>293.33333333334099</v>
      </c>
      <c r="CD149" s="59">
        <f ca="1">AVERAGE(OFFSET($CC$3,0,0,'Données projet'!$E$12+1,1))-AVERAGE(OFFSET($H$3,0,0,'Données projet'!$E$12+1,1))</f>
        <v>248.1486444660062</v>
      </c>
      <c r="CE149" s="59">
        <f t="shared" si="148"/>
        <v>293.34458072322127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0.85630584150814582</v>
      </c>
      <c r="CL149" s="21">
        <f>EXP(-LN(2)/25)*CL148+(1-EXP(-LN(2)/25))/(LN(2)/25)*Calculateur!CG149*Calculateur!CI149*VLOOKUP('Données projet'!$B$12,Paramètres!$A$1:$I$89,3,0)*0.475*44/12</f>
        <v>1.3651536458149598</v>
      </c>
      <c r="CM149" s="21">
        <f>EXP(-LN(2)/2)*CM148+(1-EXP(-LN(2)/2))/(LN(2)/2)*CG149*CJ149*VLOOKUP('Données projet'!$B$12,Paramètres!$A$1:$I$89,3,0)*0.475*44/12</f>
        <v>8.7369091527019816E-17</v>
      </c>
      <c r="CN149" s="22">
        <f t="shared" si="120"/>
        <v>2.2214594873231057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-2.2737367544323206E-13</v>
      </c>
      <c r="CU149" s="17">
        <f>CT149*VLOOKUP('Données projet'!$B$13,Paramètres!$A$1:$I$89,3,0)*VLOOKUP('Données projet'!$B$13,Paramètres!$A$1:$I$89,5,0)</f>
        <v>-1.8089849618263545E-13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314.94704727988847</v>
      </c>
      <c r="CZ149" s="59">
        <f t="shared" si="150"/>
        <v>366.49199094166454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0.39363855265246955</v>
      </c>
      <c r="DG149" s="21">
        <f>EXP(-LN(2)/25)*DG148+(1-EXP(-LN(2)/25))/(LN(2)/25)*Calculateur!DB149*Calculateur!DD149*VLOOKUP('Données projet'!$B$13,Paramètres!$A$1:$I$89,3,0)*0.475*44/12</f>
        <v>1.0189957593480965</v>
      </c>
      <c r="DH149" s="21">
        <f>EXP(-LN(2)/2)*DH148+(1-EXP(-LN(2)/2))/(LN(2)/2)*DB149*DE149*VLOOKUP('Données projet'!$B$13,Paramètres!$A$1:$I$89,3,0)*0.475*44/12</f>
        <v>1.0016028486032865E-16</v>
      </c>
      <c r="DI149" s="22">
        <f t="shared" si="123"/>
        <v>1.412634312000566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-1.2505552149377763E-12</v>
      </c>
      <c r="O150" s="13">
        <f>N150*VLOOKUP('Données projet'!$B$9,Paramètres!$A$1:$I$89,3,0)*VLOOKUP('Données projet'!$B$9,Paramètres!$A$1:$I$89,5,0)</f>
        <v>-6.9906036515021697E-13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415.91544298418842</v>
      </c>
      <c r="T150" s="59">
        <f t="shared" si="142"/>
        <v>422.79312683312583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1.1255391710793676</v>
      </c>
      <c r="AA150" s="21">
        <f>EXP(-LN(2)/25)*AA149+(1-EXP(-LN(2)/25))/(LN(2)/25)*Calculateur!V150*Calculateur!X150*VLOOKUP('Données projet'!$B$9,Paramètres!$A$1:$I$89,3,0)*0.475*44/12</f>
        <v>1.5120173653618558</v>
      </c>
      <c r="AB150" s="21">
        <f>EXP(-LN(2)/2)*AB149+(1-EXP(-LN(2)/2))/(LN(2)/2)*V150*Y150*VLOOKUP('Données projet'!$B$9,Paramètres!$A$1:$I$89,3,0)*0.475*44/12</f>
        <v>8.947537745386407E-17</v>
      </c>
      <c r="AC150" s="22">
        <f t="shared" si="111"/>
        <v>2.6375565364412235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-6.7984728957526396E-14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311.06126148520821</v>
      </c>
      <c r="AO150" s="59">
        <f t="shared" si="144"/>
        <v>321.1728368524748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0.34480047756744209</v>
      </c>
      <c r="AV150" s="21">
        <f>EXP(-LN(2)/25)*AV149+(1-EXP(-LN(2)/25))/(LN(2)/25)*Calculateur!AQ150*Calculateur!AS150*VLOOKUP('Données projet'!$B$10,Paramètres!$A$1:$I$89,3,0)*0.475*44/12</f>
        <v>0.83246944112950627</v>
      </c>
      <c r="AW150" s="21">
        <f>EXP(-LN(2)/2)*AW149+(1-EXP(-LN(2)/2))/(LN(2)/2)*AQ150*AT150*VLOOKUP('Données projet'!$B$10,Paramètres!$A$1:$I$89,3,0)*0.475*44/12</f>
        <v>7.4342244326205828E-17</v>
      </c>
      <c r="AX150" s="21">
        <f t="shared" si="114"/>
        <v>1.1772699186969484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-7.9580786405131221E-13</v>
      </c>
      <c r="BE150" s="13">
        <f>BD150*VLOOKUP('Données projet'!$B$11,Paramètres!$A$1:$I$89,3,0)*VLOOKUP('Données projet'!$B$11,Paramètres!$A$1:$I$89,5,0)</f>
        <v>-3.8278358260868117E-13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371.85813103419366</v>
      </c>
      <c r="BJ150" s="59">
        <f t="shared" si="146"/>
        <v>370.01698880104584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2.7393858633187369</v>
      </c>
      <c r="BQ150" s="21">
        <f>EXP(-LN(2)/25)*BQ149+(1-EXP(-LN(2)/25))/(LN(2)/25)*Calculateur!BL150*Calculateur!BN150*VLOOKUP('Données projet'!$B$11,Paramètres!$A$1:$I$89,3,0)*0.475*44/12</f>
        <v>1.7590017346950444</v>
      </c>
      <c r="BR150" s="21">
        <f>EXP(-LN(2)/2)*BR149+(1-EXP(-LN(2)/2))/(LN(2)/2)*BL150*BO150*VLOOKUP('Données projet'!$B$11,Paramètres!$A$1:$I$89,3,0)*0.475*44/12</f>
        <v>2.1702202473509676E-15</v>
      </c>
      <c r="BS150" s="22">
        <f t="shared" si="117"/>
        <v>4.4983875980137835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5.6843418860808015E-13</v>
      </c>
      <c r="BZ150" s="13">
        <f>BY150*VLOOKUP('Données projet'!$B$12,Paramètres!$A$1:$I$89,3,0)*VLOOKUP('Données projet'!$B$12,Paramètres!$A$1:$I$89,5,0)</f>
        <v>3.1036506698001181E-13</v>
      </c>
      <c r="CA150" s="13">
        <f t="shared" si="147"/>
        <v>4.086682523110923E-12</v>
      </c>
      <c r="CB150" s="20">
        <f t="shared" si="118"/>
        <v>7.6581912194083782E-12</v>
      </c>
      <c r="CC150" s="59">
        <f t="shared" si="119"/>
        <v>293.33333333334099</v>
      </c>
      <c r="CD150" s="59">
        <f ca="1">AVERAGE(OFFSET($CC$3,0,0,'Données projet'!$E$12+1,1))-AVERAGE(OFFSET($H$3,0,0,'Données projet'!$E$12+1,1))</f>
        <v>248.1486444660062</v>
      </c>
      <c r="CE150" s="59">
        <f t="shared" si="148"/>
        <v>293.34458072322127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0.83951420625116202</v>
      </c>
      <c r="CL150" s="21">
        <f>EXP(-LN(2)/25)*CL149+(1-EXP(-LN(2)/25))/(LN(2)/25)*Calculateur!CG150*Calculateur!CI150*VLOOKUP('Données projet'!$B$12,Paramètres!$A$1:$I$89,3,0)*0.475*44/12</f>
        <v>1.3278234475798396</v>
      </c>
      <c r="CM150" s="21">
        <f>EXP(-LN(2)/2)*CM149+(1-EXP(-LN(2)/2))/(LN(2)/2)*CG150*CJ150*VLOOKUP('Données projet'!$B$12,Paramètres!$A$1:$I$89,3,0)*0.475*44/12</f>
        <v>6.1779277084863844E-17</v>
      </c>
      <c r="CN150" s="22">
        <f t="shared" si="120"/>
        <v>2.1673376538310016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-2.2737367544323206E-13</v>
      </c>
      <c r="CU150" s="17">
        <f>CT150*VLOOKUP('Données projet'!$B$13,Paramètres!$A$1:$I$89,3,0)*VLOOKUP('Données projet'!$B$13,Paramètres!$A$1:$I$89,5,0)</f>
        <v>-1.8089849618263545E-13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314.94704727988847</v>
      </c>
      <c r="CZ150" s="59">
        <f t="shared" si="150"/>
        <v>366.49199094166454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0.38591954073076423</v>
      </c>
      <c r="DG150" s="21">
        <f>EXP(-LN(2)/25)*DG149+(1-EXP(-LN(2)/25))/(LN(2)/25)*Calculateur!DB150*Calculateur!DD150*VLOOKUP('Données projet'!$B$13,Paramètres!$A$1:$I$89,3,0)*0.475*44/12</f>
        <v>0.99113126672206475</v>
      </c>
      <c r="DH150" s="21">
        <f>EXP(-LN(2)/2)*DH149+(1-EXP(-LN(2)/2))/(LN(2)/2)*DB150*DE150*VLOOKUP('Données projet'!$B$13,Paramètres!$A$1:$I$89,3,0)*0.475*44/12</f>
        <v>7.0824016630314676E-17</v>
      </c>
      <c r="DI150" s="22">
        <f t="shared" si="123"/>
        <v>1.3770508074528289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-1.2505552149377763E-12</v>
      </c>
      <c r="O151" s="13">
        <f>N151*VLOOKUP('Données projet'!$B$9,Paramètres!$A$1:$I$89,3,0)*VLOOKUP('Données projet'!$B$9,Paramètres!$A$1:$I$89,5,0)</f>
        <v>-6.9906036515021697E-13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415.91544298418842</v>
      </c>
      <c r="T151" s="59">
        <f t="shared" si="142"/>
        <v>422.79312683312583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1.1034680344456083</v>
      </c>
      <c r="AA151" s="21">
        <f>EXP(-LN(2)/25)*AA150+(1-EXP(-LN(2)/25))/(LN(2)/25)*Calculateur!V151*Calculateur!X151*VLOOKUP('Données projet'!$B$9,Paramètres!$A$1:$I$89,3,0)*0.475*44/12</f>
        <v>1.4706711709924984</v>
      </c>
      <c r="AB151" s="21">
        <f>EXP(-LN(2)/2)*AB150+(1-EXP(-LN(2)/2))/(LN(2)/2)*V151*Y151*VLOOKUP('Données projet'!$B$9,Paramètres!$A$1:$I$89,3,0)*0.475*44/12</f>
        <v>6.3268646146853208E-17</v>
      </c>
      <c r="AC151" s="22">
        <f t="shared" si="111"/>
        <v>2.5741392054381067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-6.7984728957526396E-14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311.06126148520821</v>
      </c>
      <c r="AO151" s="59">
        <f t="shared" si="144"/>
        <v>321.1728368524748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0.33803915050986971</v>
      </c>
      <c r="AV151" s="21">
        <f>EXP(-LN(2)/25)*AV150+(1-EXP(-LN(2)/25))/(LN(2)/25)*Calculateur!AQ151*Calculateur!AS151*VLOOKUP('Données projet'!$B$10,Paramètres!$A$1:$I$89,3,0)*0.475*44/12</f>
        <v>0.80970552048415467</v>
      </c>
      <c r="AW151" s="21">
        <f>EXP(-LN(2)/2)*AW150+(1-EXP(-LN(2)/2))/(LN(2)/2)*AQ151*AT151*VLOOKUP('Données projet'!$B$10,Paramètres!$A$1:$I$89,3,0)*0.475*44/12</f>
        <v>5.256790509168728E-17</v>
      </c>
      <c r="AX151" s="21">
        <f t="shared" si="114"/>
        <v>1.1477446709940244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-7.9580786405131221E-13</v>
      </c>
      <c r="BE151" s="13">
        <f>BD151*VLOOKUP('Données projet'!$B$11,Paramètres!$A$1:$I$89,3,0)*VLOOKUP('Données projet'!$B$11,Paramètres!$A$1:$I$89,5,0)</f>
        <v>-3.8278358260868117E-13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371.85813103419366</v>
      </c>
      <c r="BJ151" s="59">
        <f t="shared" si="146"/>
        <v>370.01698880104584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2.6856681773994495</v>
      </c>
      <c r="BQ151" s="21">
        <f>EXP(-LN(2)/25)*BQ150+(1-EXP(-LN(2)/25))/(LN(2)/25)*Calculateur!BL151*Calculateur!BN151*VLOOKUP('Données projet'!$B$11,Paramètres!$A$1:$I$89,3,0)*0.475*44/12</f>
        <v>1.7109017397579274</v>
      </c>
      <c r="BR151" s="21">
        <f>EXP(-LN(2)/2)*BR150+(1-EXP(-LN(2)/2))/(LN(2)/2)*BL151*BO151*VLOOKUP('Données projet'!$B$11,Paramètres!$A$1:$I$89,3,0)*0.475*44/12</f>
        <v>1.5345774535702157E-15</v>
      </c>
      <c r="BS151" s="22">
        <f t="shared" si="117"/>
        <v>4.3965699171573789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5.6843418860808015E-13</v>
      </c>
      <c r="BZ151" s="13">
        <f>BY151*VLOOKUP('Données projet'!$B$12,Paramètres!$A$1:$I$89,3,0)*VLOOKUP('Données projet'!$B$12,Paramètres!$A$1:$I$89,5,0)</f>
        <v>3.1036506698001181E-13</v>
      </c>
      <c r="CA151" s="13">
        <f t="shared" si="147"/>
        <v>4.086682523110923E-12</v>
      </c>
      <c r="CB151" s="20">
        <f t="shared" si="118"/>
        <v>7.6581912194083782E-12</v>
      </c>
      <c r="CC151" s="59">
        <f t="shared" si="119"/>
        <v>293.33333333334099</v>
      </c>
      <c r="CD151" s="59">
        <f ca="1">AVERAGE(OFFSET($CC$3,0,0,'Données projet'!$E$12+1,1))-AVERAGE(OFFSET($H$3,0,0,'Données projet'!$E$12+1,1))</f>
        <v>248.1486444660062</v>
      </c>
      <c r="CE151" s="59">
        <f t="shared" si="148"/>
        <v>293.34458072322127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0.82305184471968151</v>
      </c>
      <c r="CL151" s="21">
        <f>EXP(-LN(2)/25)*CL150+(1-EXP(-LN(2)/25))/(LN(2)/25)*Calculateur!CG151*Calculateur!CI151*VLOOKUP('Données projet'!$B$12,Paramètres!$A$1:$I$89,3,0)*0.475*44/12</f>
        <v>1.2915140455785685</v>
      </c>
      <c r="CM151" s="21">
        <f>EXP(-LN(2)/2)*CM150+(1-EXP(-LN(2)/2))/(LN(2)/2)*CG151*CJ151*VLOOKUP('Données projet'!$B$12,Paramètres!$A$1:$I$89,3,0)*0.475*44/12</f>
        <v>4.3684545763509908E-17</v>
      </c>
      <c r="CN151" s="22">
        <f t="shared" si="120"/>
        <v>2.11456589029825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-2.2737367544323206E-13</v>
      </c>
      <c r="CU151" s="17">
        <f>CT151*VLOOKUP('Données projet'!$B$13,Paramètres!$A$1:$I$89,3,0)*VLOOKUP('Données projet'!$B$13,Paramètres!$A$1:$I$89,5,0)</f>
        <v>-1.8089849618263545E-13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314.94704727988847</v>
      </c>
      <c r="CZ151" s="59">
        <f t="shared" si="150"/>
        <v>366.49199094166454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0.37835189392471119</v>
      </c>
      <c r="DG151" s="21">
        <f>EXP(-LN(2)/25)*DG150+(1-EXP(-LN(2)/25))/(LN(2)/25)*Calculateur!DB151*Calculateur!DD151*VLOOKUP('Données projet'!$B$13,Paramètres!$A$1:$I$89,3,0)*0.475*44/12</f>
        <v>0.96402873011222179</v>
      </c>
      <c r="DH151" s="21">
        <f>EXP(-LN(2)/2)*DH150+(1-EXP(-LN(2)/2))/(LN(2)/2)*DB151*DE151*VLOOKUP('Données projet'!$B$13,Paramètres!$A$1:$I$89,3,0)*0.475*44/12</f>
        <v>5.0080142430164323E-17</v>
      </c>
      <c r="DI151" s="22">
        <f t="shared" si="123"/>
        <v>1.3423806240369329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-1.2505552149377763E-12</v>
      </c>
      <c r="O152" s="13">
        <f>N152*VLOOKUP('Données projet'!$B$9,Paramètres!$A$1:$I$89,3,0)*VLOOKUP('Données projet'!$B$9,Paramètres!$A$1:$I$89,5,0)</f>
        <v>-6.9906036515021697E-13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415.91544298418842</v>
      </c>
      <c r="T152" s="59">
        <f t="shared" si="142"/>
        <v>422.79312683312583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1.0818296993391727</v>
      </c>
      <c r="AA152" s="21">
        <f>EXP(-LN(2)/25)*AA151+(1-EXP(-LN(2)/25))/(LN(2)/25)*Calculateur!V152*Calculateur!X152*VLOOKUP('Données projet'!$B$9,Paramètres!$A$1:$I$89,3,0)*0.475*44/12</f>
        <v>1.4304555904824729</v>
      </c>
      <c r="AB152" s="21">
        <f>EXP(-LN(2)/2)*AB151+(1-EXP(-LN(2)/2))/(LN(2)/2)*V152*Y152*VLOOKUP('Données projet'!$B$9,Paramètres!$A$1:$I$89,3,0)*0.475*44/12</f>
        <v>4.4737688726932035E-17</v>
      </c>
      <c r="AC152" s="22">
        <f t="shared" si="111"/>
        <v>2.5122852898216457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-6.7984728957526396E-14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311.06126148520821</v>
      </c>
      <c r="AO152" s="59">
        <f t="shared" si="144"/>
        <v>321.1728368524748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0.33141040895189405</v>
      </c>
      <c r="AV152" s="21">
        <f>EXP(-LN(2)/25)*AV151+(1-EXP(-LN(2)/25))/(LN(2)/25)*Calculateur!AQ152*Calculateur!AS152*VLOOKUP('Données projet'!$B$10,Paramètres!$A$1:$I$89,3,0)*0.475*44/12</f>
        <v>0.78756408044595272</v>
      </c>
      <c r="AW152" s="21">
        <f>EXP(-LN(2)/2)*AW151+(1-EXP(-LN(2)/2))/(LN(2)/2)*AQ152*AT152*VLOOKUP('Données projet'!$B$10,Paramètres!$A$1:$I$89,3,0)*0.475*44/12</f>
        <v>3.7171122163102914E-17</v>
      </c>
      <c r="AX152" s="21">
        <f t="shared" si="114"/>
        <v>1.1189744893978468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-7.9580786405131221E-13</v>
      </c>
      <c r="BE152" s="13">
        <f>BD152*VLOOKUP('Données projet'!$B$11,Paramètres!$A$1:$I$89,3,0)*VLOOKUP('Données projet'!$B$11,Paramètres!$A$1:$I$89,5,0)</f>
        <v>-3.8278358260868117E-13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371.85813103419366</v>
      </c>
      <c r="BJ152" s="59">
        <f t="shared" si="146"/>
        <v>370.01698880104584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2.6330038625364862</v>
      </c>
      <c r="BQ152" s="21">
        <f>EXP(-LN(2)/25)*BQ151+(1-EXP(-LN(2)/25))/(LN(2)/25)*Calculateur!BL152*Calculateur!BN152*VLOOKUP('Données projet'!$B$11,Paramètres!$A$1:$I$89,3,0)*0.475*44/12</f>
        <v>1.6641170417118347</v>
      </c>
      <c r="BR152" s="21">
        <f>EXP(-LN(2)/2)*BR151+(1-EXP(-LN(2)/2))/(LN(2)/2)*BL152*BO152*VLOOKUP('Données projet'!$B$11,Paramètres!$A$1:$I$89,3,0)*0.475*44/12</f>
        <v>1.0851101236754838E-15</v>
      </c>
      <c r="BS152" s="22">
        <f t="shared" si="117"/>
        <v>4.297120904248322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5.6843418860808015E-13</v>
      </c>
      <c r="BZ152" s="13">
        <f>BY152*VLOOKUP('Données projet'!$B$12,Paramètres!$A$1:$I$89,3,0)*VLOOKUP('Données projet'!$B$12,Paramètres!$A$1:$I$89,5,0)</f>
        <v>3.1036506698001181E-13</v>
      </c>
      <c r="CA152" s="13">
        <f t="shared" si="147"/>
        <v>4.086682523110923E-12</v>
      </c>
      <c r="CB152" s="20">
        <f t="shared" si="118"/>
        <v>7.6581912194083782E-12</v>
      </c>
      <c r="CC152" s="59">
        <f t="shared" si="119"/>
        <v>293.33333333334099</v>
      </c>
      <c r="CD152" s="59">
        <f ca="1">AVERAGE(OFFSET($CC$3,0,0,'Données projet'!$E$12+1,1))-AVERAGE(OFFSET($H$3,0,0,'Données projet'!$E$12+1,1))</f>
        <v>248.1486444660062</v>
      </c>
      <c r="CE152" s="59">
        <f t="shared" si="148"/>
        <v>293.34458072322127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0.80691230005678427</v>
      </c>
      <c r="CL152" s="21">
        <f>EXP(-LN(2)/25)*CL151+(1-EXP(-LN(2)/25))/(LN(2)/25)*Calculateur!CG152*Calculateur!CI152*VLOOKUP('Données projet'!$B$12,Paramètres!$A$1:$I$89,3,0)*0.475*44/12</f>
        <v>1.2561975260844507</v>
      </c>
      <c r="CM152" s="21">
        <f>EXP(-LN(2)/2)*CM151+(1-EXP(-LN(2)/2))/(LN(2)/2)*CG152*CJ152*VLOOKUP('Données projet'!$B$12,Paramètres!$A$1:$I$89,3,0)*0.475*44/12</f>
        <v>3.0889638542431922E-17</v>
      </c>
      <c r="CN152" s="22">
        <f t="shared" si="120"/>
        <v>2.0631098261412348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-2.2737367544323206E-13</v>
      </c>
      <c r="CU152" s="17">
        <f>CT152*VLOOKUP('Données projet'!$B$13,Paramètres!$A$1:$I$89,3,0)*VLOOKUP('Données projet'!$B$13,Paramètres!$A$1:$I$89,5,0)</f>
        <v>-1.8089849618263545E-13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314.94704727988847</v>
      </c>
      <c r="CZ152" s="59">
        <f t="shared" si="150"/>
        <v>366.49199094166454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0.37093264405671605</v>
      </c>
      <c r="DG152" s="21">
        <f>EXP(-LN(2)/25)*DG151+(1-EXP(-LN(2)/25))/(LN(2)/25)*Calculateur!DB152*Calculateur!DD152*VLOOKUP('Données projet'!$B$13,Paramètres!$A$1:$I$89,3,0)*0.475*44/12</f>
        <v>0.93766731379123547</v>
      </c>
      <c r="DH152" s="21">
        <f>EXP(-LN(2)/2)*DH151+(1-EXP(-LN(2)/2))/(LN(2)/2)*DB152*DE152*VLOOKUP('Données projet'!$B$13,Paramètres!$A$1:$I$89,3,0)*0.475*44/12</f>
        <v>3.5412008315157338E-17</v>
      </c>
      <c r="DI152" s="22">
        <f t="shared" si="123"/>
        <v>1.3085999578479515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-1.2505552149377763E-12</v>
      </c>
      <c r="O153" s="13">
        <f>N153*VLOOKUP('Données projet'!$B$9,Paramètres!$A$1:$I$89,3,0)*VLOOKUP('Données projet'!$B$9,Paramètres!$A$1:$I$89,5,0)</f>
        <v>-6.9906036515021697E-13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415.91544298418842</v>
      </c>
      <c r="T153" s="59">
        <f t="shared" si="142"/>
        <v>422.79312683312583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1.0606156787860932</v>
      </c>
      <c r="AA153" s="21">
        <f>EXP(-LN(2)/25)*AA152+(1-EXP(-LN(2)/25))/(LN(2)/25)*Calculateur!V153*Calculateur!X153*VLOOKUP('Données projet'!$B$9,Paramètres!$A$1:$I$89,3,0)*0.475*44/12</f>
        <v>1.3913397071363396</v>
      </c>
      <c r="AB153" s="21">
        <f>EXP(-LN(2)/2)*AB152+(1-EXP(-LN(2)/2))/(LN(2)/2)*V153*Y153*VLOOKUP('Données projet'!$B$9,Paramètres!$A$1:$I$89,3,0)*0.475*44/12</f>
        <v>3.1634323073426604E-17</v>
      </c>
      <c r="AC153" s="22">
        <f t="shared" si="111"/>
        <v>2.4519553859224326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-6.7984728957526396E-14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311.06126148520821</v>
      </c>
      <c r="AO153" s="59">
        <f t="shared" si="144"/>
        <v>321.1728368524748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0.32491165297273716</v>
      </c>
      <c r="AV153" s="21">
        <f>EXP(-LN(2)/25)*AV152+(1-EXP(-LN(2)/25))/(LN(2)/25)*Calculateur!AQ153*Calculateur!AS153*VLOOKUP('Données projet'!$B$10,Paramètres!$A$1:$I$89,3,0)*0.475*44/12</f>
        <v>0.76602809924996318</v>
      </c>
      <c r="AW153" s="21">
        <f>EXP(-LN(2)/2)*AW152+(1-EXP(-LN(2)/2))/(LN(2)/2)*AQ153*AT153*VLOOKUP('Données projet'!$B$10,Paramètres!$A$1:$I$89,3,0)*0.475*44/12</f>
        <v>2.628395254584364E-17</v>
      </c>
      <c r="AX153" s="21">
        <f t="shared" si="114"/>
        <v>1.0909397522227002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-7.9580786405131221E-13</v>
      </c>
      <c r="BE153" s="13">
        <f>BD153*VLOOKUP('Données projet'!$B$11,Paramètres!$A$1:$I$89,3,0)*VLOOKUP('Données projet'!$B$11,Paramètres!$A$1:$I$89,5,0)</f>
        <v>-3.8278358260868117E-13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371.85813103419366</v>
      </c>
      <c r="BJ153" s="59">
        <f t="shared" si="146"/>
        <v>370.01698880104584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2.581372262765925</v>
      </c>
      <c r="BQ153" s="21">
        <f>EXP(-LN(2)/25)*BQ152+(1-EXP(-LN(2)/25))/(LN(2)/25)*Calculateur!BL153*Calculateur!BN153*VLOOKUP('Données projet'!$B$11,Paramètres!$A$1:$I$89,3,0)*0.475*44/12</f>
        <v>1.6186116736941127</v>
      </c>
      <c r="BR153" s="21">
        <f>EXP(-LN(2)/2)*BR152+(1-EXP(-LN(2)/2))/(LN(2)/2)*BL153*BO153*VLOOKUP('Données projet'!$B$11,Paramètres!$A$1:$I$89,3,0)*0.475*44/12</f>
        <v>7.6728872678510784E-16</v>
      </c>
      <c r="BS153" s="22">
        <f t="shared" si="117"/>
        <v>4.1999839364600389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5.6843418860808015E-13</v>
      </c>
      <c r="BZ153" s="13">
        <f>BY153*VLOOKUP('Données projet'!$B$12,Paramètres!$A$1:$I$89,3,0)*VLOOKUP('Données projet'!$B$12,Paramètres!$A$1:$I$89,5,0)</f>
        <v>3.1036506698001181E-13</v>
      </c>
      <c r="CA153" s="13">
        <f t="shared" si="147"/>
        <v>4.086682523110923E-12</v>
      </c>
      <c r="CB153" s="20">
        <f t="shared" si="118"/>
        <v>7.6581912194083782E-12</v>
      </c>
      <c r="CC153" s="59">
        <f t="shared" si="119"/>
        <v>293.33333333334099</v>
      </c>
      <c r="CD153" s="59">
        <f ca="1">AVERAGE(OFFSET($CC$3,0,0,'Données projet'!$E$12+1,1))-AVERAGE(OFFSET($H$3,0,0,'Données projet'!$E$12+1,1))</f>
        <v>248.1486444660062</v>
      </c>
      <c r="CE153" s="59">
        <f t="shared" si="148"/>
        <v>293.34458072322127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0.79108924202057618</v>
      </c>
      <c r="CL153" s="21">
        <f>EXP(-LN(2)/25)*CL152+(1-EXP(-LN(2)/25))/(LN(2)/25)*Calculateur!CG153*Calculateur!CI153*VLOOKUP('Données projet'!$B$12,Paramètres!$A$1:$I$89,3,0)*0.475*44/12</f>
        <v>1.2218467386731147</v>
      </c>
      <c r="CM153" s="21">
        <f>EXP(-LN(2)/2)*CM152+(1-EXP(-LN(2)/2))/(LN(2)/2)*CG153*CJ153*VLOOKUP('Données projet'!$B$12,Paramètres!$A$1:$I$89,3,0)*0.475*44/12</f>
        <v>2.1842272881754954E-17</v>
      </c>
      <c r="CN153" s="22">
        <f t="shared" si="120"/>
        <v>2.0129359806936908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-2.2737367544323206E-13</v>
      </c>
      <c r="CU153" s="17">
        <f>CT153*VLOOKUP('Données projet'!$B$13,Paramètres!$A$1:$I$89,3,0)*VLOOKUP('Données projet'!$B$13,Paramètres!$A$1:$I$89,5,0)</f>
        <v>-1.8089849618263545E-13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314.94704727988847</v>
      </c>
      <c r="CZ153" s="59">
        <f t="shared" si="150"/>
        <v>366.49199094166454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0.36365888115333672</v>
      </c>
      <c r="DG153" s="21">
        <f>EXP(-LN(2)/25)*DG152+(1-EXP(-LN(2)/25))/(LN(2)/25)*Calculateur!DB153*Calculateur!DD153*VLOOKUP('Données projet'!$B$13,Paramètres!$A$1:$I$89,3,0)*0.475*44/12</f>
        <v>0.91202675178583315</v>
      </c>
      <c r="DH153" s="21">
        <f>EXP(-LN(2)/2)*DH152+(1-EXP(-LN(2)/2))/(LN(2)/2)*DB153*DE153*VLOOKUP('Données projet'!$B$13,Paramètres!$A$1:$I$89,3,0)*0.475*44/12</f>
        <v>2.5040071215082162E-17</v>
      </c>
      <c r="DI153" s="22">
        <f t="shared" si="123"/>
        <v>1.2756856329391699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-1.2505552149377763E-12</v>
      </c>
      <c r="O154" s="13">
        <f>N154*VLOOKUP('Données projet'!$B$9,Paramètres!$A$1:$I$89,3,0)*VLOOKUP('Données projet'!$B$9,Paramètres!$A$1:$I$89,5,0)</f>
        <v>-6.9906036515021697E-13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415.91544298418842</v>
      </c>
      <c r="T154" s="59">
        <f t="shared" si="142"/>
        <v>422.79312683312583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1.0398176522367848</v>
      </c>
      <c r="AA154" s="21">
        <f>EXP(-LN(2)/25)*AA153+(1-EXP(-LN(2)/25))/(LN(2)/25)*Calculateur!V154*Calculateur!X154*VLOOKUP('Données projet'!$B$9,Paramètres!$A$1:$I$89,3,0)*0.475*44/12</f>
        <v>1.3532934496773212</v>
      </c>
      <c r="AB154" s="21">
        <f>EXP(-LN(2)/2)*AB153+(1-EXP(-LN(2)/2))/(LN(2)/2)*V154*Y154*VLOOKUP('Données projet'!$B$9,Paramètres!$A$1:$I$89,3,0)*0.475*44/12</f>
        <v>2.2368844363466017E-17</v>
      </c>
      <c r="AC154" s="22">
        <f t="shared" ref="AC154:AC203" si="163">SUM(Z154:AB154)</f>
        <v>2.3931111019141058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-6.7984728957526396E-14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311.06126148520821</v>
      </c>
      <c r="AO154" s="59">
        <f t="shared" si="144"/>
        <v>321.1728368524748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0.31854033363448181</v>
      </c>
      <c r="AV154" s="21">
        <f>EXP(-LN(2)/25)*AV153+(1-EXP(-LN(2)/25))/(LN(2)/25)*Calculateur!AQ154*Calculateur!AS154*VLOOKUP('Données projet'!$B$10,Paramètres!$A$1:$I$89,3,0)*0.475*44/12</f>
        <v>0.74508102059230596</v>
      </c>
      <c r="AW154" s="21">
        <f>EXP(-LN(2)/2)*AW153+(1-EXP(-LN(2)/2))/(LN(2)/2)*AQ154*AT154*VLOOKUP('Données projet'!$B$10,Paramètres!$A$1:$I$89,3,0)*0.475*44/12</f>
        <v>1.8585561081551457E-17</v>
      </c>
      <c r="AX154" s="21">
        <f t="shared" ref="AX154:AX203" si="166">SUM(AU154:AW154)</f>
        <v>1.0636213542267878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-7.9580786405131221E-13</v>
      </c>
      <c r="BE154" s="13">
        <f>BD154*VLOOKUP('Données projet'!$B$11,Paramètres!$A$1:$I$89,3,0)*VLOOKUP('Données projet'!$B$11,Paramètres!$A$1:$I$89,5,0)</f>
        <v>-3.8278358260868117E-13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371.85813103419366</v>
      </c>
      <c r="BJ154" s="59">
        <f t="shared" si="146"/>
        <v>370.01698880104584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2.5307531271746986</v>
      </c>
      <c r="BQ154" s="21">
        <f>EXP(-LN(2)/25)*BQ153+(1-EXP(-LN(2)/25))/(LN(2)/25)*Calculateur!BL154*Calculateur!BN154*VLOOKUP('Données projet'!$B$11,Paramètres!$A$1:$I$89,3,0)*0.475*44/12</f>
        <v>1.5743506523578588</v>
      </c>
      <c r="BR154" s="21">
        <f>EXP(-LN(2)/2)*BR153+(1-EXP(-LN(2)/2))/(LN(2)/2)*BL154*BO154*VLOOKUP('Données projet'!$B$11,Paramètres!$A$1:$I$89,3,0)*0.475*44/12</f>
        <v>5.4255506183774189E-16</v>
      </c>
      <c r="BS154" s="22">
        <f t="shared" ref="BS154:BS203" si="169">SUM(BP154:BR154)</f>
        <v>4.1051037795325582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5.6843418860808015E-13</v>
      </c>
      <c r="BZ154" s="13">
        <f>BY154*VLOOKUP('Données projet'!$B$12,Paramètres!$A$1:$I$89,3,0)*VLOOKUP('Données projet'!$B$12,Paramètres!$A$1:$I$89,5,0)</f>
        <v>3.1036506698001181E-13</v>
      </c>
      <c r="CA154" s="13">
        <f t="shared" ref="CA154:CA203" si="170">EXP(-1.0587+0.8836*LN(BZ154)+0.284)</f>
        <v>4.086682523110923E-12</v>
      </c>
      <c r="CB154" s="20">
        <f t="shared" ref="CB154:CB203" si="171">(BZ154+CA154)*0.475*44/12</f>
        <v>7.6581912194083782E-12</v>
      </c>
      <c r="CC154" s="59">
        <f t="shared" si="119"/>
        <v>293.33333333334099</v>
      </c>
      <c r="CD154" s="59">
        <f ca="1">AVERAGE(OFFSET($CC$3,0,0,'Données projet'!$E$12+1,1))-AVERAGE(OFFSET($H$3,0,0,'Données projet'!$E$12+1,1))</f>
        <v>248.1486444660062</v>
      </c>
      <c r="CE154" s="59">
        <f t="shared" si="148"/>
        <v>293.34458072322127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0.77557646450134576</v>
      </c>
      <c r="CL154" s="21">
        <f>EXP(-LN(2)/25)*CL153+(1-EXP(-LN(2)/25))/(LN(2)/25)*Calculateur!CG154*Calculateur!CI154*VLOOKUP('Données projet'!$B$12,Paramètres!$A$1:$I$89,3,0)*0.475*44/12</f>
        <v>1.188435275349971</v>
      </c>
      <c r="CM154" s="21">
        <f>EXP(-LN(2)/2)*CM153+(1-EXP(-LN(2)/2))/(LN(2)/2)*CG154*CJ154*VLOOKUP('Données projet'!$B$12,Paramètres!$A$1:$I$89,3,0)*0.475*44/12</f>
        <v>1.5444819271215961E-17</v>
      </c>
      <c r="CN154" s="22">
        <f t="shared" ref="CN154:CN203" si="172">SUM(CK154:CM154)</f>
        <v>1.9640117398513168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-2.2737367544323206E-13</v>
      </c>
      <c r="CU154" s="17">
        <f>CT154*VLOOKUP('Données projet'!$B$13,Paramètres!$A$1:$I$89,3,0)*VLOOKUP('Données projet'!$B$13,Paramètres!$A$1:$I$89,5,0)</f>
        <v>-1.8089849618263545E-13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314.94704727988847</v>
      </c>
      <c r="CZ154" s="59">
        <f t="shared" si="150"/>
        <v>366.49199094166454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0.35652775230393535</v>
      </c>
      <c r="DG154" s="21">
        <f>EXP(-LN(2)/25)*DG153+(1-EXP(-LN(2)/25))/(LN(2)/25)*Calculateur!DB154*Calculateur!DD154*VLOOKUP('Données projet'!$B$13,Paramètres!$A$1:$I$89,3,0)*0.475*44/12</f>
        <v>0.88708733229684711</v>
      </c>
      <c r="DH154" s="21">
        <f>EXP(-LN(2)/2)*DH153+(1-EXP(-LN(2)/2))/(LN(2)/2)*DB154*DE154*VLOOKUP('Données projet'!$B$13,Paramètres!$A$1:$I$89,3,0)*0.475*44/12</f>
        <v>1.7706004157578669E-17</v>
      </c>
      <c r="DI154" s="22">
        <f t="shared" ref="DI154:DI203" si="175">SUM(DF154:DH154)</f>
        <v>1.2436150846007825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-1.2505552149377763E-12</v>
      </c>
      <c r="O155" s="13">
        <f>N155*VLOOKUP('Données projet'!$B$9,Paramètres!$A$1:$I$89,3,0)*VLOOKUP('Données projet'!$B$9,Paramètres!$A$1:$I$89,5,0)</f>
        <v>-6.9906036515021697E-13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415.91544298418842</v>
      </c>
      <c r="T155" s="59">
        <f t="shared" si="142"/>
        <v>422.79312683312583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1.0194274623025648</v>
      </c>
      <c r="AA155" s="21">
        <f>EXP(-LN(2)/25)*AA154+(1-EXP(-LN(2)/25))/(LN(2)/25)*Calculateur!V155*Calculateur!X155*VLOOKUP('Données projet'!$B$9,Paramètres!$A$1:$I$89,3,0)*0.475*44/12</f>
        <v>1.3162875691292855</v>
      </c>
      <c r="AB155" s="21">
        <f>EXP(-LN(2)/2)*AB154+(1-EXP(-LN(2)/2))/(LN(2)/2)*V155*Y155*VLOOKUP('Données projet'!$B$9,Paramètres!$A$1:$I$89,3,0)*0.475*44/12</f>
        <v>1.5817161536713302E-17</v>
      </c>
      <c r="AC155" s="22">
        <f t="shared" si="163"/>
        <v>2.3357150314318504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-6.7984728957526396E-14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311.06126148520821</v>
      </c>
      <c r="AO155" s="59">
        <f t="shared" si="144"/>
        <v>321.1728368524748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0.31229395198232857</v>
      </c>
      <c r="AV155" s="21">
        <f>EXP(-LN(2)/25)*AV154+(1-EXP(-LN(2)/25))/(LN(2)/25)*Calculateur!AQ155*Calculateur!AS155*VLOOKUP('Données projet'!$B$10,Paramètres!$A$1:$I$89,3,0)*0.475*44/12</f>
        <v>0.72470674090210141</v>
      </c>
      <c r="AW155" s="21">
        <f>EXP(-LN(2)/2)*AW154+(1-EXP(-LN(2)/2))/(LN(2)/2)*AQ155*AT155*VLOOKUP('Données projet'!$B$10,Paramètres!$A$1:$I$89,3,0)*0.475*44/12</f>
        <v>1.314197627292182E-17</v>
      </c>
      <c r="AX155" s="21">
        <f t="shared" si="166"/>
        <v>1.03700069288443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-7.9580786405131221E-13</v>
      </c>
      <c r="BE155" s="13">
        <f>BD155*VLOOKUP('Données projet'!$B$11,Paramètres!$A$1:$I$89,3,0)*VLOOKUP('Données projet'!$B$11,Paramètres!$A$1:$I$89,5,0)</f>
        <v>-3.8278358260868117E-13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371.85813103419366</v>
      </c>
      <c r="BJ155" s="59">
        <f t="shared" si="146"/>
        <v>370.01698880104584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2.4811266019577918</v>
      </c>
      <c r="BQ155" s="21">
        <f>EXP(-LN(2)/25)*BQ154+(1-EXP(-LN(2)/25))/(LN(2)/25)*Calculateur!BL155*Calculateur!BN155*VLOOKUP('Données projet'!$B$11,Paramètres!$A$1:$I$89,3,0)*0.475*44/12</f>
        <v>1.5312999509776306</v>
      </c>
      <c r="BR155" s="21">
        <f>EXP(-LN(2)/2)*BR154+(1-EXP(-LN(2)/2))/(LN(2)/2)*BL155*BO155*VLOOKUP('Données projet'!$B$11,Paramètres!$A$1:$I$89,3,0)*0.475*44/12</f>
        <v>3.8364436339255392E-16</v>
      </c>
      <c r="BS155" s="22">
        <f t="shared" si="169"/>
        <v>4.0124265529354224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5.6843418860808015E-13</v>
      </c>
      <c r="BZ155" s="13">
        <f>BY155*VLOOKUP('Données projet'!$B$12,Paramètres!$A$1:$I$89,3,0)*VLOOKUP('Données projet'!$B$12,Paramètres!$A$1:$I$89,5,0)</f>
        <v>3.1036506698001181E-13</v>
      </c>
      <c r="CA155" s="13">
        <f t="shared" si="170"/>
        <v>4.086682523110923E-12</v>
      </c>
      <c r="CB155" s="20">
        <f t="shared" si="171"/>
        <v>7.6581912194083782E-12</v>
      </c>
      <c r="CC155" s="59">
        <f t="shared" si="119"/>
        <v>293.33333333334099</v>
      </c>
      <c r="CD155" s="59">
        <f ca="1">AVERAGE(OFFSET($CC$3,0,0,'Données projet'!$E$12+1,1))-AVERAGE(OFFSET($H$3,0,0,'Données projet'!$E$12+1,1))</f>
        <v>248.1486444660062</v>
      </c>
      <c r="CE155" s="59">
        <f t="shared" si="148"/>
        <v>293.34458072322127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0.76036788308740744</v>
      </c>
      <c r="CL155" s="21">
        <f>EXP(-LN(2)/25)*CL154+(1-EXP(-LN(2)/25))/(LN(2)/25)*Calculateur!CG155*Calculateur!CI155*VLOOKUP('Données projet'!$B$12,Paramètres!$A$1:$I$89,3,0)*0.475*44/12</f>
        <v>1.155937450248431</v>
      </c>
      <c r="CM155" s="21">
        <f>EXP(-LN(2)/2)*CM154+(1-EXP(-LN(2)/2))/(LN(2)/2)*CG155*CJ155*VLOOKUP('Données projet'!$B$12,Paramètres!$A$1:$I$89,3,0)*0.475*44/12</f>
        <v>1.0921136440877477E-17</v>
      </c>
      <c r="CN155" s="22">
        <f t="shared" si="172"/>
        <v>1.9163053333358384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-2.2737367544323206E-13</v>
      </c>
      <c r="CU155" s="17">
        <f>CT155*VLOOKUP('Données projet'!$B$13,Paramètres!$A$1:$I$89,3,0)*VLOOKUP('Données projet'!$B$13,Paramètres!$A$1:$I$89,5,0)</f>
        <v>-1.8089849618263545E-13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314.94704727988847</v>
      </c>
      <c r="CZ155" s="59">
        <f t="shared" si="150"/>
        <v>366.49199094166454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0.34953646054171167</v>
      </c>
      <c r="DG155" s="21">
        <f>EXP(-LN(2)/25)*DG154+(1-EXP(-LN(2)/25))/(LN(2)/25)*Calculateur!DB155*Calculateur!DD155*VLOOKUP('Données projet'!$B$13,Paramètres!$A$1:$I$89,3,0)*0.475*44/12</f>
        <v>0.86282988254529447</v>
      </c>
      <c r="DH155" s="21">
        <f>EXP(-LN(2)/2)*DH154+(1-EXP(-LN(2)/2))/(LN(2)/2)*DB155*DE155*VLOOKUP('Données projet'!$B$13,Paramètres!$A$1:$I$89,3,0)*0.475*44/12</f>
        <v>1.2520035607541081E-17</v>
      </c>
      <c r="DI155" s="22">
        <f t="shared" si="175"/>
        <v>1.2123663430870062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-1.2505552149377763E-12</v>
      </c>
      <c r="O156" s="13">
        <f>N156*VLOOKUP('Données projet'!$B$9,Paramètres!$A$1:$I$89,3,0)*VLOOKUP('Données projet'!$B$9,Paramètres!$A$1:$I$89,5,0)</f>
        <v>-6.9906036515021697E-13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415.91544298418842</v>
      </c>
      <c r="T156" s="59">
        <f t="shared" si="142"/>
        <v>422.79312683312583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0.99943711155616688</v>
      </c>
      <c r="AA156" s="21">
        <f>EXP(-LN(2)/25)*AA155+(1-EXP(-LN(2)/25))/(LN(2)/25)*Calculateur!V156*Calculateur!X156*VLOOKUP('Données projet'!$B$9,Paramètres!$A$1:$I$89,3,0)*0.475*44/12</f>
        <v>1.2802936163308902</v>
      </c>
      <c r="AB156" s="21">
        <f>EXP(-LN(2)/2)*AB155+(1-EXP(-LN(2)/2))/(LN(2)/2)*V156*Y156*VLOOKUP('Données projet'!$B$9,Paramètres!$A$1:$I$89,3,0)*0.475*44/12</f>
        <v>1.1184422181733009E-17</v>
      </c>
      <c r="AC156" s="22">
        <f t="shared" si="163"/>
        <v>2.2797307278870571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-6.7984728957526396E-14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311.06126148520821</v>
      </c>
      <c r="AO156" s="59">
        <f t="shared" si="144"/>
        <v>321.1728368524748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0.30617005806445741</v>
      </c>
      <c r="AV156" s="21">
        <f>EXP(-LN(2)/25)*AV155+(1-EXP(-LN(2)/25))/(LN(2)/25)*Calculateur!AQ156*Calculateur!AS156*VLOOKUP('Données projet'!$B$10,Paramètres!$A$1:$I$89,3,0)*0.475*44/12</f>
        <v>0.70488959696146225</v>
      </c>
      <c r="AW156" s="21">
        <f>EXP(-LN(2)/2)*AW155+(1-EXP(-LN(2)/2))/(LN(2)/2)*AQ156*AT156*VLOOKUP('Données projet'!$B$10,Paramètres!$A$1:$I$89,3,0)*0.475*44/12</f>
        <v>9.2927805407757285E-18</v>
      </c>
      <c r="AX156" s="21">
        <f t="shared" si="166"/>
        <v>1.0110596550259197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-7.9580786405131221E-13</v>
      </c>
      <c r="BE156" s="13">
        <f>BD156*VLOOKUP('Données projet'!$B$11,Paramètres!$A$1:$I$89,3,0)*VLOOKUP('Données projet'!$B$11,Paramètres!$A$1:$I$89,5,0)</f>
        <v>-3.8278358260868117E-13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371.85813103419366</v>
      </c>
      <c r="BJ156" s="59">
        <f t="shared" si="146"/>
        <v>370.01698880104584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2.4324732226311969</v>
      </c>
      <c r="BQ156" s="21">
        <f>EXP(-LN(2)/25)*BQ155+(1-EXP(-LN(2)/25))/(LN(2)/25)*Calculateur!BL156*Calculateur!BN156*VLOOKUP('Données projet'!$B$11,Paramètres!$A$1:$I$89,3,0)*0.475*44/12</f>
        <v>1.4894264732905826</v>
      </c>
      <c r="BR156" s="21">
        <f>EXP(-LN(2)/2)*BR155+(1-EXP(-LN(2)/2))/(LN(2)/2)*BL156*BO156*VLOOKUP('Données projet'!$B$11,Paramètres!$A$1:$I$89,3,0)*0.475*44/12</f>
        <v>2.7127753091887094E-16</v>
      </c>
      <c r="BS156" s="22">
        <f t="shared" si="169"/>
        <v>3.92189969592178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5.6843418860808015E-13</v>
      </c>
      <c r="BZ156" s="13">
        <f>BY156*VLOOKUP('Données projet'!$B$12,Paramètres!$A$1:$I$89,3,0)*VLOOKUP('Données projet'!$B$12,Paramètres!$A$1:$I$89,5,0)</f>
        <v>3.1036506698001181E-13</v>
      </c>
      <c r="CA156" s="13">
        <f t="shared" si="170"/>
        <v>4.086682523110923E-12</v>
      </c>
      <c r="CB156" s="20">
        <f t="shared" si="171"/>
        <v>7.6581912194083782E-12</v>
      </c>
      <c r="CC156" s="59">
        <f t="shared" si="119"/>
        <v>293.33333333334099</v>
      </c>
      <c r="CD156" s="59">
        <f ca="1">AVERAGE(OFFSET($CC$3,0,0,'Données projet'!$E$12+1,1))-AVERAGE(OFFSET($H$3,0,0,'Données projet'!$E$12+1,1))</f>
        <v>248.1486444660062</v>
      </c>
      <c r="CE156" s="59">
        <f t="shared" si="148"/>
        <v>293.34458072322127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0.74545753267867776</v>
      </c>
      <c r="CL156" s="21">
        <f>EXP(-LN(2)/25)*CL155+(1-EXP(-LN(2)/25))/(LN(2)/25)*Calculateur!CG156*Calculateur!CI156*VLOOKUP('Données projet'!$B$12,Paramètres!$A$1:$I$89,3,0)*0.475*44/12</f>
        <v>1.124328279883279</v>
      </c>
      <c r="CM156" s="21">
        <f>EXP(-LN(2)/2)*CM155+(1-EXP(-LN(2)/2))/(LN(2)/2)*CG156*CJ156*VLOOKUP('Données projet'!$B$12,Paramètres!$A$1:$I$89,3,0)*0.475*44/12</f>
        <v>7.7224096356079805E-18</v>
      </c>
      <c r="CN156" s="22">
        <f t="shared" si="172"/>
        <v>1.8697858125619566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-2.2737367544323206E-13</v>
      </c>
      <c r="CU156" s="17">
        <f>CT156*VLOOKUP('Données projet'!$B$13,Paramètres!$A$1:$I$89,3,0)*VLOOKUP('Données projet'!$B$13,Paramètres!$A$1:$I$89,5,0)</f>
        <v>-1.8089849618263545E-13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314.94704727988847</v>
      </c>
      <c r="CZ156" s="59">
        <f t="shared" si="150"/>
        <v>366.49199094166454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0.34268226374667826</v>
      </c>
      <c r="DG156" s="21">
        <f>EXP(-LN(2)/25)*DG155+(1-EXP(-LN(2)/25))/(LN(2)/25)*Calculateur!DB156*Calculateur!DD156*VLOOKUP('Données projet'!$B$13,Paramètres!$A$1:$I$89,3,0)*0.475*44/12</f>
        <v>0.8392357540328419</v>
      </c>
      <c r="DH156" s="21">
        <f>EXP(-LN(2)/2)*DH155+(1-EXP(-LN(2)/2))/(LN(2)/2)*DB156*DE156*VLOOKUP('Données projet'!$B$13,Paramètres!$A$1:$I$89,3,0)*0.475*44/12</f>
        <v>8.8530020787893345E-18</v>
      </c>
      <c r="DI156" s="22">
        <f t="shared" si="175"/>
        <v>1.1819180177795201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-1.2505552149377763E-12</v>
      </c>
      <c r="O157" s="13">
        <f>N157*VLOOKUP('Données projet'!$B$9,Paramètres!$A$1:$I$89,3,0)*VLOOKUP('Données projet'!$B$9,Paramètres!$A$1:$I$89,5,0)</f>
        <v>-6.9906036515021697E-13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415.91544298418842</v>
      </c>
      <c r="T157" s="59">
        <f t="shared" si="142"/>
        <v>422.79312683312583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0.97983875939499587</v>
      </c>
      <c r="AA157" s="21">
        <f>EXP(-LN(2)/25)*AA156+(1-EXP(-LN(2)/25))/(LN(2)/25)*Calculateur!V157*Calculateur!X157*VLOOKUP('Données projet'!$B$9,Paramètres!$A$1:$I$89,3,0)*0.475*44/12</f>
        <v>1.2452839200646069</v>
      </c>
      <c r="AB157" s="21">
        <f>EXP(-LN(2)/2)*AB156+(1-EXP(-LN(2)/2))/(LN(2)/2)*V157*Y157*VLOOKUP('Données projet'!$B$9,Paramètres!$A$1:$I$89,3,0)*0.475*44/12</f>
        <v>7.9085807683566509E-18</v>
      </c>
      <c r="AC157" s="22">
        <f t="shared" si="163"/>
        <v>2.2251226794596026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-6.7984728957526396E-14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311.06126148520821</v>
      </c>
      <c r="AO157" s="59">
        <f t="shared" si="144"/>
        <v>321.1728368524748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0.30016624997110924</v>
      </c>
      <c r="AV157" s="21">
        <f>EXP(-LN(2)/25)*AV156+(1-EXP(-LN(2)/25))/(LN(2)/25)*Calculateur!AQ157*Calculateur!AS157*VLOOKUP('Données projet'!$B$10,Paramètres!$A$1:$I$89,3,0)*0.475*44/12</f>
        <v>0.68561435386401826</v>
      </c>
      <c r="AW157" s="21">
        <f>EXP(-LN(2)/2)*AW156+(1-EXP(-LN(2)/2))/(LN(2)/2)*AQ157*AT157*VLOOKUP('Données projet'!$B$10,Paramètres!$A$1:$I$89,3,0)*0.475*44/12</f>
        <v>6.57098813646091E-18</v>
      </c>
      <c r="AX157" s="21">
        <f t="shared" si="166"/>
        <v>0.98578060383512756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-7.9580786405131221E-13</v>
      </c>
      <c r="BE157" s="13">
        <f>BD157*VLOOKUP('Données projet'!$B$11,Paramètres!$A$1:$I$89,3,0)*VLOOKUP('Données projet'!$B$11,Paramètres!$A$1:$I$89,5,0)</f>
        <v>-3.8278358260868117E-13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371.85813103419366</v>
      </c>
      <c r="BJ157" s="59">
        <f t="shared" si="146"/>
        <v>370.01698880104584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2.3847739063975655</v>
      </c>
      <c r="BQ157" s="21">
        <f>EXP(-LN(2)/25)*BQ156+(1-EXP(-LN(2)/25))/(LN(2)/25)*Calculateur!BL157*Calculateur!BN157*VLOOKUP('Données projet'!$B$11,Paramètres!$A$1:$I$89,3,0)*0.475*44/12</f>
        <v>1.4486980280529176</v>
      </c>
      <c r="BR157" s="21">
        <f>EXP(-LN(2)/2)*BR156+(1-EXP(-LN(2)/2))/(LN(2)/2)*BL157*BO157*VLOOKUP('Données projet'!$B$11,Paramètres!$A$1:$I$89,3,0)*0.475*44/12</f>
        <v>1.9182218169627696E-16</v>
      </c>
      <c r="BS157" s="22">
        <f t="shared" si="169"/>
        <v>3.8334719344504831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5.6843418860808015E-13</v>
      </c>
      <c r="BZ157" s="13">
        <f>BY157*VLOOKUP('Données projet'!$B$12,Paramètres!$A$1:$I$89,3,0)*VLOOKUP('Données projet'!$B$12,Paramètres!$A$1:$I$89,5,0)</f>
        <v>3.1036506698001181E-13</v>
      </c>
      <c r="CA157" s="13">
        <f t="shared" si="170"/>
        <v>4.086682523110923E-12</v>
      </c>
      <c r="CB157" s="20">
        <f t="shared" si="171"/>
        <v>7.6581912194083782E-12</v>
      </c>
      <c r="CC157" s="59">
        <f t="shared" si="119"/>
        <v>293.33333333334099</v>
      </c>
      <c r="CD157" s="59">
        <f ca="1">AVERAGE(OFFSET($CC$3,0,0,'Données projet'!$E$12+1,1))-AVERAGE(OFFSET($H$3,0,0,'Données projet'!$E$12+1,1))</f>
        <v>248.1486444660062</v>
      </c>
      <c r="CE157" s="59">
        <f t="shared" si="148"/>
        <v>293.34458072322127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0.73083956514704751</v>
      </c>
      <c r="CL157" s="21">
        <f>EXP(-LN(2)/25)*CL156+(1-EXP(-LN(2)/25))/(LN(2)/25)*Calculateur!CG157*Calculateur!CI157*VLOOKUP('Données projet'!$B$12,Paramètres!$A$1:$I$89,3,0)*0.475*44/12</f>
        <v>1.0935834639440161</v>
      </c>
      <c r="CM157" s="21">
        <f>EXP(-LN(2)/2)*CM156+(1-EXP(-LN(2)/2))/(LN(2)/2)*CG157*CJ157*VLOOKUP('Données projet'!$B$12,Paramètres!$A$1:$I$89,3,0)*0.475*44/12</f>
        <v>5.4605682204387385E-18</v>
      </c>
      <c r="CN157" s="22">
        <f t="shared" si="172"/>
        <v>1.8244230290910637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-2.2737367544323206E-13</v>
      </c>
      <c r="CU157" s="17">
        <f>CT157*VLOOKUP('Données projet'!$B$13,Paramètres!$A$1:$I$89,3,0)*VLOOKUP('Données projet'!$B$13,Paramètres!$A$1:$I$89,5,0)</f>
        <v>-1.8089849618263545E-13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314.94704727988847</v>
      </c>
      <c r="CZ157" s="59">
        <f t="shared" si="150"/>
        <v>366.49199094166454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0.33596247357014819</v>
      </c>
      <c r="DG157" s="21">
        <f>EXP(-LN(2)/25)*DG156+(1-EXP(-LN(2)/25))/(LN(2)/25)*Calculateur!DB157*Calculateur!DD157*VLOOKUP('Données projet'!$B$13,Paramètres!$A$1:$I$89,3,0)*0.475*44/12</f>
        <v>0.81628680820532362</v>
      </c>
      <c r="DH157" s="21">
        <f>EXP(-LN(2)/2)*DH156+(1-EXP(-LN(2)/2))/(LN(2)/2)*DB157*DE157*VLOOKUP('Données projet'!$B$13,Paramètres!$A$1:$I$89,3,0)*0.475*44/12</f>
        <v>6.2600178037705404E-18</v>
      </c>
      <c r="DI157" s="22">
        <f t="shared" si="175"/>
        <v>1.1522492817754717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-1.2505552149377763E-12</v>
      </c>
      <c r="O158" s="13">
        <f>N158*VLOOKUP('Données projet'!$B$9,Paramètres!$A$1:$I$89,3,0)*VLOOKUP('Données projet'!$B$9,Paramètres!$A$1:$I$89,5,0)</f>
        <v>-6.9906036515021697E-13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415.91544298418842</v>
      </c>
      <c r="T158" s="59">
        <f t="shared" si="142"/>
        <v>422.79312683312583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0.96062471896589097</v>
      </c>
      <c r="AA158" s="21">
        <f>EXP(-LN(2)/25)*AA157+(1-EXP(-LN(2)/25))/(LN(2)/25)*Calculateur!V158*Calculateur!X158*VLOOKUP('Données projet'!$B$9,Paramètres!$A$1:$I$89,3,0)*0.475*44/12</f>
        <v>1.2112315657838049</v>
      </c>
      <c r="AB158" s="21">
        <f>EXP(-LN(2)/2)*AB157+(1-EXP(-LN(2)/2))/(LN(2)/2)*V158*Y158*VLOOKUP('Données projet'!$B$9,Paramètres!$A$1:$I$89,3,0)*0.475*44/12</f>
        <v>5.5922110908665043E-18</v>
      </c>
      <c r="AC158" s="22">
        <f t="shared" si="163"/>
        <v>2.1718562847496958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-6.7984728957526396E-14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311.06126148520821</v>
      </c>
      <c r="AO158" s="59">
        <f t="shared" si="144"/>
        <v>321.1728368524748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0.29428017289251029</v>
      </c>
      <c r="AV158" s="21">
        <f>EXP(-LN(2)/25)*AV157+(1-EXP(-LN(2)/25))/(LN(2)/25)*Calculateur!AQ158*Calculateur!AS158*VLOOKUP('Données projet'!$B$10,Paramètres!$A$1:$I$89,3,0)*0.475*44/12</f>
        <v>0.66686619330271479</v>
      </c>
      <c r="AW158" s="21">
        <f>EXP(-LN(2)/2)*AW157+(1-EXP(-LN(2)/2))/(LN(2)/2)*AQ158*AT158*VLOOKUP('Données projet'!$B$10,Paramètres!$A$1:$I$89,3,0)*0.475*44/12</f>
        <v>4.6463902703878643E-18</v>
      </c>
      <c r="AX158" s="21">
        <f t="shared" si="166"/>
        <v>0.96114636619522509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-7.9580786405131221E-13</v>
      </c>
      <c r="BE158" s="13">
        <f>BD158*VLOOKUP('Données projet'!$B$11,Paramètres!$A$1:$I$89,3,0)*VLOOKUP('Données projet'!$B$11,Paramètres!$A$1:$I$89,5,0)</f>
        <v>-3.8278358260868117E-13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371.85813103419366</v>
      </c>
      <c r="BJ158" s="59">
        <f t="shared" si="146"/>
        <v>370.01698880104584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2.3380099446615654</v>
      </c>
      <c r="BQ158" s="21">
        <f>EXP(-LN(2)/25)*BQ157+(1-EXP(-LN(2)/25))/(LN(2)/25)*Calculateur!BL158*Calculateur!BN158*VLOOKUP('Données projet'!$B$11,Paramètres!$A$1:$I$89,3,0)*0.475*44/12</f>
        <v>1.4090833042920923</v>
      </c>
      <c r="BR158" s="21">
        <f>EXP(-LN(2)/2)*BR157+(1-EXP(-LN(2)/2))/(LN(2)/2)*BL158*BO158*VLOOKUP('Données projet'!$B$11,Paramètres!$A$1:$I$89,3,0)*0.475*44/12</f>
        <v>1.3563876545943547E-16</v>
      </c>
      <c r="BS158" s="22">
        <f t="shared" si="169"/>
        <v>3.7470932489536577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5.6843418860808015E-13</v>
      </c>
      <c r="BZ158" s="13">
        <f>BY158*VLOOKUP('Données projet'!$B$12,Paramètres!$A$1:$I$89,3,0)*VLOOKUP('Données projet'!$B$12,Paramètres!$A$1:$I$89,5,0)</f>
        <v>3.1036506698001181E-13</v>
      </c>
      <c r="CA158" s="13">
        <f t="shared" si="170"/>
        <v>4.086682523110923E-12</v>
      </c>
      <c r="CB158" s="20">
        <f t="shared" si="171"/>
        <v>7.6581912194083782E-12</v>
      </c>
      <c r="CC158" s="59">
        <f t="shared" si="119"/>
        <v>293.33333333334099</v>
      </c>
      <c r="CD158" s="59">
        <f ca="1">AVERAGE(OFFSET($CC$3,0,0,'Données projet'!$E$12+1,1))-AVERAGE(OFFSET($H$3,0,0,'Données projet'!$E$12+1,1))</f>
        <v>248.1486444660062</v>
      </c>
      <c r="CE158" s="59">
        <f t="shared" si="148"/>
        <v>293.34458072322127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0.71650824704263272</v>
      </c>
      <c r="CL158" s="21">
        <f>EXP(-LN(2)/25)*CL157+(1-EXP(-LN(2)/25))/(LN(2)/25)*Calculateur!CG158*Calculateur!CI158*VLOOKUP('Données projet'!$B$12,Paramètres!$A$1:$I$89,3,0)*0.475*44/12</f>
        <v>1.0636793666134119</v>
      </c>
      <c r="CM158" s="21">
        <f>EXP(-LN(2)/2)*CM157+(1-EXP(-LN(2)/2))/(LN(2)/2)*CG158*CJ158*VLOOKUP('Données projet'!$B$12,Paramètres!$A$1:$I$89,3,0)*0.475*44/12</f>
        <v>3.8612048178039902E-18</v>
      </c>
      <c r="CN158" s="22">
        <f t="shared" si="172"/>
        <v>1.7801876136560446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-2.2737367544323206E-13</v>
      </c>
      <c r="CU158" s="17">
        <f>CT158*VLOOKUP('Données projet'!$B$13,Paramètres!$A$1:$I$89,3,0)*VLOOKUP('Données projet'!$B$13,Paramètres!$A$1:$I$89,5,0)</f>
        <v>-1.8089849618263545E-13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314.94704727988847</v>
      </c>
      <c r="CZ158" s="59">
        <f t="shared" si="150"/>
        <v>366.49199094166454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0.3293744543803126</v>
      </c>
      <c r="DG158" s="21">
        <f>EXP(-LN(2)/25)*DG157+(1-EXP(-LN(2)/25))/(LN(2)/25)*Calculateur!DB158*Calculateur!DD158*VLOOKUP('Données projet'!$B$13,Paramètres!$A$1:$I$89,3,0)*0.475*44/12</f>
        <v>0.79396540250829151</v>
      </c>
      <c r="DH158" s="21">
        <f>EXP(-LN(2)/2)*DH157+(1-EXP(-LN(2)/2))/(LN(2)/2)*DB158*DE158*VLOOKUP('Données projet'!$B$13,Paramètres!$A$1:$I$89,3,0)*0.475*44/12</f>
        <v>4.4265010393946672E-18</v>
      </c>
      <c r="DI158" s="22">
        <f t="shared" si="175"/>
        <v>1.1233398568886042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-1.2505552149377763E-12</v>
      </c>
      <c r="O159" s="13">
        <f>N159*VLOOKUP('Données projet'!$B$9,Paramètres!$A$1:$I$89,3,0)*VLOOKUP('Données projet'!$B$9,Paramètres!$A$1:$I$89,5,0)</f>
        <v>-6.9906036515021697E-13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415.91544298418842</v>
      </c>
      <c r="T159" s="59">
        <f t="shared" si="142"/>
        <v>422.79312683312583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0.94178745415019327</v>
      </c>
      <c r="AA159" s="21">
        <f>EXP(-LN(2)/25)*AA158+(1-EXP(-LN(2)/25))/(LN(2)/25)*Calculateur!V159*Calculateur!X159*VLOOKUP('Données projet'!$B$9,Paramètres!$A$1:$I$89,3,0)*0.475*44/12</f>
        <v>1.1781103749215469</v>
      </c>
      <c r="AB159" s="21">
        <f>EXP(-LN(2)/2)*AB158+(1-EXP(-LN(2)/2))/(LN(2)/2)*V159*Y159*VLOOKUP('Données projet'!$B$9,Paramètres!$A$1:$I$89,3,0)*0.475*44/12</f>
        <v>3.9542903841783255E-18</v>
      </c>
      <c r="AC159" s="22">
        <f t="shared" si="163"/>
        <v>2.1198978290717401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-6.7984728957526396E-14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311.06126148520821</v>
      </c>
      <c r="AO159" s="59">
        <f t="shared" si="144"/>
        <v>321.1728368524748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0.28850951819527015</v>
      </c>
      <c r="AV159" s="21">
        <f>EXP(-LN(2)/25)*AV158+(1-EXP(-LN(2)/25))/(LN(2)/25)*Calculateur!AQ159*Calculateur!AS159*VLOOKUP('Données projet'!$B$10,Paramètres!$A$1:$I$89,3,0)*0.475*44/12</f>
        <v>0.6486307021778831</v>
      </c>
      <c r="AW159" s="21">
        <f>EXP(-LN(2)/2)*AW158+(1-EXP(-LN(2)/2))/(LN(2)/2)*AQ159*AT159*VLOOKUP('Données projet'!$B$10,Paramètres!$A$1:$I$89,3,0)*0.475*44/12</f>
        <v>3.285494068230455E-18</v>
      </c>
      <c r="AX159" s="21">
        <f t="shared" si="166"/>
        <v>0.93714022037315325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-7.9580786405131221E-13</v>
      </c>
      <c r="BE159" s="13">
        <f>BD159*VLOOKUP('Données projet'!$B$11,Paramètres!$A$1:$I$89,3,0)*VLOOKUP('Données projet'!$B$11,Paramètres!$A$1:$I$89,5,0)</f>
        <v>-3.8278358260868117E-13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371.85813103419366</v>
      </c>
      <c r="BJ159" s="59">
        <f t="shared" si="146"/>
        <v>370.01698880104584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2.2921629956920082</v>
      </c>
      <c r="BQ159" s="21">
        <f>EXP(-LN(2)/25)*BQ158+(1-EXP(-LN(2)/25))/(LN(2)/25)*Calculateur!BL159*Calculateur!BN159*VLOOKUP('Données projet'!$B$11,Paramètres!$A$1:$I$89,3,0)*0.475*44/12</f>
        <v>1.3705518472357545</v>
      </c>
      <c r="BR159" s="21">
        <f>EXP(-LN(2)/2)*BR158+(1-EXP(-LN(2)/2))/(LN(2)/2)*BL159*BO159*VLOOKUP('Données projet'!$B$11,Paramètres!$A$1:$I$89,3,0)*0.475*44/12</f>
        <v>9.591109084813848E-17</v>
      </c>
      <c r="BS159" s="22">
        <f t="shared" si="169"/>
        <v>3.6627148429277625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5.6843418860808015E-13</v>
      </c>
      <c r="BZ159" s="13">
        <f>BY159*VLOOKUP('Données projet'!$B$12,Paramètres!$A$1:$I$89,3,0)*VLOOKUP('Données projet'!$B$12,Paramètres!$A$1:$I$89,5,0)</f>
        <v>3.1036506698001181E-13</v>
      </c>
      <c r="CA159" s="13">
        <f t="shared" si="170"/>
        <v>4.086682523110923E-12</v>
      </c>
      <c r="CB159" s="20">
        <f t="shared" si="171"/>
        <v>7.6581912194083782E-12</v>
      </c>
      <c r="CC159" s="59">
        <f t="shared" si="119"/>
        <v>293.33333333334099</v>
      </c>
      <c r="CD159" s="59">
        <f ca="1">AVERAGE(OFFSET($CC$3,0,0,'Données projet'!$E$12+1,1))-AVERAGE(OFFSET($H$3,0,0,'Données projet'!$E$12+1,1))</f>
        <v>248.1486444660062</v>
      </c>
      <c r="CE159" s="59">
        <f t="shared" si="148"/>
        <v>293.34458072322127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0.7024579573450046</v>
      </c>
      <c r="CL159" s="21">
        <f>EXP(-LN(2)/25)*CL158+(1-EXP(-LN(2)/25))/(LN(2)/25)*Calculateur!CG159*Calculateur!CI159*VLOOKUP('Données projet'!$B$12,Paramètres!$A$1:$I$89,3,0)*0.475*44/12</f>
        <v>1.0345929983969013</v>
      </c>
      <c r="CM159" s="21">
        <f>EXP(-LN(2)/2)*CM158+(1-EXP(-LN(2)/2))/(LN(2)/2)*CG159*CJ159*VLOOKUP('Données projet'!$B$12,Paramètres!$A$1:$I$89,3,0)*0.475*44/12</f>
        <v>2.7302841102193692E-18</v>
      </c>
      <c r="CN159" s="22">
        <f t="shared" si="172"/>
        <v>1.737050955741906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-2.2737367544323206E-13</v>
      </c>
      <c r="CU159" s="17">
        <f>CT159*VLOOKUP('Données projet'!$B$13,Paramètres!$A$1:$I$89,3,0)*VLOOKUP('Données projet'!$B$13,Paramètres!$A$1:$I$89,5,0)</f>
        <v>-1.8089849618263545E-13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314.94704727988847</v>
      </c>
      <c r="CZ159" s="59">
        <f t="shared" si="150"/>
        <v>366.49199094166454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0.32291562222849474</v>
      </c>
      <c r="DG159" s="21">
        <f>EXP(-LN(2)/25)*DG158+(1-EXP(-LN(2)/25))/(LN(2)/25)*Calculateur!DB159*Calculateur!DD159*VLOOKUP('Données projet'!$B$13,Paramètres!$A$1:$I$89,3,0)*0.475*44/12</f>
        <v>0.77225437682387643</v>
      </c>
      <c r="DH159" s="21">
        <f>EXP(-LN(2)/2)*DH158+(1-EXP(-LN(2)/2))/(LN(2)/2)*DB159*DE159*VLOOKUP('Données projet'!$B$13,Paramètres!$A$1:$I$89,3,0)*0.475*44/12</f>
        <v>3.1300089018852702E-18</v>
      </c>
      <c r="DI159" s="22">
        <f t="shared" si="175"/>
        <v>1.0951699990523711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-1.2505552149377763E-12</v>
      </c>
      <c r="O160" s="13">
        <f>N160*VLOOKUP('Données projet'!$B$9,Paramètres!$A$1:$I$89,3,0)*VLOOKUP('Données projet'!$B$9,Paramètres!$A$1:$I$89,5,0)</f>
        <v>-6.9906036515021697E-13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415.91544298418842</v>
      </c>
      <c r="T160" s="59">
        <f t="shared" si="142"/>
        <v>422.79312683312583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0.9233195766079344</v>
      </c>
      <c r="AA160" s="21">
        <f>EXP(-LN(2)/25)*AA159+(1-EXP(-LN(2)/25))/(LN(2)/25)*Calculateur!V160*Calculateur!X160*VLOOKUP('Données projet'!$B$9,Paramètres!$A$1:$I$89,3,0)*0.475*44/12</f>
        <v>1.1458948847651853</v>
      </c>
      <c r="AB160" s="21">
        <f>EXP(-LN(2)/2)*AB159+(1-EXP(-LN(2)/2))/(LN(2)/2)*V160*Y160*VLOOKUP('Données projet'!$B$9,Paramètres!$A$1:$I$89,3,0)*0.475*44/12</f>
        <v>2.7961055454332522E-18</v>
      </c>
      <c r="AC160" s="22">
        <f t="shared" si="163"/>
        <v>2.0692144613731198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-6.7984728957526396E-14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311.06126148520821</v>
      </c>
      <c r="AO160" s="59">
        <f t="shared" si="144"/>
        <v>321.1728368524748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0.28285202251689107</v>
      </c>
      <c r="AV160" s="21">
        <f>EXP(-LN(2)/25)*AV159+(1-EXP(-LN(2)/25))/(LN(2)/25)*Calculateur!AQ160*Calculateur!AS160*VLOOKUP('Données projet'!$B$10,Paramètres!$A$1:$I$89,3,0)*0.475*44/12</f>
        <v>0.6308938615168227</v>
      </c>
      <c r="AW160" s="21">
        <f>EXP(-LN(2)/2)*AW159+(1-EXP(-LN(2)/2))/(LN(2)/2)*AQ160*AT160*VLOOKUP('Données projet'!$B$10,Paramètres!$A$1:$I$89,3,0)*0.475*44/12</f>
        <v>2.3231951351939321E-18</v>
      </c>
      <c r="AX160" s="21">
        <f t="shared" si="166"/>
        <v>0.91374588403371382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-7.9580786405131221E-13</v>
      </c>
      <c r="BE160" s="13">
        <f>BD160*VLOOKUP('Données projet'!$B$11,Paramètres!$A$1:$I$89,3,0)*VLOOKUP('Données projet'!$B$11,Paramètres!$A$1:$I$89,5,0)</f>
        <v>-3.8278358260868117E-13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371.85813103419366</v>
      </c>
      <c r="BJ160" s="59">
        <f t="shared" si="146"/>
        <v>370.01698880104584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2.2472150774278661</v>
      </c>
      <c r="BQ160" s="21">
        <f>EXP(-LN(2)/25)*BQ159+(1-EXP(-LN(2)/25))/(LN(2)/25)*Calculateur!BL160*Calculateur!BN160*VLOOKUP('Données projet'!$B$11,Paramètres!$A$1:$I$89,3,0)*0.475*44/12</f>
        <v>1.3330740348989036</v>
      </c>
      <c r="BR160" s="21">
        <f>EXP(-LN(2)/2)*BR159+(1-EXP(-LN(2)/2))/(LN(2)/2)*BL160*BO160*VLOOKUP('Données projet'!$B$11,Paramètres!$A$1:$I$89,3,0)*0.475*44/12</f>
        <v>6.7819382729717736E-17</v>
      </c>
      <c r="BS160" s="22">
        <f t="shared" si="169"/>
        <v>3.5802891123267697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5.6843418860808015E-13</v>
      </c>
      <c r="BZ160" s="13">
        <f>BY160*VLOOKUP('Données projet'!$B$12,Paramètres!$A$1:$I$89,3,0)*VLOOKUP('Données projet'!$B$12,Paramètres!$A$1:$I$89,5,0)</f>
        <v>3.1036506698001181E-13</v>
      </c>
      <c r="CA160" s="13">
        <f t="shared" si="170"/>
        <v>4.086682523110923E-12</v>
      </c>
      <c r="CB160" s="20">
        <f t="shared" si="171"/>
        <v>7.6581912194083782E-12</v>
      </c>
      <c r="CC160" s="59">
        <f t="shared" si="119"/>
        <v>293.33333333334099</v>
      </c>
      <c r="CD160" s="59">
        <f ca="1">AVERAGE(OFFSET($CC$3,0,0,'Données projet'!$E$12+1,1))-AVERAGE(OFFSET($H$3,0,0,'Données projet'!$E$12+1,1))</f>
        <v>248.1486444660062</v>
      </c>
      <c r="CE160" s="59">
        <f t="shared" si="148"/>
        <v>293.34458072322127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0.68868318525851646</v>
      </c>
      <c r="CL160" s="21">
        <f>EXP(-LN(2)/25)*CL159+(1-EXP(-LN(2)/25))/(LN(2)/25)*Calculateur!CG160*Calculateur!CI160*VLOOKUP('Données projet'!$B$12,Paramètres!$A$1:$I$89,3,0)*0.475*44/12</f>
        <v>1.0063019984488568</v>
      </c>
      <c r="CM160" s="21">
        <f>EXP(-LN(2)/2)*CM159+(1-EXP(-LN(2)/2))/(LN(2)/2)*CG160*CJ160*VLOOKUP('Données projet'!$B$12,Paramètres!$A$1:$I$89,3,0)*0.475*44/12</f>
        <v>1.9306024089019951E-18</v>
      </c>
      <c r="CN160" s="22">
        <f t="shared" si="172"/>
        <v>1.6949851837073733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-2.2737367544323206E-13</v>
      </c>
      <c r="CU160" s="17">
        <f>CT160*VLOOKUP('Données projet'!$B$13,Paramètres!$A$1:$I$89,3,0)*VLOOKUP('Données projet'!$B$13,Paramètres!$A$1:$I$89,5,0)</f>
        <v>-1.8089849618263545E-13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314.94704727988847</v>
      </c>
      <c r="CZ160" s="59">
        <f t="shared" si="150"/>
        <v>366.49199094166454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0.31658344383567544</v>
      </c>
      <c r="DG160" s="21">
        <f>EXP(-LN(2)/25)*DG159+(1-EXP(-LN(2)/25))/(LN(2)/25)*Calculateur!DB160*Calculateur!DD160*VLOOKUP('Données projet'!$B$13,Paramètres!$A$1:$I$89,3,0)*0.475*44/12</f>
        <v>0.7511370402785349</v>
      </c>
      <c r="DH160" s="21">
        <f>EXP(-LN(2)/2)*DH159+(1-EXP(-LN(2)/2))/(LN(2)/2)*DB160*DE160*VLOOKUP('Données projet'!$B$13,Paramètres!$A$1:$I$89,3,0)*0.475*44/12</f>
        <v>2.2132505196973336E-18</v>
      </c>
      <c r="DI160" s="22">
        <f t="shared" si="175"/>
        <v>1.0677204841142103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-1.2505552149377763E-12</v>
      </c>
      <c r="O161" s="13">
        <f>N161*VLOOKUP('Données projet'!$B$9,Paramètres!$A$1:$I$89,3,0)*VLOOKUP('Données projet'!$B$9,Paramètres!$A$1:$I$89,5,0)</f>
        <v>-6.9906036515021697E-13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415.91544298418842</v>
      </c>
      <c r="T161" s="59">
        <f t="shared" si="142"/>
        <v>422.79312683312583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0.90521384287998619</v>
      </c>
      <c r="AA161" s="21">
        <f>EXP(-LN(2)/25)*AA160+(1-EXP(-LN(2)/25))/(LN(2)/25)*Calculateur!V161*Calculateur!X161*VLOOKUP('Données projet'!$B$9,Paramètres!$A$1:$I$89,3,0)*0.475*44/12</f>
        <v>1.1145603288812882</v>
      </c>
      <c r="AB161" s="21">
        <f>EXP(-LN(2)/2)*AB160+(1-EXP(-LN(2)/2))/(LN(2)/2)*V161*Y161*VLOOKUP('Données projet'!$B$9,Paramètres!$A$1:$I$89,3,0)*0.475*44/12</f>
        <v>1.9771451920891627E-18</v>
      </c>
      <c r="AC161" s="22">
        <f t="shared" si="163"/>
        <v>2.0197741717612745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-6.7984728957526396E-14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311.06126148520821</v>
      </c>
      <c r="AO161" s="59">
        <f t="shared" si="144"/>
        <v>321.1728368524748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0.27730546687803337</v>
      </c>
      <c r="AV161" s="21">
        <f>EXP(-LN(2)/25)*AV160+(1-EXP(-LN(2)/25))/(LN(2)/25)*Calculateur!AQ161*Calculateur!AS161*VLOOKUP('Données projet'!$B$10,Paramètres!$A$1:$I$89,3,0)*0.475*44/12</f>
        <v>0.61364203569637898</v>
      </c>
      <c r="AW161" s="21">
        <f>EXP(-LN(2)/2)*AW160+(1-EXP(-LN(2)/2))/(LN(2)/2)*AQ161*AT161*VLOOKUP('Données projet'!$B$10,Paramètres!$A$1:$I$89,3,0)*0.475*44/12</f>
        <v>1.6427470341152275E-18</v>
      </c>
      <c r="AX161" s="21">
        <f t="shared" si="166"/>
        <v>0.89094750257441235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-7.9580786405131221E-13</v>
      </c>
      <c r="BE161" s="13">
        <f>BD161*VLOOKUP('Données projet'!$B$11,Paramètres!$A$1:$I$89,3,0)*VLOOKUP('Données projet'!$B$11,Paramètres!$A$1:$I$89,5,0)</f>
        <v>-3.8278358260868117E-13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371.85813103419366</v>
      </c>
      <c r="BJ161" s="59">
        <f t="shared" si="146"/>
        <v>370.01698880104584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2.2031485604253609</v>
      </c>
      <c r="BQ161" s="21">
        <f>EXP(-LN(2)/25)*BQ160+(1-EXP(-LN(2)/25))/(LN(2)/25)*Calculateur!BL161*Calculateur!BN161*VLOOKUP('Données projet'!$B$11,Paramètres!$A$1:$I$89,3,0)*0.475*44/12</f>
        <v>1.2966210553112765</v>
      </c>
      <c r="BR161" s="21">
        <f>EXP(-LN(2)/2)*BR160+(1-EXP(-LN(2)/2))/(LN(2)/2)*BL161*BO161*VLOOKUP('Données projet'!$B$11,Paramètres!$A$1:$I$89,3,0)*0.475*44/12</f>
        <v>4.795554542406924E-17</v>
      </c>
      <c r="BS161" s="22">
        <f t="shared" si="169"/>
        <v>3.4997696157366374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5.6843418860808015E-13</v>
      </c>
      <c r="BZ161" s="13">
        <f>BY161*VLOOKUP('Données projet'!$B$12,Paramètres!$A$1:$I$89,3,0)*VLOOKUP('Données projet'!$B$12,Paramètres!$A$1:$I$89,5,0)</f>
        <v>3.1036506698001181E-13</v>
      </c>
      <c r="CA161" s="13">
        <f t="shared" si="170"/>
        <v>4.086682523110923E-12</v>
      </c>
      <c r="CB161" s="20">
        <f t="shared" si="171"/>
        <v>7.6581912194083782E-12</v>
      </c>
      <c r="CC161" s="59">
        <f t="shared" si="119"/>
        <v>293.33333333334099</v>
      </c>
      <c r="CD161" s="59">
        <f ca="1">AVERAGE(OFFSET($CC$3,0,0,'Données projet'!$E$12+1,1))-AVERAGE(OFFSET($H$3,0,0,'Données projet'!$E$12+1,1))</f>
        <v>248.1486444660062</v>
      </c>
      <c r="CE161" s="59">
        <f t="shared" si="148"/>
        <v>293.34458072322127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0.67517852805086298</v>
      </c>
      <c r="CL161" s="21">
        <f>EXP(-LN(2)/25)*CL160+(1-EXP(-LN(2)/25))/(LN(2)/25)*Calculateur!CG161*Calculateur!CI161*VLOOKUP('Données projet'!$B$12,Paramètres!$A$1:$I$89,3,0)*0.475*44/12</f>
        <v>0.97878461738215061</v>
      </c>
      <c r="CM161" s="21">
        <f>EXP(-LN(2)/2)*CM160+(1-EXP(-LN(2)/2))/(LN(2)/2)*CG161*CJ161*VLOOKUP('Données projet'!$B$12,Paramètres!$A$1:$I$89,3,0)*0.475*44/12</f>
        <v>1.3651420551096846E-18</v>
      </c>
      <c r="CN161" s="22">
        <f t="shared" si="172"/>
        <v>1.6539631454330137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-2.2737367544323206E-13</v>
      </c>
      <c r="CU161" s="17">
        <f>CT161*VLOOKUP('Données projet'!$B$13,Paramètres!$A$1:$I$89,3,0)*VLOOKUP('Données projet'!$B$13,Paramètres!$A$1:$I$89,5,0)</f>
        <v>-1.8089849618263545E-13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314.94704727988847</v>
      </c>
      <c r="CZ161" s="59">
        <f t="shared" si="150"/>
        <v>366.49199094166454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0.31037543559889186</v>
      </c>
      <c r="DG161" s="21">
        <f>EXP(-LN(2)/25)*DG160+(1-EXP(-LN(2)/25))/(LN(2)/25)*Calculateur!DB161*Calculateur!DD161*VLOOKUP('Données projet'!$B$13,Paramètres!$A$1:$I$89,3,0)*0.475*44/12</f>
        <v>0.73059715841153816</v>
      </c>
      <c r="DH161" s="21">
        <f>EXP(-LN(2)/2)*DH160+(1-EXP(-LN(2)/2))/(LN(2)/2)*DB161*DE161*VLOOKUP('Données projet'!$B$13,Paramètres!$A$1:$I$89,3,0)*0.475*44/12</f>
        <v>1.5650044509426351E-18</v>
      </c>
      <c r="DI161" s="22">
        <f t="shared" si="175"/>
        <v>1.04097259401043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-1.2505552149377763E-12</v>
      </c>
      <c r="O162" s="13">
        <f>N162*VLOOKUP('Données projet'!$B$9,Paramètres!$A$1:$I$89,3,0)*VLOOKUP('Données projet'!$B$9,Paramètres!$A$1:$I$89,5,0)</f>
        <v>-6.9906036515021697E-13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415.91544298418842</v>
      </c>
      <c r="T162" s="59">
        <f t="shared" si="142"/>
        <v>422.79312683312583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0.88746315154703592</v>
      </c>
      <c r="AA162" s="21">
        <f>EXP(-LN(2)/25)*AA161+(1-EXP(-LN(2)/25))/(LN(2)/25)*Calculateur!V162*Calculateur!X162*VLOOKUP('Données projet'!$B$9,Paramètres!$A$1:$I$89,3,0)*0.475*44/12</f>
        <v>1.0840826180758489</v>
      </c>
      <c r="AB162" s="21">
        <f>EXP(-LN(2)/2)*AB161+(1-EXP(-LN(2)/2))/(LN(2)/2)*V162*Y162*VLOOKUP('Données projet'!$B$9,Paramètres!$A$1:$I$89,3,0)*0.475*44/12</f>
        <v>1.3980527727166261E-18</v>
      </c>
      <c r="AC162" s="22">
        <f t="shared" si="163"/>
        <v>1.9715457696228849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-6.7984728957526396E-14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311.06126148520821</v>
      </c>
      <c r="AO162" s="59">
        <f t="shared" si="144"/>
        <v>321.1728368524748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0.27186767581218879</v>
      </c>
      <c r="AV162" s="21">
        <f>EXP(-LN(2)/25)*AV161+(1-EXP(-LN(2)/25))/(LN(2)/25)*Calculateur!AQ162*Calculateur!AS162*VLOOKUP('Données projet'!$B$10,Paramètres!$A$1:$I$89,3,0)*0.475*44/12</f>
        <v>0.59686196196022934</v>
      </c>
      <c r="AW162" s="21">
        <f>EXP(-LN(2)/2)*AW161+(1-EXP(-LN(2)/2))/(LN(2)/2)*AQ162*AT162*VLOOKUP('Données projet'!$B$10,Paramètres!$A$1:$I$89,3,0)*0.475*44/12</f>
        <v>1.1615975675969661E-18</v>
      </c>
      <c r="AX162" s="21">
        <f t="shared" si="166"/>
        <v>0.86872963777241807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-7.9580786405131221E-13</v>
      </c>
      <c r="BE162" s="13">
        <f>BD162*VLOOKUP('Données projet'!$B$11,Paramètres!$A$1:$I$89,3,0)*VLOOKUP('Données projet'!$B$11,Paramètres!$A$1:$I$89,5,0)</f>
        <v>-3.8278358260868117E-13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371.85813103419366</v>
      </c>
      <c r="BJ162" s="59">
        <f t="shared" si="146"/>
        <v>370.01698880104584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2.1599461609433535</v>
      </c>
      <c r="BQ162" s="21">
        <f>EXP(-LN(2)/25)*BQ161+(1-EXP(-LN(2)/25))/(LN(2)/25)*Calculateur!BL162*Calculateur!BN162*VLOOKUP('Données projet'!$B$11,Paramètres!$A$1:$I$89,3,0)*0.475*44/12</f>
        <v>1.2611648843674519</v>
      </c>
      <c r="BR162" s="21">
        <f>EXP(-LN(2)/2)*BR161+(1-EXP(-LN(2)/2))/(LN(2)/2)*BL162*BO162*VLOOKUP('Données projet'!$B$11,Paramètres!$A$1:$I$89,3,0)*0.475*44/12</f>
        <v>3.3909691364858868E-17</v>
      </c>
      <c r="BS162" s="22">
        <f t="shared" si="169"/>
        <v>3.4211110453108056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5.6843418860808015E-13</v>
      </c>
      <c r="BZ162" s="13">
        <f>BY162*VLOOKUP('Données projet'!$B$12,Paramètres!$A$1:$I$89,3,0)*VLOOKUP('Données projet'!$B$12,Paramètres!$A$1:$I$89,5,0)</f>
        <v>3.1036506698001181E-13</v>
      </c>
      <c r="CA162" s="13">
        <f t="shared" si="170"/>
        <v>4.086682523110923E-12</v>
      </c>
      <c r="CB162" s="20">
        <f t="shared" si="171"/>
        <v>7.6581912194083782E-12</v>
      </c>
      <c r="CC162" s="59">
        <f t="shared" si="119"/>
        <v>293.33333333334099</v>
      </c>
      <c r="CD162" s="59">
        <f ca="1">AVERAGE(OFFSET($CC$3,0,0,'Données projet'!$E$12+1,1))-AVERAGE(OFFSET($H$3,0,0,'Données projet'!$E$12+1,1))</f>
        <v>248.1486444660062</v>
      </c>
      <c r="CE162" s="59">
        <f t="shared" si="148"/>
        <v>293.34458072322127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0.66193868893402397</v>
      </c>
      <c r="CL162" s="21">
        <f>EXP(-LN(2)/25)*CL161+(1-EXP(-LN(2)/25))/(LN(2)/25)*Calculateur!CG162*Calculateur!CI162*VLOOKUP('Données projet'!$B$12,Paramètres!$A$1:$I$89,3,0)*0.475*44/12</f>
        <v>0.95201970054778973</v>
      </c>
      <c r="CM162" s="21">
        <f>EXP(-LN(2)/2)*CM161+(1-EXP(-LN(2)/2))/(LN(2)/2)*CG162*CJ162*VLOOKUP('Données projet'!$B$12,Paramètres!$A$1:$I$89,3,0)*0.475*44/12</f>
        <v>9.6530120445099756E-19</v>
      </c>
      <c r="CN162" s="22">
        <f t="shared" si="172"/>
        <v>1.6139583894818137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-2.2737367544323206E-13</v>
      </c>
      <c r="CU162" s="17">
        <f>CT162*VLOOKUP('Données projet'!$B$13,Paramètres!$A$1:$I$89,3,0)*VLOOKUP('Données projet'!$B$13,Paramètres!$A$1:$I$89,5,0)</f>
        <v>-1.8089849618263545E-13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314.94704727988847</v>
      </c>
      <c r="CZ162" s="59">
        <f t="shared" si="150"/>
        <v>366.49199094166454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0.30428916261712047</v>
      </c>
      <c r="DG162" s="21">
        <f>EXP(-LN(2)/25)*DG161+(1-EXP(-LN(2)/25))/(LN(2)/25)*Calculateur!DB162*Calculateur!DD162*VLOOKUP('Données projet'!$B$13,Paramètres!$A$1:$I$89,3,0)*0.475*44/12</f>
        <v>0.71061894069433984</v>
      </c>
      <c r="DH162" s="21">
        <f>EXP(-LN(2)/2)*DH161+(1-EXP(-LN(2)/2))/(LN(2)/2)*DB162*DE162*VLOOKUP('Données projet'!$B$13,Paramètres!$A$1:$I$89,3,0)*0.475*44/12</f>
        <v>1.1066252598486668E-18</v>
      </c>
      <c r="DI162" s="22">
        <f t="shared" si="175"/>
        <v>1.0149081033114604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-1.2505552149377763E-12</v>
      </c>
      <c r="O163" s="13">
        <f>N163*VLOOKUP('Données projet'!$B$9,Paramètres!$A$1:$I$89,3,0)*VLOOKUP('Données projet'!$B$9,Paramètres!$A$1:$I$89,5,0)</f>
        <v>-6.9906036515021697E-13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415.91544298418842</v>
      </c>
      <c r="T163" s="59">
        <f t="shared" si="142"/>
        <v>422.79312683312583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0.87006054044427217</v>
      </c>
      <c r="AA163" s="21">
        <f>EXP(-LN(2)/25)*AA162+(1-EXP(-LN(2)/25))/(LN(2)/25)*Calculateur!V163*Calculateur!X163*VLOOKUP('Données projet'!$B$9,Paramètres!$A$1:$I$89,3,0)*0.475*44/12</f>
        <v>1.0544383218751376</v>
      </c>
      <c r="AB163" s="21">
        <f>EXP(-LN(2)/2)*AB162+(1-EXP(-LN(2)/2))/(LN(2)/2)*V163*Y163*VLOOKUP('Données projet'!$B$9,Paramètres!$A$1:$I$89,3,0)*0.475*44/12</f>
        <v>9.8857259604458137E-19</v>
      </c>
      <c r="AC163" s="22">
        <f t="shared" si="163"/>
        <v>1.9244988623194099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-6.7984728957526396E-14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311.06126148520821</v>
      </c>
      <c r="AO163" s="59">
        <f t="shared" si="144"/>
        <v>321.1728368524748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0.26653651651242039</v>
      </c>
      <c r="AV163" s="21">
        <f>EXP(-LN(2)/25)*AV162+(1-EXP(-LN(2)/25))/(LN(2)/25)*Calculateur!AQ163*Calculateur!AS163*VLOOKUP('Données projet'!$B$10,Paramètres!$A$1:$I$89,3,0)*0.475*44/12</f>
        <v>0.58054074022282043</v>
      </c>
      <c r="AW163" s="21">
        <f>EXP(-LN(2)/2)*AW162+(1-EXP(-LN(2)/2))/(LN(2)/2)*AQ163*AT163*VLOOKUP('Données projet'!$B$10,Paramètres!$A$1:$I$89,3,0)*0.475*44/12</f>
        <v>8.2137351705761374E-19</v>
      </c>
      <c r="AX163" s="21">
        <f t="shared" si="166"/>
        <v>0.84707725673524081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-7.9580786405131221E-13</v>
      </c>
      <c r="BE163" s="13">
        <f>BD163*VLOOKUP('Données projet'!$B$11,Paramètres!$A$1:$I$89,3,0)*VLOOKUP('Données projet'!$B$11,Paramètres!$A$1:$I$89,5,0)</f>
        <v>-3.8278358260868117E-13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371.85813103419366</v>
      </c>
      <c r="BJ163" s="59">
        <f t="shared" si="146"/>
        <v>370.01698880104584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2.1175909341643262</v>
      </c>
      <c r="BQ163" s="21">
        <f>EXP(-LN(2)/25)*BQ162+(1-EXP(-LN(2)/25))/(LN(2)/25)*Calculateur!BL163*Calculateur!BN163*VLOOKUP('Données projet'!$B$11,Paramètres!$A$1:$I$89,3,0)*0.475*44/12</f>
        <v>1.226678264282645</v>
      </c>
      <c r="BR163" s="21">
        <f>EXP(-LN(2)/2)*BR162+(1-EXP(-LN(2)/2))/(LN(2)/2)*BL163*BO163*VLOOKUP('Données projet'!$B$11,Paramètres!$A$1:$I$89,3,0)*0.475*44/12</f>
        <v>2.397777271203462E-17</v>
      </c>
      <c r="BS163" s="22">
        <f t="shared" si="169"/>
        <v>3.3442691984469715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5.6843418860808015E-13</v>
      </c>
      <c r="BZ163" s="13">
        <f>BY163*VLOOKUP('Données projet'!$B$12,Paramètres!$A$1:$I$89,3,0)*VLOOKUP('Données projet'!$B$12,Paramètres!$A$1:$I$89,5,0)</f>
        <v>3.1036506698001181E-13</v>
      </c>
      <c r="CA163" s="13">
        <f t="shared" si="170"/>
        <v>4.086682523110923E-12</v>
      </c>
      <c r="CB163" s="20">
        <f t="shared" si="171"/>
        <v>7.6581912194083782E-12</v>
      </c>
      <c r="CC163" s="59">
        <f t="shared" si="119"/>
        <v>293.33333333334099</v>
      </c>
      <c r="CD163" s="59">
        <f ca="1">AVERAGE(OFFSET($CC$3,0,0,'Données projet'!$E$12+1,1))-AVERAGE(OFFSET($H$3,0,0,'Données projet'!$E$12+1,1))</f>
        <v>248.1486444660062</v>
      </c>
      <c r="CE163" s="59">
        <f t="shared" si="148"/>
        <v>293.34458072322127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0.64895847498676174</v>
      </c>
      <c r="CL163" s="21">
        <f>EXP(-LN(2)/25)*CL162+(1-EXP(-LN(2)/25))/(LN(2)/25)*Calculateur!CG163*Calculateur!CI163*VLOOKUP('Données projet'!$B$12,Paramètres!$A$1:$I$89,3,0)*0.475*44/12</f>
        <v>0.92598667177177019</v>
      </c>
      <c r="CM163" s="21">
        <f>EXP(-LN(2)/2)*CM162+(1-EXP(-LN(2)/2))/(LN(2)/2)*CG163*CJ163*VLOOKUP('Données projet'!$B$12,Paramètres!$A$1:$I$89,3,0)*0.475*44/12</f>
        <v>6.8257102755484231E-19</v>
      </c>
      <c r="CN163" s="22">
        <f t="shared" si="172"/>
        <v>1.574945146758532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-2.2737367544323206E-13</v>
      </c>
      <c r="CU163" s="17">
        <f>CT163*VLOOKUP('Données projet'!$B$13,Paramètres!$A$1:$I$89,3,0)*VLOOKUP('Données projet'!$B$13,Paramètres!$A$1:$I$89,5,0)</f>
        <v>-1.8089849618263545E-13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314.94704727988847</v>
      </c>
      <c r="CZ163" s="59">
        <f t="shared" si="150"/>
        <v>366.49199094166454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0.29832223773626165</v>
      </c>
      <c r="DG163" s="21">
        <f>EXP(-LN(2)/25)*DG162+(1-EXP(-LN(2)/25))/(LN(2)/25)*Calculateur!DB163*Calculateur!DD163*VLOOKUP('Données projet'!$B$13,Paramètres!$A$1:$I$89,3,0)*0.475*44/12</f>
        <v>0.69118702839122714</v>
      </c>
      <c r="DH163" s="21">
        <f>EXP(-LN(2)/2)*DH162+(1-EXP(-LN(2)/2))/(LN(2)/2)*DB163*DE163*VLOOKUP('Données projet'!$B$13,Paramètres!$A$1:$I$89,3,0)*0.475*44/12</f>
        <v>7.8250222547131755E-19</v>
      </c>
      <c r="DI163" s="22">
        <f t="shared" si="175"/>
        <v>0.9895092661274888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-1.2505552149377763E-12</v>
      </c>
      <c r="O164" s="13">
        <f>N164*VLOOKUP('Données projet'!$B$9,Paramètres!$A$1:$I$89,3,0)*VLOOKUP('Données projet'!$B$9,Paramètres!$A$1:$I$89,5,0)</f>
        <v>-6.9906036515021697E-13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415.91544298418842</v>
      </c>
      <c r="T164" s="59">
        <f t="shared" si="142"/>
        <v>422.79312683312583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0.85299918393068896</v>
      </c>
      <c r="AA164" s="21">
        <f>EXP(-LN(2)/25)*AA163+(1-EXP(-LN(2)/25))/(LN(2)/25)*Calculateur!V164*Calculateur!X164*VLOOKUP('Données projet'!$B$9,Paramètres!$A$1:$I$89,3,0)*0.475*44/12</f>
        <v>1.0256046505129606</v>
      </c>
      <c r="AB164" s="21">
        <f>EXP(-LN(2)/2)*AB163+(1-EXP(-LN(2)/2))/(LN(2)/2)*V164*Y164*VLOOKUP('Données projet'!$B$9,Paramètres!$A$1:$I$89,3,0)*0.475*44/12</f>
        <v>6.9902638635831304E-19</v>
      </c>
      <c r="AC164" s="22">
        <f t="shared" si="163"/>
        <v>1.8786038344436495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-6.7984728957526396E-14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311.06126148520821</v>
      </c>
      <c r="AO164" s="59">
        <f t="shared" si="144"/>
        <v>321.1728368524748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0.26130989799483434</v>
      </c>
      <c r="AV164" s="21">
        <f>EXP(-LN(2)/25)*AV163+(1-EXP(-LN(2)/25))/(LN(2)/25)*Calculateur!AQ164*Calculateur!AS164*VLOOKUP('Données projet'!$B$10,Paramètres!$A$1:$I$89,3,0)*0.475*44/12</f>
        <v>0.56466582315211666</v>
      </c>
      <c r="AW164" s="21">
        <f>EXP(-LN(2)/2)*AW163+(1-EXP(-LN(2)/2))/(LN(2)/2)*AQ164*AT164*VLOOKUP('Données projet'!$B$10,Paramètres!$A$1:$I$89,3,0)*0.475*44/12</f>
        <v>5.8079878379848303E-19</v>
      </c>
      <c r="AX164" s="21">
        <f t="shared" si="166"/>
        <v>0.82597572114695095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-7.9580786405131221E-13</v>
      </c>
      <c r="BE164" s="13">
        <f>BD164*VLOOKUP('Données projet'!$B$11,Paramètres!$A$1:$I$89,3,0)*VLOOKUP('Données projet'!$B$11,Paramètres!$A$1:$I$89,5,0)</f>
        <v>-3.8278358260868117E-13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371.85813103419366</v>
      </c>
      <c r="BJ164" s="59">
        <f t="shared" si="146"/>
        <v>370.01698880104584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2.0760662675482986</v>
      </c>
      <c r="BQ164" s="21">
        <f>EXP(-LN(2)/25)*BQ163+(1-EXP(-LN(2)/25))/(LN(2)/25)*Calculateur!BL164*Calculateur!BN164*VLOOKUP('Données projet'!$B$11,Paramètres!$A$1:$I$89,3,0)*0.475*44/12</f>
        <v>1.1931346826376299</v>
      </c>
      <c r="BR164" s="21">
        <f>EXP(-LN(2)/2)*BR163+(1-EXP(-LN(2)/2))/(LN(2)/2)*BL164*BO164*VLOOKUP('Données projet'!$B$11,Paramètres!$A$1:$I$89,3,0)*0.475*44/12</f>
        <v>1.6954845682429434E-17</v>
      </c>
      <c r="BS164" s="22">
        <f t="shared" si="169"/>
        <v>3.2692009501859287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5.6843418860808015E-13</v>
      </c>
      <c r="BZ164" s="13">
        <f>BY164*VLOOKUP('Données projet'!$B$12,Paramètres!$A$1:$I$89,3,0)*VLOOKUP('Données projet'!$B$12,Paramètres!$A$1:$I$89,5,0)</f>
        <v>3.1036506698001181E-13</v>
      </c>
      <c r="CA164" s="13">
        <f t="shared" si="170"/>
        <v>4.086682523110923E-12</v>
      </c>
      <c r="CB164" s="20">
        <f t="shared" si="171"/>
        <v>7.6581912194083782E-12</v>
      </c>
      <c r="CC164" s="59">
        <f t="shared" si="119"/>
        <v>293.33333333334099</v>
      </c>
      <c r="CD164" s="59">
        <f ca="1">AVERAGE(OFFSET($CC$3,0,0,'Données projet'!$E$12+1,1))-AVERAGE(OFFSET($H$3,0,0,'Données projet'!$E$12+1,1))</f>
        <v>248.1486444660062</v>
      </c>
      <c r="CE164" s="59">
        <f t="shared" si="148"/>
        <v>293.34458072322127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0.63623279511785658</v>
      </c>
      <c r="CL164" s="21">
        <f>EXP(-LN(2)/25)*CL163+(1-EXP(-LN(2)/25))/(LN(2)/25)*Calculateur!CG164*Calculateur!CI164*VLOOKUP('Données projet'!$B$12,Paramètres!$A$1:$I$89,3,0)*0.475*44/12</f>
        <v>0.90066551753664847</v>
      </c>
      <c r="CM164" s="21">
        <f>EXP(-LN(2)/2)*CM163+(1-EXP(-LN(2)/2))/(LN(2)/2)*CG164*CJ164*VLOOKUP('Données projet'!$B$12,Paramètres!$A$1:$I$89,3,0)*0.475*44/12</f>
        <v>4.8265060222549878E-19</v>
      </c>
      <c r="CN164" s="22">
        <f t="shared" si="172"/>
        <v>1.536898312654505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-2.2737367544323206E-13</v>
      </c>
      <c r="CU164" s="17">
        <f>CT164*VLOOKUP('Données projet'!$B$13,Paramètres!$A$1:$I$89,3,0)*VLOOKUP('Données projet'!$B$13,Paramètres!$A$1:$I$89,5,0)</f>
        <v>-1.8089849618263545E-13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314.94704727988847</v>
      </c>
      <c r="CZ164" s="59">
        <f t="shared" si="150"/>
        <v>366.49199094166454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0.29247232061285167</v>
      </c>
      <c r="DG164" s="21">
        <f>EXP(-LN(2)/25)*DG163+(1-EXP(-LN(2)/25))/(LN(2)/25)*Calculateur!DB164*Calculateur!DD164*VLOOKUP('Données projet'!$B$13,Paramètres!$A$1:$I$89,3,0)*0.475*44/12</f>
        <v>0.67228648275192293</v>
      </c>
      <c r="DH164" s="21">
        <f>EXP(-LN(2)/2)*DH163+(1-EXP(-LN(2)/2))/(LN(2)/2)*DB164*DE164*VLOOKUP('Données projet'!$B$13,Paramètres!$A$1:$I$89,3,0)*0.475*44/12</f>
        <v>5.5331262992433341E-19</v>
      </c>
      <c r="DI164" s="22">
        <f t="shared" si="175"/>
        <v>0.9647588033647746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-1.2505552149377763E-12</v>
      </c>
      <c r="O165" s="13">
        <f>N165*VLOOKUP('Données projet'!$B$9,Paramètres!$A$1:$I$89,3,0)*VLOOKUP('Données projet'!$B$9,Paramètres!$A$1:$I$89,5,0)</f>
        <v>-6.9906036515021697E-13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415.91544298418842</v>
      </c>
      <c r="T165" s="59">
        <f t="shared" si="142"/>
        <v>422.79312683312583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0.83627239021193711</v>
      </c>
      <c r="AA165" s="21">
        <f>EXP(-LN(2)/25)*AA164+(1-EXP(-LN(2)/25))/(LN(2)/25)*Calculateur!V165*Calculateur!X165*VLOOKUP('Données projet'!$B$9,Paramètres!$A$1:$I$89,3,0)*0.475*44/12</f>
        <v>0.99755943741047914</v>
      </c>
      <c r="AB165" s="21">
        <f>EXP(-LN(2)/2)*AB164+(1-EXP(-LN(2)/2))/(LN(2)/2)*V165*Y165*VLOOKUP('Données projet'!$B$9,Paramètres!$A$1:$I$89,3,0)*0.475*44/12</f>
        <v>4.9428629802229068E-19</v>
      </c>
      <c r="AC165" s="22">
        <f t="shared" si="163"/>
        <v>1.8338318276224164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-6.7984728957526396E-14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311.06126148520821</v>
      </c>
      <c r="AO165" s="59">
        <f t="shared" si="144"/>
        <v>321.1728368524748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0.25618577027845563</v>
      </c>
      <c r="AV165" s="21">
        <f>EXP(-LN(2)/25)*AV164+(1-EXP(-LN(2)/25))/(LN(2)/25)*Calculateur!AQ165*Calculateur!AS165*VLOOKUP('Données projet'!$B$10,Paramètres!$A$1:$I$89,3,0)*0.475*44/12</f>
        <v>0.54922500652353701</v>
      </c>
      <c r="AW165" s="21">
        <f>EXP(-LN(2)/2)*AW164+(1-EXP(-LN(2)/2))/(LN(2)/2)*AQ165*AT165*VLOOKUP('Données projet'!$B$10,Paramètres!$A$1:$I$89,3,0)*0.475*44/12</f>
        <v>4.1068675852880687E-19</v>
      </c>
      <c r="AX165" s="21">
        <f t="shared" si="166"/>
        <v>0.80541077680199269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-7.9580786405131221E-13</v>
      </c>
      <c r="BE165" s="13">
        <f>BD165*VLOOKUP('Données projet'!$B$11,Paramètres!$A$1:$I$89,3,0)*VLOOKUP('Données projet'!$B$11,Paramètres!$A$1:$I$89,5,0)</f>
        <v>-3.8278358260868117E-13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371.85813103419366</v>
      </c>
      <c r="BJ165" s="59">
        <f t="shared" si="146"/>
        <v>370.01698880104584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2.0353558743170654</v>
      </c>
      <c r="BQ165" s="21">
        <f>EXP(-LN(2)/25)*BQ164+(1-EXP(-LN(2)/25))/(LN(2)/25)*Calculateur!BL165*Calculateur!BN165*VLOOKUP('Données projet'!$B$11,Paramètres!$A$1:$I$89,3,0)*0.475*44/12</f>
        <v>1.1605083519966779</v>
      </c>
      <c r="BR165" s="21">
        <f>EXP(-LN(2)/2)*BR164+(1-EXP(-LN(2)/2))/(LN(2)/2)*BL165*BO165*VLOOKUP('Données projet'!$B$11,Paramètres!$A$1:$I$89,3,0)*0.475*44/12</f>
        <v>1.198888635601731E-17</v>
      </c>
      <c r="BS165" s="22">
        <f t="shared" si="169"/>
        <v>3.1958642263137431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5.6843418860808015E-13</v>
      </c>
      <c r="BZ165" s="13">
        <f>BY165*VLOOKUP('Données projet'!$B$12,Paramètres!$A$1:$I$89,3,0)*VLOOKUP('Données projet'!$B$12,Paramètres!$A$1:$I$89,5,0)</f>
        <v>3.1036506698001181E-13</v>
      </c>
      <c r="CA165" s="13">
        <f t="shared" si="170"/>
        <v>4.086682523110923E-12</v>
      </c>
      <c r="CB165" s="20">
        <f t="shared" si="171"/>
        <v>7.6581912194083782E-12</v>
      </c>
      <c r="CC165" s="59">
        <f t="shared" si="119"/>
        <v>293.33333333334099</v>
      </c>
      <c r="CD165" s="59">
        <f ca="1">AVERAGE(OFFSET($CC$3,0,0,'Données projet'!$E$12+1,1))-AVERAGE(OFFSET($H$3,0,0,'Données projet'!$E$12+1,1))</f>
        <v>248.1486444660062</v>
      </c>
      <c r="CE165" s="59">
        <f t="shared" si="148"/>
        <v>293.34458072322127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0.62375665806928238</v>
      </c>
      <c r="CL165" s="21">
        <f>EXP(-LN(2)/25)*CL164+(1-EXP(-LN(2)/25))/(LN(2)/25)*Calculateur!CG165*Calculateur!CI165*VLOOKUP('Données projet'!$B$12,Paramètres!$A$1:$I$89,3,0)*0.475*44/12</f>
        <v>0.87603677159566773</v>
      </c>
      <c r="CM165" s="21">
        <f>EXP(-LN(2)/2)*CM164+(1-EXP(-LN(2)/2))/(LN(2)/2)*CG165*CJ165*VLOOKUP('Données projet'!$B$12,Paramètres!$A$1:$I$89,3,0)*0.475*44/12</f>
        <v>3.4128551377742116E-19</v>
      </c>
      <c r="CN165" s="22">
        <f t="shared" si="172"/>
        <v>1.4997934296649502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-2.2737367544323206E-13</v>
      </c>
      <c r="CU165" s="17">
        <f>CT165*VLOOKUP('Données projet'!$B$13,Paramètres!$A$1:$I$89,3,0)*VLOOKUP('Données projet'!$B$13,Paramètres!$A$1:$I$89,5,0)</f>
        <v>-1.8089849618263545E-13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314.94704727988847</v>
      </c>
      <c r="CZ165" s="59">
        <f t="shared" si="150"/>
        <v>366.49199094166454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0.28673711679613462</v>
      </c>
      <c r="DG165" s="21">
        <f>EXP(-LN(2)/25)*DG164+(1-EXP(-LN(2)/25))/(LN(2)/25)*Calculateur!DB165*Calculateur!DD165*VLOOKUP('Données projet'!$B$13,Paramètres!$A$1:$I$89,3,0)*0.475*44/12</f>
        <v>0.65390277352706205</v>
      </c>
      <c r="DH165" s="21">
        <f>EXP(-LN(2)/2)*DH164+(1-EXP(-LN(2)/2))/(LN(2)/2)*DB165*DE165*VLOOKUP('Données projet'!$B$13,Paramètres!$A$1:$I$89,3,0)*0.475*44/12</f>
        <v>3.9125111273565878E-19</v>
      </c>
      <c r="DI165" s="22">
        <f t="shared" si="175"/>
        <v>0.94063989032319673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-1.2505552149377763E-12</v>
      </c>
      <c r="O166" s="13">
        <f>N166*VLOOKUP('Données projet'!$B$9,Paramètres!$A$1:$I$89,3,0)*VLOOKUP('Données projet'!$B$9,Paramètres!$A$1:$I$89,5,0)</f>
        <v>-6.9906036515021697E-13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415.91544298418842</v>
      </c>
      <c r="T166" s="59">
        <f t="shared" si="142"/>
        <v>422.79312683312583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0.81987359871567322</v>
      </c>
      <c r="AA166" s="21">
        <f>EXP(-LN(2)/25)*AA165+(1-EXP(-LN(2)/25))/(LN(2)/25)*Calculateur!V166*Calculateur!X166*VLOOKUP('Données projet'!$B$9,Paramètres!$A$1:$I$89,3,0)*0.475*44/12</f>
        <v>0.97028112213511875</v>
      </c>
      <c r="AB166" s="21">
        <f>EXP(-LN(2)/2)*AB165+(1-EXP(-LN(2)/2))/(LN(2)/2)*V166*Y166*VLOOKUP('Données projet'!$B$9,Paramètres!$A$1:$I$89,3,0)*0.475*44/12</f>
        <v>3.4951319317915652E-19</v>
      </c>
      <c r="AC166" s="22">
        <f t="shared" si="163"/>
        <v>1.790154720850792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-6.7984728957526396E-14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311.06126148520821</v>
      </c>
      <c r="AO166" s="59">
        <f t="shared" si="144"/>
        <v>321.1728368524748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0.25116212358118578</v>
      </c>
      <c r="AV166" s="21">
        <f>EXP(-LN(2)/25)*AV165+(1-EXP(-LN(2)/25))/(LN(2)/25)*Calculateur!AQ166*Calculateur!AS166*VLOOKUP('Données projet'!$B$10,Paramètres!$A$1:$I$89,3,0)*0.475*44/12</f>
        <v>0.53420641983766304</v>
      </c>
      <c r="AW166" s="21">
        <f>EXP(-LN(2)/2)*AW165+(1-EXP(-LN(2)/2))/(LN(2)/2)*AQ166*AT166*VLOOKUP('Données projet'!$B$10,Paramètres!$A$1:$I$89,3,0)*0.475*44/12</f>
        <v>2.9039939189924152E-19</v>
      </c>
      <c r="AX166" s="21">
        <f t="shared" si="166"/>
        <v>0.78536854341884887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-7.9580786405131221E-13</v>
      </c>
      <c r="BE166" s="13">
        <f>BD166*VLOOKUP('Données projet'!$B$11,Paramètres!$A$1:$I$89,3,0)*VLOOKUP('Données projet'!$B$11,Paramètres!$A$1:$I$89,5,0)</f>
        <v>-3.8278358260868117E-13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371.85813103419366</v>
      </c>
      <c r="BJ166" s="59">
        <f t="shared" si="146"/>
        <v>370.01698880104584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1.9954437870662087</v>
      </c>
      <c r="BQ166" s="21">
        <f>EXP(-LN(2)/25)*BQ165+(1-EXP(-LN(2)/25))/(LN(2)/25)*Calculateur!BL166*Calculateur!BN166*VLOOKUP('Données projet'!$B$11,Paramètres!$A$1:$I$89,3,0)*0.475*44/12</f>
        <v>1.128774190082847</v>
      </c>
      <c r="BR166" s="21">
        <f>EXP(-LN(2)/2)*BR165+(1-EXP(-LN(2)/2))/(LN(2)/2)*BL166*BO166*VLOOKUP('Données projet'!$B$11,Paramètres!$A$1:$I$89,3,0)*0.475*44/12</f>
        <v>8.477422841214717E-18</v>
      </c>
      <c r="BS166" s="22">
        <f t="shared" si="169"/>
        <v>3.1242179771490557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5.6843418860808015E-13</v>
      </c>
      <c r="BZ166" s="13">
        <f>BY166*VLOOKUP('Données projet'!$B$12,Paramètres!$A$1:$I$89,3,0)*VLOOKUP('Données projet'!$B$12,Paramètres!$A$1:$I$89,5,0)</f>
        <v>3.1036506698001181E-13</v>
      </c>
      <c r="CA166" s="13">
        <f t="shared" si="170"/>
        <v>4.086682523110923E-12</v>
      </c>
      <c r="CB166" s="20">
        <f t="shared" si="171"/>
        <v>7.6581912194083782E-12</v>
      </c>
      <c r="CC166" s="59">
        <f t="shared" si="119"/>
        <v>293.33333333334099</v>
      </c>
      <c r="CD166" s="59">
        <f ca="1">AVERAGE(OFFSET($CC$3,0,0,'Données projet'!$E$12+1,1))-AVERAGE(OFFSET($H$3,0,0,'Données projet'!$E$12+1,1))</f>
        <v>248.1486444660062</v>
      </c>
      <c r="CE166" s="59">
        <f t="shared" si="148"/>
        <v>293.34458072322127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0.61152517045853849</v>
      </c>
      <c r="CL166" s="21">
        <f>EXP(-LN(2)/25)*CL165+(1-EXP(-LN(2)/25))/(LN(2)/25)*Calculateur!CG166*Calculateur!CI166*VLOOKUP('Données projet'!$B$12,Paramètres!$A$1:$I$89,3,0)*0.475*44/12</f>
        <v>0.85208150000761262</v>
      </c>
      <c r="CM166" s="21">
        <f>EXP(-LN(2)/2)*CM165+(1-EXP(-LN(2)/2))/(LN(2)/2)*CG166*CJ166*VLOOKUP('Données projet'!$B$12,Paramètres!$A$1:$I$89,3,0)*0.475*44/12</f>
        <v>2.4132530111274939E-19</v>
      </c>
      <c r="CN166" s="22">
        <f t="shared" si="172"/>
        <v>1.463606670466151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-2.2737367544323206E-13</v>
      </c>
      <c r="CU166" s="17">
        <f>CT166*VLOOKUP('Données projet'!$B$13,Paramètres!$A$1:$I$89,3,0)*VLOOKUP('Données projet'!$B$13,Paramètres!$A$1:$I$89,5,0)</f>
        <v>-1.8089849618263545E-13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314.94704727988847</v>
      </c>
      <c r="CZ166" s="59">
        <f t="shared" si="150"/>
        <v>366.49199094166454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0.28111437682813445</v>
      </c>
      <c r="DG166" s="21">
        <f>EXP(-LN(2)/25)*DG165+(1-EXP(-LN(2)/25))/(LN(2)/25)*Calculateur!DB166*Calculateur!DD166*VLOOKUP('Données projet'!$B$13,Paramètres!$A$1:$I$89,3,0)*0.475*44/12</f>
        <v>0.63602176779771225</v>
      </c>
      <c r="DH166" s="21">
        <f>EXP(-LN(2)/2)*DH165+(1-EXP(-LN(2)/2))/(LN(2)/2)*DB166*DE166*VLOOKUP('Données projet'!$B$13,Paramètres!$A$1:$I$89,3,0)*0.475*44/12</f>
        <v>2.766563149621667E-19</v>
      </c>
      <c r="DI166" s="22">
        <f t="shared" si="175"/>
        <v>0.91713614462584669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-1.2505552149377763E-12</v>
      </c>
      <c r="O167" s="13">
        <f>N167*VLOOKUP('Données projet'!$B$9,Paramètres!$A$1:$I$89,3,0)*VLOOKUP('Données projet'!$B$9,Paramètres!$A$1:$I$89,5,0)</f>
        <v>-6.9906036515021697E-13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415.91544298418842</v>
      </c>
      <c r="T167" s="59">
        <f t="shared" si="142"/>
        <v>422.79312683312583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0.80379637751837596</v>
      </c>
      <c r="AA167" s="21">
        <f>EXP(-LN(2)/25)*AA166+(1-EXP(-LN(2)/25))/(LN(2)/25)*Calculateur!V167*Calculateur!X167*VLOOKUP('Données projet'!$B$9,Paramètres!$A$1:$I$89,3,0)*0.475*44/12</f>
        <v>0.94374873382546731</v>
      </c>
      <c r="AB167" s="21">
        <f>EXP(-LN(2)/2)*AB166+(1-EXP(-LN(2)/2))/(LN(2)/2)*V167*Y167*VLOOKUP('Données projet'!$B$9,Paramètres!$A$1:$I$89,3,0)*0.475*44/12</f>
        <v>2.4714314901114534E-19</v>
      </c>
      <c r="AC167" s="22">
        <f t="shared" si="163"/>
        <v>1.7475451113438432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-6.7984728957526396E-14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311.06126148520821</v>
      </c>
      <c r="AO167" s="59">
        <f t="shared" si="144"/>
        <v>321.1728368524748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0.24623698753152748</v>
      </c>
      <c r="AV167" s="21">
        <f>EXP(-LN(2)/25)*AV166+(1-EXP(-LN(2)/25))/(LN(2)/25)*Calculateur!AQ167*Calculateur!AS167*VLOOKUP('Données projet'!$B$10,Paramètres!$A$1:$I$89,3,0)*0.475*44/12</f>
        <v>0.51959851719450745</v>
      </c>
      <c r="AW167" s="21">
        <f>EXP(-LN(2)/2)*AW166+(1-EXP(-LN(2)/2))/(LN(2)/2)*AQ167*AT167*VLOOKUP('Données projet'!$B$10,Paramètres!$A$1:$I$89,3,0)*0.475*44/12</f>
        <v>2.0534337926440344E-19</v>
      </c>
      <c r="AX167" s="21">
        <f t="shared" si="166"/>
        <v>0.7658355047260349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-7.9580786405131221E-13</v>
      </c>
      <c r="BE167" s="13">
        <f>BD167*VLOOKUP('Données projet'!$B$11,Paramètres!$A$1:$I$89,3,0)*VLOOKUP('Données projet'!$B$11,Paramètres!$A$1:$I$89,5,0)</f>
        <v>-3.8278358260868117E-13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371.85813103419366</v>
      </c>
      <c r="BJ167" s="59">
        <f t="shared" si="146"/>
        <v>370.01698880104584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1.9563143515023718</v>
      </c>
      <c r="BQ167" s="21">
        <f>EXP(-LN(2)/25)*BQ166+(1-EXP(-LN(2)/25))/(LN(2)/25)*Calculateur!BL167*Calculateur!BN167*VLOOKUP('Données projet'!$B$11,Paramètres!$A$1:$I$89,3,0)*0.475*44/12</f>
        <v>1.0979078004953766</v>
      </c>
      <c r="BR167" s="21">
        <f>EXP(-LN(2)/2)*BR166+(1-EXP(-LN(2)/2))/(LN(2)/2)*BL167*BO167*VLOOKUP('Données projet'!$B$11,Paramètres!$A$1:$I$89,3,0)*0.475*44/12</f>
        <v>5.994443178008655E-18</v>
      </c>
      <c r="BS167" s="22">
        <f t="shared" si="169"/>
        <v>3.0542221519977484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5.6843418860808015E-13</v>
      </c>
      <c r="BZ167" s="13">
        <f>BY167*VLOOKUP('Données projet'!$B$12,Paramètres!$A$1:$I$89,3,0)*VLOOKUP('Données projet'!$B$12,Paramètres!$A$1:$I$89,5,0)</f>
        <v>3.1036506698001181E-13</v>
      </c>
      <c r="CA167" s="13">
        <f t="shared" si="170"/>
        <v>4.086682523110923E-12</v>
      </c>
      <c r="CB167" s="20">
        <f t="shared" si="171"/>
        <v>7.6581912194083782E-12</v>
      </c>
      <c r="CC167" s="59">
        <f t="shared" si="119"/>
        <v>293.33333333334099</v>
      </c>
      <c r="CD167" s="59">
        <f ca="1">AVERAGE(OFFSET($CC$3,0,0,'Données projet'!$E$12+1,1))-AVERAGE(OFFSET($H$3,0,0,'Données projet'!$E$12+1,1))</f>
        <v>248.1486444660062</v>
      </c>
      <c r="CE167" s="59">
        <f t="shared" si="148"/>
        <v>293.34458072322127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0.59953353485937044</v>
      </c>
      <c r="CL167" s="21">
        <f>EXP(-LN(2)/25)*CL166+(1-EXP(-LN(2)/25))/(LN(2)/25)*Calculateur!CG167*Calculateur!CI167*VLOOKUP('Données projet'!$B$12,Paramètres!$A$1:$I$89,3,0)*0.475*44/12</f>
        <v>0.82878128658088579</v>
      </c>
      <c r="CM167" s="21">
        <f>EXP(-LN(2)/2)*CM166+(1-EXP(-LN(2)/2))/(LN(2)/2)*CG167*CJ167*VLOOKUP('Données projet'!$B$12,Paramètres!$A$1:$I$89,3,0)*0.475*44/12</f>
        <v>1.7064275688871058E-19</v>
      </c>
      <c r="CN167" s="22">
        <f t="shared" si="172"/>
        <v>1.4283148214402561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-2.2737367544323206E-13</v>
      </c>
      <c r="CU167" s="17">
        <f>CT167*VLOOKUP('Données projet'!$B$13,Paramètres!$A$1:$I$89,3,0)*VLOOKUP('Données projet'!$B$13,Paramètres!$A$1:$I$89,5,0)</f>
        <v>-1.8089849618263545E-13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314.94704727988847</v>
      </c>
      <c r="CZ167" s="59">
        <f t="shared" si="150"/>
        <v>366.49199094166454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0.27560189536137403</v>
      </c>
      <c r="DG167" s="21">
        <f>EXP(-LN(2)/25)*DG166+(1-EXP(-LN(2)/25))/(LN(2)/25)*Calculateur!DB167*Calculateur!DD167*VLOOKUP('Données projet'!$B$13,Paramètres!$A$1:$I$89,3,0)*0.475*44/12</f>
        <v>0.61862971911035269</v>
      </c>
      <c r="DH167" s="21">
        <f>EXP(-LN(2)/2)*DH166+(1-EXP(-LN(2)/2))/(LN(2)/2)*DB167*DE167*VLOOKUP('Données projet'!$B$13,Paramètres!$A$1:$I$89,3,0)*0.475*44/12</f>
        <v>1.9562555636782939E-19</v>
      </c>
      <c r="DI167" s="22">
        <f t="shared" si="175"/>
        <v>0.89423161447172672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-1.2505552149377763E-12</v>
      </c>
      <c r="O168" s="13">
        <f>N168*VLOOKUP('Données projet'!$B$9,Paramètres!$A$1:$I$89,3,0)*VLOOKUP('Données projet'!$B$9,Paramètres!$A$1:$I$89,5,0)</f>
        <v>-6.9906036515021697E-13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415.91544298418842</v>
      </c>
      <c r="T168" s="59">
        <f t="shared" si="142"/>
        <v>422.79312683312583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0.78803442082262098</v>
      </c>
      <c r="AA168" s="21">
        <f>EXP(-LN(2)/25)*AA167+(1-EXP(-LN(2)/25))/(LN(2)/25)*Calculateur!V168*Calculateur!X168*VLOOKUP('Données projet'!$B$9,Paramètres!$A$1:$I$89,3,0)*0.475*44/12</f>
        <v>0.91794187506942093</v>
      </c>
      <c r="AB168" s="21">
        <f>EXP(-LN(2)/2)*AB167+(1-EXP(-LN(2)/2))/(LN(2)/2)*V168*Y168*VLOOKUP('Données projet'!$B$9,Paramètres!$A$1:$I$89,3,0)*0.475*44/12</f>
        <v>1.7475659658957826E-19</v>
      </c>
      <c r="AC168" s="22">
        <f t="shared" si="163"/>
        <v>1.7059762958920419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-6.7984728957526396E-14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311.06126148520821</v>
      </c>
      <c r="AO168" s="59">
        <f t="shared" si="144"/>
        <v>321.1728368524748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0.24140843039576662</v>
      </c>
      <c r="AV168" s="21">
        <f>EXP(-LN(2)/25)*AV167+(1-EXP(-LN(2)/25))/(LN(2)/25)*Calculateur!AQ168*Calculateur!AS168*VLOOKUP('Données projet'!$B$10,Paramètres!$A$1:$I$89,3,0)*0.475*44/12</f>
        <v>0.50539006841732514</v>
      </c>
      <c r="AW168" s="21">
        <f>EXP(-LN(2)/2)*AW167+(1-EXP(-LN(2)/2))/(LN(2)/2)*AQ168*AT168*VLOOKUP('Données projet'!$B$10,Paramètres!$A$1:$I$89,3,0)*0.475*44/12</f>
        <v>1.4519969594962076E-19</v>
      </c>
      <c r="AX168" s="21">
        <f t="shared" si="166"/>
        <v>0.74679849881309179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-7.9580786405131221E-13</v>
      </c>
      <c r="BE168" s="13">
        <f>BD168*VLOOKUP('Données projet'!$B$11,Paramètres!$A$1:$I$89,3,0)*VLOOKUP('Données projet'!$B$11,Paramètres!$A$1:$I$89,5,0)</f>
        <v>-3.8278358260868117E-13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371.85813103419366</v>
      </c>
      <c r="BJ168" s="59">
        <f t="shared" si="146"/>
        <v>370.01698880104584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1.9179522203033426</v>
      </c>
      <c r="BQ168" s="21">
        <f>EXP(-LN(2)/25)*BQ167+(1-EXP(-LN(2)/25))/(LN(2)/25)*Calculateur!BL168*Calculateur!BN168*VLOOKUP('Données projet'!$B$11,Paramètres!$A$1:$I$89,3,0)*0.475*44/12</f>
        <v>1.0678854539543685</v>
      </c>
      <c r="BR168" s="21">
        <f>EXP(-LN(2)/2)*BR167+(1-EXP(-LN(2)/2))/(LN(2)/2)*BL168*BO168*VLOOKUP('Données projet'!$B$11,Paramètres!$A$1:$I$89,3,0)*0.475*44/12</f>
        <v>4.2387114206073585E-18</v>
      </c>
      <c r="BS168" s="22">
        <f t="shared" si="169"/>
        <v>2.9858376742577111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5.6843418860808015E-13</v>
      </c>
      <c r="BZ168" s="13">
        <f>BY168*VLOOKUP('Données projet'!$B$12,Paramètres!$A$1:$I$89,3,0)*VLOOKUP('Données projet'!$B$12,Paramètres!$A$1:$I$89,5,0)</f>
        <v>3.1036506698001181E-13</v>
      </c>
      <c r="CA168" s="13">
        <f t="shared" si="170"/>
        <v>4.086682523110923E-12</v>
      </c>
      <c r="CB168" s="20">
        <f t="shared" si="171"/>
        <v>7.6581912194083782E-12</v>
      </c>
      <c r="CC168" s="59">
        <f t="shared" si="119"/>
        <v>293.33333333334099</v>
      </c>
      <c r="CD168" s="59">
        <f ca="1">AVERAGE(OFFSET($CC$3,0,0,'Données projet'!$E$12+1,1))-AVERAGE(OFFSET($H$3,0,0,'Données projet'!$E$12+1,1))</f>
        <v>248.1486444660062</v>
      </c>
      <c r="CE168" s="59">
        <f t="shared" si="148"/>
        <v>293.34458072322127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0.58777704792012664</v>
      </c>
      <c r="CL168" s="21">
        <f>EXP(-LN(2)/25)*CL167+(1-EXP(-LN(2)/25))/(LN(2)/25)*Calculateur!CG168*Calculateur!CI168*VLOOKUP('Données projet'!$B$12,Paramètres!$A$1:$I$89,3,0)*0.475*44/12</f>
        <v>0.80611821871561784</v>
      </c>
      <c r="CM168" s="21">
        <f>EXP(-LN(2)/2)*CM167+(1-EXP(-LN(2)/2))/(LN(2)/2)*CG168*CJ168*VLOOKUP('Données projet'!$B$12,Paramètres!$A$1:$I$89,3,0)*0.475*44/12</f>
        <v>1.206626505563747E-19</v>
      </c>
      <c r="CN168" s="22">
        <f t="shared" si="172"/>
        <v>1.3938952666357445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-2.2737367544323206E-13</v>
      </c>
      <c r="CU168" s="17">
        <f>CT168*VLOOKUP('Données projet'!$B$13,Paramètres!$A$1:$I$89,3,0)*VLOOKUP('Données projet'!$B$13,Paramètres!$A$1:$I$89,5,0)</f>
        <v>-1.8089849618263545E-13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314.94704727988847</v>
      </c>
      <c r="CZ168" s="59">
        <f t="shared" si="150"/>
        <v>366.49199094166454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0.2701975102938951</v>
      </c>
      <c r="DG168" s="21">
        <f>EXP(-LN(2)/25)*DG167+(1-EXP(-LN(2)/25))/(LN(2)/25)*Calculateur!DB168*Calculateur!DD168*VLOOKUP('Données projet'!$B$13,Paramètres!$A$1:$I$89,3,0)*0.475*44/12</f>
        <v>0.60171325690895705</v>
      </c>
      <c r="DH168" s="21">
        <f>EXP(-LN(2)/2)*DH167+(1-EXP(-LN(2)/2))/(LN(2)/2)*DB168*DE168*VLOOKUP('Données projet'!$B$13,Paramètres!$A$1:$I$89,3,0)*0.475*44/12</f>
        <v>1.3832815748108335E-19</v>
      </c>
      <c r="DI168" s="22">
        <f t="shared" si="175"/>
        <v>0.8719107672028521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-1.2505552149377763E-12</v>
      </c>
      <c r="O169" s="13">
        <f>N169*VLOOKUP('Données projet'!$B$9,Paramètres!$A$1:$I$89,3,0)*VLOOKUP('Données projet'!$B$9,Paramètres!$A$1:$I$89,5,0)</f>
        <v>-6.9906036515021697E-13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415.91544298418842</v>
      </c>
      <c r="T169" s="59">
        <f t="shared" si="142"/>
        <v>422.79312683312583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0.77258154648382549</v>
      </c>
      <c r="AA169" s="21">
        <f>EXP(-LN(2)/25)*AA168+(1-EXP(-LN(2)/25))/(LN(2)/25)*Calculateur!V169*Calculateur!X169*VLOOKUP('Données projet'!$B$9,Paramètres!$A$1:$I$89,3,0)*0.475*44/12</f>
        <v>0.89284070622318235</v>
      </c>
      <c r="AB169" s="21">
        <f>EXP(-LN(2)/2)*AB168+(1-EXP(-LN(2)/2))/(LN(2)/2)*V169*Y169*VLOOKUP('Données projet'!$B$9,Paramètres!$A$1:$I$89,3,0)*0.475*44/12</f>
        <v>1.2357157450557267E-19</v>
      </c>
      <c r="AC169" s="22">
        <f t="shared" si="163"/>
        <v>1.6654222527070077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-6.7984728957526396E-14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311.06126148520821</v>
      </c>
      <c r="AO169" s="59">
        <f t="shared" si="144"/>
        <v>321.1728368524748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0.23667455832030898</v>
      </c>
      <c r="AV169" s="21">
        <f>EXP(-LN(2)/25)*AV168+(1-EXP(-LN(2)/25))/(LN(2)/25)*Calculateur!AQ169*Calculateur!AS169*VLOOKUP('Données projet'!$B$10,Paramètres!$A$1:$I$89,3,0)*0.475*44/12</f>
        <v>0.49157015041914476</v>
      </c>
      <c r="AW169" s="21">
        <f>EXP(-LN(2)/2)*AW168+(1-EXP(-LN(2)/2))/(LN(2)/2)*AQ169*AT169*VLOOKUP('Données projet'!$B$10,Paramètres!$A$1:$I$89,3,0)*0.475*44/12</f>
        <v>1.0267168963220172E-19</v>
      </c>
      <c r="AX169" s="21">
        <f t="shared" si="166"/>
        <v>0.72824470873945368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-7.9580786405131221E-13</v>
      </c>
      <c r="BE169" s="13">
        <f>BD169*VLOOKUP('Données projet'!$B$11,Paramètres!$A$1:$I$89,3,0)*VLOOKUP('Données projet'!$B$11,Paramètres!$A$1:$I$89,5,0)</f>
        <v>-3.8278358260868117E-13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371.85813103419366</v>
      </c>
      <c r="BJ169" s="59">
        <f t="shared" si="146"/>
        <v>370.01698880104584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1.8803423470985368</v>
      </c>
      <c r="BQ169" s="21">
        <f>EXP(-LN(2)/25)*BQ168+(1-EXP(-LN(2)/25))/(LN(2)/25)*Calculateur!BL169*Calculateur!BN169*VLOOKUP('Données projet'!$B$11,Paramètres!$A$1:$I$89,3,0)*0.475*44/12</f>
        <v>1.0386840700583311</v>
      </c>
      <c r="BR169" s="21">
        <f>EXP(-LN(2)/2)*BR168+(1-EXP(-LN(2)/2))/(LN(2)/2)*BL169*BO169*VLOOKUP('Données projet'!$B$11,Paramètres!$A$1:$I$89,3,0)*0.475*44/12</f>
        <v>2.9972215890043275E-18</v>
      </c>
      <c r="BS169" s="22">
        <f t="shared" si="169"/>
        <v>2.9190264171568678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5.6843418860808015E-13</v>
      </c>
      <c r="BZ169" s="13">
        <f>BY169*VLOOKUP('Données projet'!$B$12,Paramètres!$A$1:$I$89,3,0)*VLOOKUP('Données projet'!$B$12,Paramètres!$A$1:$I$89,5,0)</f>
        <v>3.1036506698001181E-13</v>
      </c>
      <c r="CA169" s="13">
        <f t="shared" si="170"/>
        <v>4.086682523110923E-12</v>
      </c>
      <c r="CB169" s="20">
        <f t="shared" si="171"/>
        <v>7.6581912194083782E-12</v>
      </c>
      <c r="CC169" s="59">
        <f t="shared" si="119"/>
        <v>293.33333333334099</v>
      </c>
      <c r="CD169" s="59">
        <f ca="1">AVERAGE(OFFSET($CC$3,0,0,'Données projet'!$E$12+1,1))-AVERAGE(OFFSET($H$3,0,0,'Données projet'!$E$12+1,1))</f>
        <v>248.1486444660062</v>
      </c>
      <c r="CE169" s="59">
        <f t="shared" si="148"/>
        <v>293.34458072322127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0.57625109851901235</v>
      </c>
      <c r="CL169" s="21">
        <f>EXP(-LN(2)/25)*CL168+(1-EXP(-LN(2)/25))/(LN(2)/25)*Calculateur!CG169*Calculateur!CI169*VLOOKUP('Données projet'!$B$12,Paramètres!$A$1:$I$89,3,0)*0.475*44/12</f>
        <v>0.78407487363292461</v>
      </c>
      <c r="CM169" s="21">
        <f>EXP(-LN(2)/2)*CM168+(1-EXP(-LN(2)/2))/(LN(2)/2)*CG169*CJ169*VLOOKUP('Données projet'!$B$12,Paramètres!$A$1:$I$89,3,0)*0.475*44/12</f>
        <v>8.5321378444355289E-20</v>
      </c>
      <c r="CN169" s="22">
        <f t="shared" si="172"/>
        <v>1.360325972151937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-2.2737367544323206E-13</v>
      </c>
      <c r="CU169" s="17">
        <f>CT169*VLOOKUP('Données projet'!$B$13,Paramètres!$A$1:$I$89,3,0)*VLOOKUP('Données projet'!$B$13,Paramètres!$A$1:$I$89,5,0)</f>
        <v>-1.8089849618263545E-13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314.94704727988847</v>
      </c>
      <c r="CZ169" s="59">
        <f t="shared" si="150"/>
        <v>366.49199094166454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0.26489910192124005</v>
      </c>
      <c r="DG169" s="21">
        <f>EXP(-LN(2)/25)*DG168+(1-EXP(-LN(2)/25))/(LN(2)/25)*Calculateur!DB169*Calculateur!DD169*VLOOKUP('Données projet'!$B$13,Paramètres!$A$1:$I$89,3,0)*0.475*44/12</f>
        <v>0.58525937625605662</v>
      </c>
      <c r="DH169" s="21">
        <f>EXP(-LN(2)/2)*DH168+(1-EXP(-LN(2)/2))/(LN(2)/2)*DB169*DE169*VLOOKUP('Données projet'!$B$13,Paramètres!$A$1:$I$89,3,0)*0.475*44/12</f>
        <v>9.7812778183914694E-20</v>
      </c>
      <c r="DI169" s="22">
        <f t="shared" si="175"/>
        <v>0.85015847817729662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-1.2505552149377763E-12</v>
      </c>
      <c r="O170" s="13">
        <f>N170*VLOOKUP('Données projet'!$B$9,Paramètres!$A$1:$I$89,3,0)*VLOOKUP('Données projet'!$B$9,Paramètres!$A$1:$I$89,5,0)</f>
        <v>-6.9906036515021697E-13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415.91544298418842</v>
      </c>
      <c r="T170" s="59">
        <f t="shared" si="142"/>
        <v>422.79312683312583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0.75743169358549112</v>
      </c>
      <c r="AA170" s="21">
        <f>EXP(-LN(2)/25)*AA169+(1-EXP(-LN(2)/25))/(LN(2)/25)*Calculateur!V170*Calculateur!X170*VLOOKUP('Données projet'!$B$9,Paramètres!$A$1:$I$89,3,0)*0.475*44/12</f>
        <v>0.86842593015905734</v>
      </c>
      <c r="AB170" s="21">
        <f>EXP(-LN(2)/2)*AB169+(1-EXP(-LN(2)/2))/(LN(2)/2)*V170*Y170*VLOOKUP('Données projet'!$B$9,Paramètres!$A$1:$I$89,3,0)*0.475*44/12</f>
        <v>8.737829829478913E-20</v>
      </c>
      <c r="AC170" s="22">
        <f t="shared" si="163"/>
        <v>1.6258576237445483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-6.7984728957526396E-14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311.06126148520821</v>
      </c>
      <c r="AO170" s="59">
        <f t="shared" si="144"/>
        <v>321.1728368524748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0.2320335145888742</v>
      </c>
      <c r="AV170" s="21">
        <f>EXP(-LN(2)/25)*AV169+(1-EXP(-LN(2)/25))/(LN(2)/25)*Calculateur!AQ170*Calculateur!AS170*VLOOKUP('Données projet'!$B$10,Paramètres!$A$1:$I$89,3,0)*0.475*44/12</f>
        <v>0.47812813880538252</v>
      </c>
      <c r="AW170" s="21">
        <f>EXP(-LN(2)/2)*AW169+(1-EXP(-LN(2)/2))/(LN(2)/2)*AQ170*AT170*VLOOKUP('Données projet'!$B$10,Paramètres!$A$1:$I$89,3,0)*0.475*44/12</f>
        <v>7.2599847974810379E-20</v>
      </c>
      <c r="AX170" s="21">
        <f t="shared" si="166"/>
        <v>0.71016165339425674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-7.9580786405131221E-13</v>
      </c>
      <c r="BE170" s="13">
        <f>BD170*VLOOKUP('Données projet'!$B$11,Paramètres!$A$1:$I$89,3,0)*VLOOKUP('Données projet'!$B$11,Paramètres!$A$1:$I$89,5,0)</f>
        <v>-3.8278358260868117E-13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371.85813103419366</v>
      </c>
      <c r="BJ170" s="59">
        <f t="shared" si="146"/>
        <v>370.01698880104584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1.8434699805675197</v>
      </c>
      <c r="BQ170" s="21">
        <f>EXP(-LN(2)/25)*BQ169+(1-EXP(-LN(2)/25))/(LN(2)/25)*Calculateur!BL170*Calculateur!BN170*VLOOKUP('Données projet'!$B$11,Paramètres!$A$1:$I$89,3,0)*0.475*44/12</f>
        <v>1.0102811995405647</v>
      </c>
      <c r="BR170" s="21">
        <f>EXP(-LN(2)/2)*BR169+(1-EXP(-LN(2)/2))/(LN(2)/2)*BL170*BO170*VLOOKUP('Données projet'!$B$11,Paramètres!$A$1:$I$89,3,0)*0.475*44/12</f>
        <v>2.1193557103036793E-18</v>
      </c>
      <c r="BS170" s="22">
        <f t="shared" si="169"/>
        <v>2.8537511801080844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5.6843418860808015E-13</v>
      </c>
      <c r="BZ170" s="13">
        <f>BY170*VLOOKUP('Données projet'!$B$12,Paramètres!$A$1:$I$89,3,0)*VLOOKUP('Données projet'!$B$12,Paramètres!$A$1:$I$89,5,0)</f>
        <v>3.1036506698001181E-13</v>
      </c>
      <c r="CA170" s="13">
        <f t="shared" si="170"/>
        <v>4.086682523110923E-12</v>
      </c>
      <c r="CB170" s="20">
        <f t="shared" si="171"/>
        <v>7.6581912194083782E-12</v>
      </c>
      <c r="CC170" s="59">
        <f t="shared" si="119"/>
        <v>293.33333333334099</v>
      </c>
      <c r="CD170" s="59">
        <f ca="1">AVERAGE(OFFSET($CC$3,0,0,'Données projet'!$E$12+1,1))-AVERAGE(OFFSET($H$3,0,0,'Données projet'!$E$12+1,1))</f>
        <v>248.1486444660062</v>
      </c>
      <c r="CE170" s="59">
        <f t="shared" si="148"/>
        <v>293.34458072322127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0.56495116595551897</v>
      </c>
      <c r="CL170" s="21">
        <f>EXP(-LN(2)/25)*CL169+(1-EXP(-LN(2)/25))/(LN(2)/25)*Calculateur!CG170*Calculateur!CI170*VLOOKUP('Données projet'!$B$12,Paramètres!$A$1:$I$89,3,0)*0.475*44/12</f>
        <v>0.76263430498072671</v>
      </c>
      <c r="CM170" s="21">
        <f>EXP(-LN(2)/2)*CM169+(1-EXP(-LN(2)/2))/(LN(2)/2)*CG170*CJ170*VLOOKUP('Données projet'!$B$12,Paramètres!$A$1:$I$89,3,0)*0.475*44/12</f>
        <v>6.0331325278187348E-20</v>
      </c>
      <c r="CN170" s="22">
        <f t="shared" si="172"/>
        <v>1.3275854709362456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-2.2737367544323206E-13</v>
      </c>
      <c r="CU170" s="17">
        <f>CT170*VLOOKUP('Données projet'!$B$13,Paramètres!$A$1:$I$89,3,0)*VLOOKUP('Données projet'!$B$13,Paramètres!$A$1:$I$89,5,0)</f>
        <v>-1.8089849618263545E-13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314.94704727988847</v>
      </c>
      <c r="CZ170" s="59">
        <f t="shared" si="150"/>
        <v>366.49199094166454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0.25970459210506275</v>
      </c>
      <c r="DG170" s="21">
        <f>EXP(-LN(2)/25)*DG169+(1-EXP(-LN(2)/25))/(LN(2)/25)*Calculateur!DB170*Calculateur!DD170*VLOOKUP('Données projet'!$B$13,Paramètres!$A$1:$I$89,3,0)*0.475*44/12</f>
        <v>0.56925542783488181</v>
      </c>
      <c r="DH170" s="21">
        <f>EXP(-LN(2)/2)*DH169+(1-EXP(-LN(2)/2))/(LN(2)/2)*DB170*DE170*VLOOKUP('Données projet'!$B$13,Paramètres!$A$1:$I$89,3,0)*0.475*44/12</f>
        <v>6.9164078740541676E-20</v>
      </c>
      <c r="DI170" s="22">
        <f t="shared" si="175"/>
        <v>0.8289600199399445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-1.2505552149377763E-12</v>
      </c>
      <c r="O171" s="13">
        <f>N171*VLOOKUP('Données projet'!$B$9,Paramètres!$A$1:$I$89,3,0)*VLOOKUP('Données projet'!$B$9,Paramètres!$A$1:$I$89,5,0)</f>
        <v>-6.9906036515021697E-13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415.91544298418842</v>
      </c>
      <c r="T171" s="59">
        <f t="shared" si="142"/>
        <v>422.79312683312583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0.74257892006199522</v>
      </c>
      <c r="AA171" s="21">
        <f>EXP(-LN(2)/25)*AA170+(1-EXP(-LN(2)/25))/(LN(2)/25)*Calculateur!V171*Calculateur!X171*VLOOKUP('Données projet'!$B$9,Paramètres!$A$1:$I$89,3,0)*0.475*44/12</f>
        <v>0.84467877743032305</v>
      </c>
      <c r="AB171" s="21">
        <f>EXP(-LN(2)/2)*AB170+(1-EXP(-LN(2)/2))/(LN(2)/2)*V171*Y171*VLOOKUP('Données projet'!$B$9,Paramètres!$A$1:$I$89,3,0)*0.475*44/12</f>
        <v>6.1785787252786335E-20</v>
      </c>
      <c r="AC171" s="22">
        <f t="shared" si="163"/>
        <v>1.5872576974923183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-6.7984728957526396E-14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311.06126148520821</v>
      </c>
      <c r="AO171" s="59">
        <f t="shared" si="144"/>
        <v>321.1728368524748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0.22748347889425569</v>
      </c>
      <c r="AV171" s="21">
        <f>EXP(-LN(2)/25)*AV170+(1-EXP(-LN(2)/25))/(LN(2)/25)*Calculateur!AQ171*Calculateur!AS171*VLOOKUP('Données projet'!$B$10,Paramètres!$A$1:$I$89,3,0)*0.475*44/12</f>
        <v>0.46505369970608329</v>
      </c>
      <c r="AW171" s="21">
        <f>EXP(-LN(2)/2)*AW170+(1-EXP(-LN(2)/2))/(LN(2)/2)*AQ171*AT171*VLOOKUP('Données projet'!$B$10,Paramètres!$A$1:$I$89,3,0)*0.475*44/12</f>
        <v>5.1335844816100859E-20</v>
      </c>
      <c r="AX171" s="21">
        <f t="shared" si="166"/>
        <v>0.69253717860033892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-7.9580786405131221E-13</v>
      </c>
      <c r="BE171" s="13">
        <f>BD171*VLOOKUP('Données projet'!$B$11,Paramètres!$A$1:$I$89,3,0)*VLOOKUP('Données projet'!$B$11,Paramètres!$A$1:$I$89,5,0)</f>
        <v>-3.8278358260868117E-13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371.85813103419366</v>
      </c>
      <c r="BJ171" s="59">
        <f t="shared" si="146"/>
        <v>370.01698880104584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1.807320658654253</v>
      </c>
      <c r="BQ171" s="21">
        <f>EXP(-LN(2)/25)*BQ170+(1-EXP(-LN(2)/25))/(LN(2)/25)*Calculateur!BL171*Calculateur!BN171*VLOOKUP('Données projet'!$B$11,Paramètres!$A$1:$I$89,3,0)*0.475*44/12</f>
        <v>0.9826550070107487</v>
      </c>
      <c r="BR171" s="21">
        <f>EXP(-LN(2)/2)*BR170+(1-EXP(-LN(2)/2))/(LN(2)/2)*BL171*BO171*VLOOKUP('Données projet'!$B$11,Paramètres!$A$1:$I$89,3,0)*0.475*44/12</f>
        <v>1.4986107945021638E-18</v>
      </c>
      <c r="BS171" s="22">
        <f t="shared" si="169"/>
        <v>2.7899756656650014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5.6843418860808015E-13</v>
      </c>
      <c r="BZ171" s="13">
        <f>BY171*VLOOKUP('Données projet'!$B$12,Paramètres!$A$1:$I$89,3,0)*VLOOKUP('Données projet'!$B$12,Paramètres!$A$1:$I$89,5,0)</f>
        <v>3.1036506698001181E-13</v>
      </c>
      <c r="CA171" s="13">
        <f t="shared" si="170"/>
        <v>4.086682523110923E-12</v>
      </c>
      <c r="CB171" s="20">
        <f t="shared" si="171"/>
        <v>7.6581912194083782E-12</v>
      </c>
      <c r="CC171" s="59">
        <f t="shared" si="119"/>
        <v>293.33333333334099</v>
      </c>
      <c r="CD171" s="59">
        <f ca="1">AVERAGE(OFFSET($CC$3,0,0,'Données projet'!$E$12+1,1))-AVERAGE(OFFSET($H$3,0,0,'Données projet'!$E$12+1,1))</f>
        <v>248.1486444660062</v>
      </c>
      <c r="CE171" s="59">
        <f t="shared" si="148"/>
        <v>293.34458072322127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0.55387281817731737</v>
      </c>
      <c r="CL171" s="21">
        <f>EXP(-LN(2)/25)*CL170+(1-EXP(-LN(2)/25))/(LN(2)/25)*Calculateur!CG171*Calculateur!CI171*VLOOKUP('Données projet'!$B$12,Paramètres!$A$1:$I$89,3,0)*0.475*44/12</f>
        <v>0.74178002980583368</v>
      </c>
      <c r="CM171" s="21">
        <f>EXP(-LN(2)/2)*CM170+(1-EXP(-LN(2)/2))/(LN(2)/2)*CG171*CJ171*VLOOKUP('Données projet'!$B$12,Paramètres!$A$1:$I$89,3,0)*0.475*44/12</f>
        <v>4.2660689222177644E-20</v>
      </c>
      <c r="CN171" s="22">
        <f t="shared" si="172"/>
        <v>1.2956528479831511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-2.2737367544323206E-13</v>
      </c>
      <c r="CU171" s="17">
        <f>CT171*VLOOKUP('Données projet'!$B$13,Paramètres!$A$1:$I$89,3,0)*VLOOKUP('Données projet'!$B$13,Paramètres!$A$1:$I$89,5,0)</f>
        <v>-1.8089849618263545E-13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314.94704727988847</v>
      </c>
      <c r="CZ171" s="59">
        <f t="shared" si="150"/>
        <v>366.49199094166454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0.25461194345804256</v>
      </c>
      <c r="DG171" s="21">
        <f>EXP(-LN(2)/25)*DG170+(1-EXP(-LN(2)/25))/(LN(2)/25)*Calculateur!DB171*Calculateur!DD171*VLOOKUP('Données projet'!$B$13,Paramètres!$A$1:$I$89,3,0)*0.475*44/12</f>
        <v>0.55368910822489503</v>
      </c>
      <c r="DH171" s="21">
        <f>EXP(-LN(2)/2)*DH170+(1-EXP(-LN(2)/2))/(LN(2)/2)*DB171*DE171*VLOOKUP('Données projet'!$B$13,Paramètres!$A$1:$I$89,3,0)*0.475*44/12</f>
        <v>4.8906389091957347E-20</v>
      </c>
      <c r="DI171" s="22">
        <f t="shared" si="175"/>
        <v>0.80830105168293764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-1.2505552149377763E-12</v>
      </c>
      <c r="O172" s="13">
        <f>N172*VLOOKUP('Données projet'!$B$9,Paramètres!$A$1:$I$89,3,0)*VLOOKUP('Données projet'!$B$9,Paramètres!$A$1:$I$89,5,0)</f>
        <v>-6.9906036515021697E-13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415.91544298418842</v>
      </c>
      <c r="T172" s="59">
        <f t="shared" si="142"/>
        <v>422.79312683312583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0.72801740036799778</v>
      </c>
      <c r="AA172" s="21">
        <f>EXP(-LN(2)/25)*AA171+(1-EXP(-LN(2)/25))/(LN(2)/25)*Calculateur!V172*Calculateur!X172*VLOOKUP('Données projet'!$B$9,Paramètres!$A$1:$I$89,3,0)*0.475*44/12</f>
        <v>0.82158099184176447</v>
      </c>
      <c r="AB172" s="21">
        <f>EXP(-LN(2)/2)*AB171+(1-EXP(-LN(2)/2))/(LN(2)/2)*V172*Y172*VLOOKUP('Données projet'!$B$9,Paramètres!$A$1:$I$89,3,0)*0.475*44/12</f>
        <v>4.3689149147394565E-20</v>
      </c>
      <c r="AC172" s="22">
        <f t="shared" si="163"/>
        <v>1.5495983922097623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-6.7984728957526396E-14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311.06126148520821</v>
      </c>
      <c r="AO172" s="59">
        <f t="shared" si="144"/>
        <v>321.1728368524748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0.2230226666243609</v>
      </c>
      <c r="AV172" s="21">
        <f>EXP(-LN(2)/25)*AV171+(1-EXP(-LN(2)/25))/(LN(2)/25)*Calculateur!AQ172*Calculateur!AS172*VLOOKUP('Données projet'!$B$10,Paramètres!$A$1:$I$89,3,0)*0.475*44/12</f>
        <v>0.45233678183150927</v>
      </c>
      <c r="AW172" s="21">
        <f>EXP(-LN(2)/2)*AW171+(1-EXP(-LN(2)/2))/(LN(2)/2)*AQ172*AT172*VLOOKUP('Données projet'!$B$10,Paramètres!$A$1:$I$89,3,0)*0.475*44/12</f>
        <v>3.629992398740519E-20</v>
      </c>
      <c r="AX172" s="21">
        <f t="shared" si="166"/>
        <v>0.67535944845587015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-7.9580786405131221E-13</v>
      </c>
      <c r="BE172" s="13">
        <f>BD172*VLOOKUP('Données projet'!$B$11,Paramètres!$A$1:$I$89,3,0)*VLOOKUP('Données projet'!$B$11,Paramètres!$A$1:$I$89,5,0)</f>
        <v>-3.8278358260868117E-13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371.85813103419366</v>
      </c>
      <c r="BJ172" s="59">
        <f t="shared" si="146"/>
        <v>370.01698880104584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1.7718802028947962</v>
      </c>
      <c r="BQ172" s="21">
        <f>EXP(-LN(2)/25)*BQ171+(1-EXP(-LN(2)/25))/(LN(2)/25)*Calculateur!BL172*Calculateur!BN172*VLOOKUP('Données projet'!$B$11,Paramètres!$A$1:$I$89,3,0)*0.475*44/12</f>
        <v>0.9557842541684588</v>
      </c>
      <c r="BR172" s="21">
        <f>EXP(-LN(2)/2)*BR171+(1-EXP(-LN(2)/2))/(LN(2)/2)*BL172*BO172*VLOOKUP('Données projet'!$B$11,Paramètres!$A$1:$I$89,3,0)*0.475*44/12</f>
        <v>1.0596778551518396E-18</v>
      </c>
      <c r="BS172" s="22">
        <f t="shared" si="169"/>
        <v>2.7276644570632551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5.6843418860808015E-13</v>
      </c>
      <c r="BZ172" s="13">
        <f>BY172*VLOOKUP('Données projet'!$B$12,Paramètres!$A$1:$I$89,3,0)*VLOOKUP('Données projet'!$B$12,Paramètres!$A$1:$I$89,5,0)</f>
        <v>3.1036506698001181E-13</v>
      </c>
      <c r="CA172" s="13">
        <f t="shared" si="170"/>
        <v>4.086682523110923E-12</v>
      </c>
      <c r="CB172" s="20">
        <f t="shared" si="171"/>
        <v>7.6581912194083782E-12</v>
      </c>
      <c r="CC172" s="59">
        <f t="shared" si="119"/>
        <v>293.33333333334099</v>
      </c>
      <c r="CD172" s="59">
        <f ca="1">AVERAGE(OFFSET($CC$3,0,0,'Données projet'!$E$12+1,1))-AVERAGE(OFFSET($H$3,0,0,'Données projet'!$E$12+1,1))</f>
        <v>248.1486444660062</v>
      </c>
      <c r="CE172" s="59">
        <f t="shared" si="148"/>
        <v>293.34458072322127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0.54301171004192139</v>
      </c>
      <c r="CL172" s="21">
        <f>EXP(-LN(2)/25)*CL171+(1-EXP(-LN(2)/25))/(LN(2)/25)*Calculateur!CG172*Calculateur!CI172*VLOOKUP('Données projet'!$B$12,Paramètres!$A$1:$I$89,3,0)*0.475*44/12</f>
        <v>0.72149601588227674</v>
      </c>
      <c r="CM172" s="21">
        <f>EXP(-LN(2)/2)*CM171+(1-EXP(-LN(2)/2))/(LN(2)/2)*CG172*CJ172*VLOOKUP('Données projet'!$B$12,Paramètres!$A$1:$I$89,3,0)*0.475*44/12</f>
        <v>3.0165662639093674E-20</v>
      </c>
      <c r="CN172" s="22">
        <f t="shared" si="172"/>
        <v>1.2645077259241981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-2.2737367544323206E-13</v>
      </c>
      <c r="CU172" s="17">
        <f>CT172*VLOOKUP('Données projet'!$B$13,Paramètres!$A$1:$I$89,3,0)*VLOOKUP('Données projet'!$B$13,Paramètres!$A$1:$I$89,5,0)</f>
        <v>-1.8089849618263545E-13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314.94704727988847</v>
      </c>
      <c r="CZ172" s="59">
        <f t="shared" si="150"/>
        <v>366.49199094166454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0.24961915854478145</v>
      </c>
      <c r="DG172" s="21">
        <f>EXP(-LN(2)/25)*DG171+(1-EXP(-LN(2)/25))/(LN(2)/25)*Calculateur!DB172*Calculateur!DD172*VLOOKUP('Données projet'!$B$13,Paramètres!$A$1:$I$89,3,0)*0.475*44/12</f>
        <v>0.53854845044324051</v>
      </c>
      <c r="DH172" s="21">
        <f>EXP(-LN(2)/2)*DH171+(1-EXP(-LN(2)/2))/(LN(2)/2)*DB172*DE172*VLOOKUP('Données projet'!$B$13,Paramètres!$A$1:$I$89,3,0)*0.475*44/12</f>
        <v>3.4582039370270838E-20</v>
      </c>
      <c r="DI172" s="22">
        <f t="shared" si="175"/>
        <v>0.78816760898802196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-1.2505552149377763E-12</v>
      </c>
      <c r="O173" s="13">
        <f>N173*VLOOKUP('Données projet'!$B$9,Paramètres!$A$1:$I$89,3,0)*VLOOKUP('Données projet'!$B$9,Paramètres!$A$1:$I$89,5,0)</f>
        <v>-6.9906036515021697E-13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415.91544298418842</v>
      </c>
      <c r="T173" s="59">
        <f t="shared" si="142"/>
        <v>422.79312683312583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0.71374142319354961</v>
      </c>
      <c r="AA173" s="21">
        <f>EXP(-LN(2)/25)*AA172+(1-EXP(-LN(2)/25))/(LN(2)/25)*Calculateur!V173*Calculateur!X173*VLOOKUP('Données projet'!$B$9,Paramètres!$A$1:$I$89,3,0)*0.475*44/12</f>
        <v>0.79911481641478477</v>
      </c>
      <c r="AB173" s="21">
        <f>EXP(-LN(2)/2)*AB172+(1-EXP(-LN(2)/2))/(LN(2)/2)*V173*Y173*VLOOKUP('Données projet'!$B$9,Paramètres!$A$1:$I$89,3,0)*0.475*44/12</f>
        <v>3.0892893626393168E-20</v>
      </c>
      <c r="AC173" s="22">
        <f t="shared" si="163"/>
        <v>1.5128562396083343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-6.7984728957526396E-14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311.06126148520821</v>
      </c>
      <c r="AO173" s="59">
        <f t="shared" si="144"/>
        <v>321.1728368524748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0.21864932816225194</v>
      </c>
      <c r="AV173" s="21">
        <f>EXP(-LN(2)/25)*AV172+(1-EXP(-LN(2)/25))/(LN(2)/25)*Calculateur!AQ173*Calculateur!AS173*VLOOKUP('Données projet'!$B$10,Paramètres!$A$1:$I$89,3,0)*0.475*44/12</f>
        <v>0.4399676087449691</v>
      </c>
      <c r="AW173" s="21">
        <f>EXP(-LN(2)/2)*AW172+(1-EXP(-LN(2)/2))/(LN(2)/2)*AQ173*AT173*VLOOKUP('Données projet'!$B$10,Paramètres!$A$1:$I$89,3,0)*0.475*44/12</f>
        <v>2.566792240805043E-20</v>
      </c>
      <c r="AX173" s="21">
        <f t="shared" si="166"/>
        <v>0.65861693690722101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-7.9580786405131221E-13</v>
      </c>
      <c r="BE173" s="13">
        <f>BD173*VLOOKUP('Données projet'!$B$11,Paramètres!$A$1:$I$89,3,0)*VLOOKUP('Données projet'!$B$11,Paramètres!$A$1:$I$89,5,0)</f>
        <v>-3.8278358260868117E-13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371.85813103419366</v>
      </c>
      <c r="BJ173" s="59">
        <f t="shared" si="146"/>
        <v>370.01698880104584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1.7371347128562389</v>
      </c>
      <c r="BQ173" s="21">
        <f>EXP(-LN(2)/25)*BQ172+(1-EXP(-LN(2)/25))/(LN(2)/25)*Calculateur!BL173*Calculateur!BN173*VLOOKUP('Données projet'!$B$11,Paramètres!$A$1:$I$89,3,0)*0.475*44/12</f>
        <v>0.92964828347571282</v>
      </c>
      <c r="BR173" s="21">
        <f>EXP(-LN(2)/2)*BR172+(1-EXP(-LN(2)/2))/(LN(2)/2)*BL173*BO173*VLOOKUP('Données projet'!$B$11,Paramètres!$A$1:$I$89,3,0)*0.475*44/12</f>
        <v>7.4930539725108188E-19</v>
      </c>
      <c r="BS173" s="22">
        <f t="shared" si="169"/>
        <v>2.6667829963319516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5.6843418860808015E-13</v>
      </c>
      <c r="BZ173" s="13">
        <f>BY173*VLOOKUP('Données projet'!$B$12,Paramètres!$A$1:$I$89,3,0)*VLOOKUP('Données projet'!$B$12,Paramètres!$A$1:$I$89,5,0)</f>
        <v>3.1036506698001181E-13</v>
      </c>
      <c r="CA173" s="13">
        <f t="shared" si="170"/>
        <v>4.086682523110923E-12</v>
      </c>
      <c r="CB173" s="20">
        <f t="shared" si="171"/>
        <v>7.6581912194083782E-12</v>
      </c>
      <c r="CC173" s="59">
        <f t="shared" si="119"/>
        <v>293.33333333334099</v>
      </c>
      <c r="CD173" s="59">
        <f ca="1">AVERAGE(OFFSET($CC$3,0,0,'Données projet'!$E$12+1,1))-AVERAGE(OFFSET($H$3,0,0,'Données projet'!$E$12+1,1))</f>
        <v>248.1486444660062</v>
      </c>
      <c r="CE173" s="59">
        <f t="shared" si="148"/>
        <v>293.34458072322127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0.53236358161243869</v>
      </c>
      <c r="CL173" s="21">
        <f>EXP(-LN(2)/25)*CL172+(1-EXP(-LN(2)/25))/(LN(2)/25)*Calculateur!CG173*Calculateur!CI173*VLOOKUP('Données projet'!$B$12,Paramètres!$A$1:$I$89,3,0)*0.475*44/12</f>
        <v>0.7017666693861494</v>
      </c>
      <c r="CM173" s="21">
        <f>EXP(-LN(2)/2)*CM172+(1-EXP(-LN(2)/2))/(LN(2)/2)*CG173*CJ173*VLOOKUP('Données projet'!$B$12,Paramètres!$A$1:$I$89,3,0)*0.475*44/12</f>
        <v>2.1330344611088822E-20</v>
      </c>
      <c r="CN173" s="22">
        <f t="shared" si="172"/>
        <v>1.2341302509985881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-2.2737367544323206E-13</v>
      </c>
      <c r="CU173" s="17">
        <f>CT173*VLOOKUP('Données projet'!$B$13,Paramètres!$A$1:$I$89,3,0)*VLOOKUP('Données projet'!$B$13,Paramètres!$A$1:$I$89,5,0)</f>
        <v>-1.8089849618263545E-13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314.94704727988847</v>
      </c>
      <c r="CZ173" s="59">
        <f t="shared" si="150"/>
        <v>366.49199094166454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0.2447242790983713</v>
      </c>
      <c r="DG173" s="21">
        <f>EXP(-LN(2)/25)*DG172+(1-EXP(-LN(2)/25))/(LN(2)/25)*Calculateur!DB173*Calculateur!DD173*VLOOKUP('Données projet'!$B$13,Paramètres!$A$1:$I$89,3,0)*0.475*44/12</f>
        <v>0.52382181474483791</v>
      </c>
      <c r="DH173" s="21">
        <f>EXP(-LN(2)/2)*DH172+(1-EXP(-LN(2)/2))/(LN(2)/2)*DB173*DE173*VLOOKUP('Données projet'!$B$13,Paramètres!$A$1:$I$89,3,0)*0.475*44/12</f>
        <v>2.4453194545978673E-20</v>
      </c>
      <c r="DI173" s="22">
        <f t="shared" si="175"/>
        <v>0.76854609384320915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-1.2505552149377763E-12</v>
      </c>
      <c r="O174" s="13">
        <f>N174*VLOOKUP('Données projet'!$B$9,Paramètres!$A$1:$I$89,3,0)*VLOOKUP('Données projet'!$B$9,Paramètres!$A$1:$I$89,5,0)</f>
        <v>-6.9906036515021697E-13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415.91544298418842</v>
      </c>
      <c r="T174" s="59">
        <f t="shared" si="142"/>
        <v>422.79312683312583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0.69974538922400609</v>
      </c>
      <c r="AA174" s="21">
        <f>EXP(-LN(2)/25)*AA173+(1-EXP(-LN(2)/25))/(LN(2)/25)*Calculateur!V174*Calculateur!X174*VLOOKUP('Données projet'!$B$9,Paramètres!$A$1:$I$89,3,0)*0.475*44/12</f>
        <v>0.77726297973630065</v>
      </c>
      <c r="AB174" s="21">
        <f>EXP(-LN(2)/2)*AB173+(1-EXP(-LN(2)/2))/(LN(2)/2)*V174*Y174*VLOOKUP('Données projet'!$B$9,Paramètres!$A$1:$I$89,3,0)*0.475*44/12</f>
        <v>2.1844574573697283E-20</v>
      </c>
      <c r="AC174" s="22">
        <f t="shared" si="163"/>
        <v>1.4770083689603068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-6.7984728957526396E-14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311.06126148520821</v>
      </c>
      <c r="AO174" s="59">
        <f t="shared" si="144"/>
        <v>321.1728368524748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0.21436174819991186</v>
      </c>
      <c r="AV174" s="21">
        <f>EXP(-LN(2)/25)*AV173+(1-EXP(-LN(2)/25))/(LN(2)/25)*Calculateur!AQ174*Calculateur!AS174*VLOOKUP('Données projet'!$B$10,Paramètres!$A$1:$I$89,3,0)*0.475*44/12</f>
        <v>0.42793667134694691</v>
      </c>
      <c r="AW174" s="21">
        <f>EXP(-LN(2)/2)*AW173+(1-EXP(-LN(2)/2))/(LN(2)/2)*AQ174*AT174*VLOOKUP('Données projet'!$B$10,Paramètres!$A$1:$I$89,3,0)*0.475*44/12</f>
        <v>1.8149961993702595E-20</v>
      </c>
      <c r="AX174" s="21">
        <f t="shared" si="166"/>
        <v>0.64229841954685873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-7.9580786405131221E-13</v>
      </c>
      <c r="BE174" s="13">
        <f>BD174*VLOOKUP('Données projet'!$B$11,Paramètres!$A$1:$I$89,3,0)*VLOOKUP('Données projet'!$B$11,Paramètres!$A$1:$I$89,5,0)</f>
        <v>-3.8278358260868117E-13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371.85813103419366</v>
      </c>
      <c r="BJ174" s="59">
        <f t="shared" si="146"/>
        <v>370.01698880104584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1.7030705606846812</v>
      </c>
      <c r="BQ174" s="21">
        <f>EXP(-LN(2)/25)*BQ173+(1-EXP(-LN(2)/25))/(LN(2)/25)*Calculateur!BL174*Calculateur!BN174*VLOOKUP('Données projet'!$B$11,Paramètres!$A$1:$I$89,3,0)*0.475*44/12</f>
        <v>0.90422700227599095</v>
      </c>
      <c r="BR174" s="21">
        <f>EXP(-LN(2)/2)*BR173+(1-EXP(-LN(2)/2))/(LN(2)/2)*BL174*BO174*VLOOKUP('Données projet'!$B$11,Paramètres!$A$1:$I$89,3,0)*0.475*44/12</f>
        <v>5.2983892757591981E-19</v>
      </c>
      <c r="BS174" s="22">
        <f t="shared" si="169"/>
        <v>2.6072975629606723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5.6843418860808015E-13</v>
      </c>
      <c r="BZ174" s="13">
        <f>BY174*VLOOKUP('Données projet'!$B$12,Paramètres!$A$1:$I$89,3,0)*VLOOKUP('Données projet'!$B$12,Paramètres!$A$1:$I$89,5,0)</f>
        <v>3.1036506698001181E-13</v>
      </c>
      <c r="CA174" s="13">
        <f t="shared" si="170"/>
        <v>4.086682523110923E-12</v>
      </c>
      <c r="CB174" s="20">
        <f t="shared" si="171"/>
        <v>7.6581912194083782E-12</v>
      </c>
      <c r="CC174" s="59">
        <f t="shared" si="119"/>
        <v>293.33333333334099</v>
      </c>
      <c r="CD174" s="59">
        <f ca="1">AVERAGE(OFFSET($CC$3,0,0,'Données projet'!$E$12+1,1))-AVERAGE(OFFSET($H$3,0,0,'Données projet'!$E$12+1,1))</f>
        <v>248.1486444660062</v>
      </c>
      <c r="CE174" s="59">
        <f t="shared" si="148"/>
        <v>293.34458072322127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0.52192425648674112</v>
      </c>
      <c r="CL174" s="21">
        <f>EXP(-LN(2)/25)*CL173+(1-EXP(-LN(2)/25))/(LN(2)/25)*Calculateur!CG174*Calculateur!CI174*VLOOKUP('Données projet'!$B$12,Paramètres!$A$1:$I$89,3,0)*0.475*44/12</f>
        <v>0.6825768229074799</v>
      </c>
      <c r="CM174" s="21">
        <f>EXP(-LN(2)/2)*CM173+(1-EXP(-LN(2)/2))/(LN(2)/2)*CG174*CJ174*VLOOKUP('Données projet'!$B$12,Paramètres!$A$1:$I$89,3,0)*0.475*44/12</f>
        <v>1.5082831319546837E-20</v>
      </c>
      <c r="CN174" s="22">
        <f t="shared" si="172"/>
        <v>1.204501079394221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-2.2737367544323206E-13</v>
      </c>
      <c r="CU174" s="17">
        <f>CT174*VLOOKUP('Données projet'!$B$13,Paramètres!$A$1:$I$89,3,0)*VLOOKUP('Données projet'!$B$13,Paramètres!$A$1:$I$89,5,0)</f>
        <v>-1.8089849618263545E-13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314.94704727988847</v>
      </c>
      <c r="CZ174" s="59">
        <f t="shared" si="150"/>
        <v>366.49199094166454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0.2399253852523236</v>
      </c>
      <c r="DG174" s="21">
        <f>EXP(-LN(2)/25)*DG173+(1-EXP(-LN(2)/25))/(LN(2)/25)*Calculateur!DB174*Calculateur!DD174*VLOOKUP('Données projet'!$B$13,Paramètres!$A$1:$I$89,3,0)*0.475*44/12</f>
        <v>0.50949787967404825</v>
      </c>
      <c r="DH174" s="21">
        <f>EXP(-LN(2)/2)*DH173+(1-EXP(-LN(2)/2))/(LN(2)/2)*DB174*DE174*VLOOKUP('Données projet'!$B$13,Paramètres!$A$1:$I$89,3,0)*0.475*44/12</f>
        <v>1.7291019685135419E-20</v>
      </c>
      <c r="DI174" s="22">
        <f t="shared" si="175"/>
        <v>0.7494232649263719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-1.2505552149377763E-12</v>
      </c>
      <c r="O175" s="13">
        <f>N175*VLOOKUP('Données projet'!$B$9,Paramètres!$A$1:$I$89,3,0)*VLOOKUP('Données projet'!$B$9,Paramètres!$A$1:$I$89,5,0)</f>
        <v>-6.9906036515021697E-13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415.91544298418842</v>
      </c>
      <c r="T175" s="59">
        <f t="shared" si="142"/>
        <v>422.79312683312583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0.6860238089438675</v>
      </c>
      <c r="AA175" s="21">
        <f>EXP(-LN(2)/25)*AA174+(1-EXP(-LN(2)/25))/(LN(2)/25)*Calculateur!V175*Calculateur!X175*VLOOKUP('Données projet'!$B$9,Paramètres!$A$1:$I$89,3,0)*0.475*44/12</f>
        <v>0.75600868268092791</v>
      </c>
      <c r="AB175" s="21">
        <f>EXP(-LN(2)/2)*AB174+(1-EXP(-LN(2)/2))/(LN(2)/2)*V175*Y175*VLOOKUP('Données projet'!$B$9,Paramètres!$A$1:$I$89,3,0)*0.475*44/12</f>
        <v>1.5446446813196584E-20</v>
      </c>
      <c r="AC175" s="22">
        <f t="shared" si="163"/>
        <v>1.4420324916247953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-6.7984728957526396E-14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311.06126148520821</v>
      </c>
      <c r="AO175" s="59">
        <f t="shared" si="144"/>
        <v>321.1728368524748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0.21015824506546771</v>
      </c>
      <c r="AV175" s="21">
        <f>EXP(-LN(2)/25)*AV174+(1-EXP(-LN(2)/25))/(LN(2)/25)*Calculateur!AQ175*Calculateur!AS175*VLOOKUP('Données projet'!$B$10,Paramètres!$A$1:$I$89,3,0)*0.475*44/12</f>
        <v>0.41623472056475314</v>
      </c>
      <c r="AW175" s="21">
        <f>EXP(-LN(2)/2)*AW174+(1-EXP(-LN(2)/2))/(LN(2)/2)*AQ175*AT175*VLOOKUP('Données projet'!$B$10,Paramètres!$A$1:$I$89,3,0)*0.475*44/12</f>
        <v>1.2833961204025215E-20</v>
      </c>
      <c r="AX175" s="21">
        <f t="shared" si="166"/>
        <v>0.62639296563022084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-7.9580786405131221E-13</v>
      </c>
      <c r="BE175" s="13">
        <f>BD175*VLOOKUP('Données projet'!$B$11,Paramètres!$A$1:$I$89,3,0)*VLOOKUP('Données projet'!$B$11,Paramètres!$A$1:$I$89,5,0)</f>
        <v>-3.8278358260868117E-13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371.85813103419366</v>
      </c>
      <c r="BJ175" s="59">
        <f t="shared" si="146"/>
        <v>370.01698880104584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1.6696743857601266</v>
      </c>
      <c r="BQ175" s="21">
        <f>EXP(-LN(2)/25)*BQ174+(1-EXP(-LN(2)/25))/(LN(2)/25)*Calculateur!BL175*Calculateur!BN175*VLOOKUP('Données projet'!$B$11,Paramètres!$A$1:$I$89,3,0)*0.475*44/12</f>
        <v>0.87950086734752253</v>
      </c>
      <c r="BR175" s="21">
        <f>EXP(-LN(2)/2)*BR174+(1-EXP(-LN(2)/2))/(LN(2)/2)*BL175*BO175*VLOOKUP('Données projet'!$B$11,Paramètres!$A$1:$I$89,3,0)*0.475*44/12</f>
        <v>3.7465269862554094E-19</v>
      </c>
      <c r="BS175" s="22">
        <f t="shared" si="169"/>
        <v>2.549175253107649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5.6843418860808015E-13</v>
      </c>
      <c r="BZ175" s="13">
        <f>BY175*VLOOKUP('Données projet'!$B$12,Paramètres!$A$1:$I$89,3,0)*VLOOKUP('Données projet'!$B$12,Paramètres!$A$1:$I$89,5,0)</f>
        <v>3.1036506698001181E-13</v>
      </c>
      <c r="CA175" s="13">
        <f t="shared" si="170"/>
        <v>4.086682523110923E-12</v>
      </c>
      <c r="CB175" s="20">
        <f t="shared" si="171"/>
        <v>7.6581912194083782E-12</v>
      </c>
      <c r="CC175" s="59">
        <f t="shared" si="119"/>
        <v>293.33333333334099</v>
      </c>
      <c r="CD175" s="59">
        <f ca="1">AVERAGE(OFFSET($CC$3,0,0,'Données projet'!$E$12+1,1))-AVERAGE(OFFSET($H$3,0,0,'Données projet'!$E$12+1,1))</f>
        <v>248.1486444660062</v>
      </c>
      <c r="CE175" s="59">
        <f t="shared" si="148"/>
        <v>293.34458072322127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0.51168964015939888</v>
      </c>
      <c r="CL175" s="21">
        <f>EXP(-LN(2)/25)*CL174+(1-EXP(-LN(2)/25))/(LN(2)/25)*Calculateur!CG175*Calculateur!CI175*VLOOKUP('Données projet'!$B$12,Paramètres!$A$1:$I$89,3,0)*0.475*44/12</f>
        <v>0.66391172378991981</v>
      </c>
      <c r="CM175" s="21">
        <f>EXP(-LN(2)/2)*CM174+(1-EXP(-LN(2)/2))/(LN(2)/2)*CG175*CJ175*VLOOKUP('Données projet'!$B$12,Paramètres!$A$1:$I$89,3,0)*0.475*44/12</f>
        <v>1.0665172305544411E-20</v>
      </c>
      <c r="CN175" s="22">
        <f t="shared" si="172"/>
        <v>1.1756013639493186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-2.2737367544323206E-13</v>
      </c>
      <c r="CU175" s="17">
        <f>CT175*VLOOKUP('Données projet'!$B$13,Paramètres!$A$1:$I$89,3,0)*VLOOKUP('Données projet'!$B$13,Paramètres!$A$1:$I$89,5,0)</f>
        <v>-1.8089849618263545E-13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314.94704727988847</v>
      </c>
      <c r="CZ175" s="59">
        <f t="shared" si="150"/>
        <v>366.49199094166454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0.23522059478756066</v>
      </c>
      <c r="DG175" s="21">
        <f>EXP(-LN(2)/25)*DG174+(1-EXP(-LN(2)/25))/(LN(2)/25)*Calculateur!DB175*Calculateur!DD175*VLOOKUP('Données projet'!$B$13,Paramètres!$A$1:$I$89,3,0)*0.475*44/12</f>
        <v>0.49556563336103238</v>
      </c>
      <c r="DH175" s="21">
        <f>EXP(-LN(2)/2)*DH174+(1-EXP(-LN(2)/2))/(LN(2)/2)*DB175*DE175*VLOOKUP('Données projet'!$B$13,Paramètres!$A$1:$I$89,3,0)*0.475*44/12</f>
        <v>1.2226597272989337E-20</v>
      </c>
      <c r="DI175" s="22">
        <f t="shared" si="175"/>
        <v>0.73078622814859306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-1.2505552149377763E-12</v>
      </c>
      <c r="O176" s="13">
        <f>N176*VLOOKUP('Données projet'!$B$9,Paramètres!$A$1:$I$89,3,0)*VLOOKUP('Données projet'!$B$9,Paramètres!$A$1:$I$89,5,0)</f>
        <v>-6.9906036515021697E-13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415.91544298418842</v>
      </c>
      <c r="T176" s="59">
        <f t="shared" si="142"/>
        <v>422.79312683312583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0.67257130048368485</v>
      </c>
      <c r="AA176" s="21">
        <f>EXP(-LN(2)/25)*AA175+(1-EXP(-LN(2)/25))/(LN(2)/25)*Calculateur!V176*Calculateur!X176*VLOOKUP('Données projet'!$B$9,Paramètres!$A$1:$I$89,3,0)*0.475*44/12</f>
        <v>0.73533558549624922</v>
      </c>
      <c r="AB176" s="21">
        <f>EXP(-LN(2)/2)*AB175+(1-EXP(-LN(2)/2))/(LN(2)/2)*V176*Y176*VLOOKUP('Données projet'!$B$9,Paramètres!$A$1:$I$89,3,0)*0.475*44/12</f>
        <v>1.0922287286848641E-20</v>
      </c>
      <c r="AC176" s="22">
        <f t="shared" si="163"/>
        <v>1.407906885979934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-6.7984728957526396E-14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311.06126148520821</v>
      </c>
      <c r="AO176" s="59">
        <f t="shared" si="144"/>
        <v>321.1728368524748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0.20603717006360628</v>
      </c>
      <c r="AV176" s="21">
        <f>EXP(-LN(2)/25)*AV175+(1-EXP(-LN(2)/25))/(LN(2)/25)*Calculateur!AQ176*Calculateur!AS176*VLOOKUP('Données projet'!$B$10,Paramètres!$A$1:$I$89,3,0)*0.475*44/12</f>
        <v>0.40485276024207734</v>
      </c>
      <c r="AW176" s="21">
        <f>EXP(-LN(2)/2)*AW175+(1-EXP(-LN(2)/2))/(LN(2)/2)*AQ176*AT176*VLOOKUP('Données projet'!$B$10,Paramètres!$A$1:$I$89,3,0)*0.475*44/12</f>
        <v>9.0749809968512974E-21</v>
      </c>
      <c r="AX176" s="21">
        <f t="shared" si="166"/>
        <v>0.61088993030568361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-7.9580786405131221E-13</v>
      </c>
      <c r="BE176" s="13">
        <f>BD176*VLOOKUP('Données projet'!$B$11,Paramètres!$A$1:$I$89,3,0)*VLOOKUP('Données projet'!$B$11,Paramètres!$A$1:$I$89,5,0)</f>
        <v>-3.8278358260868117E-13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371.85813103419366</v>
      </c>
      <c r="BJ176" s="59">
        <f t="shared" si="146"/>
        <v>370.01698880104584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1.6369330894561871</v>
      </c>
      <c r="BQ176" s="21">
        <f>EXP(-LN(2)/25)*BQ175+(1-EXP(-LN(2)/25))/(LN(2)/25)*Calculateur!BL176*Calculateur!BN176*VLOOKUP('Données projet'!$B$11,Paramètres!$A$1:$I$89,3,0)*0.475*44/12</f>
        <v>0.85545086987896402</v>
      </c>
      <c r="BR176" s="21">
        <f>EXP(-LN(2)/2)*BR175+(1-EXP(-LN(2)/2))/(LN(2)/2)*BL176*BO176*VLOOKUP('Données projet'!$B$11,Paramètres!$A$1:$I$89,3,0)*0.475*44/12</f>
        <v>2.6491946378795991E-19</v>
      </c>
      <c r="BS176" s="22">
        <f t="shared" si="169"/>
        <v>2.4923839593351511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5.6843418860808015E-13</v>
      </c>
      <c r="BZ176" s="13">
        <f>BY176*VLOOKUP('Données projet'!$B$12,Paramètres!$A$1:$I$89,3,0)*VLOOKUP('Données projet'!$B$12,Paramètres!$A$1:$I$89,5,0)</f>
        <v>3.1036506698001181E-13</v>
      </c>
      <c r="CA176" s="13">
        <f t="shared" si="170"/>
        <v>4.086682523110923E-12</v>
      </c>
      <c r="CB176" s="20">
        <f t="shared" si="171"/>
        <v>7.6581912194083782E-12</v>
      </c>
      <c r="CC176" s="59">
        <f t="shared" si="119"/>
        <v>293.33333333334099</v>
      </c>
      <c r="CD176" s="59">
        <f ca="1">AVERAGE(OFFSET($CC$3,0,0,'Données projet'!$E$12+1,1))-AVERAGE(OFFSET($H$3,0,0,'Données projet'!$E$12+1,1))</f>
        <v>248.1486444660062</v>
      </c>
      <c r="CE176" s="59">
        <f t="shared" si="148"/>
        <v>293.34458072322127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0.50165571841573631</v>
      </c>
      <c r="CL176" s="21">
        <f>EXP(-LN(2)/25)*CL175+(1-EXP(-LN(2)/25))/(LN(2)/25)*Calculateur!CG176*Calculateur!CI176*VLOOKUP('Données projet'!$B$12,Paramètres!$A$1:$I$89,3,0)*0.475*44/12</f>
        <v>0.64575702278928426</v>
      </c>
      <c r="CM176" s="21">
        <f>EXP(-LN(2)/2)*CM175+(1-EXP(-LN(2)/2))/(LN(2)/2)*CG176*CJ176*VLOOKUP('Données projet'!$B$12,Paramètres!$A$1:$I$89,3,0)*0.475*44/12</f>
        <v>7.5414156597734184E-21</v>
      </c>
      <c r="CN176" s="22">
        <f t="shared" si="172"/>
        <v>1.1474127412050206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-2.2737367544323206E-13</v>
      </c>
      <c r="CU176" s="17">
        <f>CT176*VLOOKUP('Données projet'!$B$13,Paramètres!$A$1:$I$89,3,0)*VLOOKUP('Données projet'!$B$13,Paramètres!$A$1:$I$89,5,0)</f>
        <v>-1.8089849618263545E-13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314.94704727988847</v>
      </c>
      <c r="CZ176" s="59">
        <f t="shared" si="150"/>
        <v>366.49199094166454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0.23060806239417289</v>
      </c>
      <c r="DG176" s="21">
        <f>EXP(-LN(2)/25)*DG175+(1-EXP(-LN(2)/25))/(LN(2)/25)*Calculateur!DB176*Calculateur!DD176*VLOOKUP('Données projet'!$B$13,Paramètres!$A$1:$I$89,3,0)*0.475*44/12</f>
        <v>0.48201436505611089</v>
      </c>
      <c r="DH176" s="21">
        <f>EXP(-LN(2)/2)*DH175+(1-EXP(-LN(2)/2))/(LN(2)/2)*DB176*DE176*VLOOKUP('Données projet'!$B$13,Paramètres!$A$1:$I$89,3,0)*0.475*44/12</f>
        <v>8.6455098425677095E-21</v>
      </c>
      <c r="DI176" s="22">
        <f t="shared" si="175"/>
        <v>0.71262242745028381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-1.2505552149377763E-12</v>
      </c>
      <c r="O177" s="13">
        <f>N177*VLOOKUP('Données projet'!$B$9,Paramètres!$A$1:$I$89,3,0)*VLOOKUP('Données projet'!$B$9,Paramètres!$A$1:$I$89,5,0)</f>
        <v>-6.9906036515021697E-13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415.91544298418842</v>
      </c>
      <c r="T177" s="59">
        <f t="shared" si="142"/>
        <v>422.79312683312583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0.65938258750918644</v>
      </c>
      <c r="AA177" s="21">
        <f>EXP(-LN(2)/25)*AA176+(1-EXP(-LN(2)/25))/(LN(2)/25)*Calculateur!V177*Calculateur!X177*VLOOKUP('Données projet'!$B$9,Paramètres!$A$1:$I$89,3,0)*0.475*44/12</f>
        <v>0.71522779524123647</v>
      </c>
      <c r="AB177" s="21">
        <f>EXP(-LN(2)/2)*AB176+(1-EXP(-LN(2)/2))/(LN(2)/2)*V177*Y177*VLOOKUP('Données projet'!$B$9,Paramètres!$A$1:$I$89,3,0)*0.475*44/12</f>
        <v>7.7232234065982919E-21</v>
      </c>
      <c r="AC177" s="22">
        <f t="shared" si="163"/>
        <v>1.374610382750423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-6.7984728957526396E-14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311.06126148520821</v>
      </c>
      <c r="AO177" s="59">
        <f t="shared" si="144"/>
        <v>321.1728368524748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0.20199690682892379</v>
      </c>
      <c r="AV177" s="21">
        <f>EXP(-LN(2)/25)*AV176+(1-EXP(-LN(2)/25))/(LN(2)/25)*Calculateur!AQ177*Calculateur!AS177*VLOOKUP('Données projet'!$B$10,Paramètres!$A$1:$I$89,3,0)*0.475*44/12</f>
        <v>0.39378204022297636</v>
      </c>
      <c r="AW177" s="21">
        <f>EXP(-LN(2)/2)*AW176+(1-EXP(-LN(2)/2))/(LN(2)/2)*AQ177*AT177*VLOOKUP('Données projet'!$B$10,Paramètres!$A$1:$I$89,3,0)*0.475*44/12</f>
        <v>6.4169806020126074E-21</v>
      </c>
      <c r="AX177" s="21">
        <f t="shared" si="166"/>
        <v>0.59577894705190015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-7.9580786405131221E-13</v>
      </c>
      <c r="BE177" s="13">
        <f>BD177*VLOOKUP('Données projet'!$B$11,Paramètres!$A$1:$I$89,3,0)*VLOOKUP('Données projet'!$B$11,Paramètres!$A$1:$I$89,5,0)</f>
        <v>-3.8278358260868117E-13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371.85813103419366</v>
      </c>
      <c r="BJ177" s="59">
        <f t="shared" si="146"/>
        <v>370.01698880104584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1.6048338300025491</v>
      </c>
      <c r="BQ177" s="21">
        <f>EXP(-LN(2)/25)*BQ176+(1-EXP(-LN(2)/25))/(LN(2)/25)*Calculateur!BL177*Calculateur!BN177*VLOOKUP('Données projet'!$B$11,Paramètres!$A$1:$I$89,3,0)*0.475*44/12</f>
        <v>0.83205852085591769</v>
      </c>
      <c r="BR177" s="21">
        <f>EXP(-LN(2)/2)*BR176+(1-EXP(-LN(2)/2))/(LN(2)/2)*BL177*BO177*VLOOKUP('Données projet'!$B$11,Paramètres!$A$1:$I$89,3,0)*0.475*44/12</f>
        <v>1.8732634931277047E-19</v>
      </c>
      <c r="BS177" s="22">
        <f t="shared" si="169"/>
        <v>2.436892350858467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5.6843418860808015E-13</v>
      </c>
      <c r="BZ177" s="13">
        <f>BY177*VLOOKUP('Données projet'!$B$12,Paramètres!$A$1:$I$89,3,0)*VLOOKUP('Données projet'!$B$12,Paramètres!$A$1:$I$89,5,0)</f>
        <v>3.1036506698001181E-13</v>
      </c>
      <c r="CA177" s="13">
        <f t="shared" si="170"/>
        <v>4.086682523110923E-12</v>
      </c>
      <c r="CB177" s="20">
        <f t="shared" si="171"/>
        <v>7.6581912194083782E-12</v>
      </c>
      <c r="CC177" s="59">
        <f t="shared" si="119"/>
        <v>293.33333333334099</v>
      </c>
      <c r="CD177" s="59">
        <f ca="1">AVERAGE(OFFSET($CC$3,0,0,'Données projet'!$E$12+1,1))-AVERAGE(OFFSET($H$3,0,0,'Données projet'!$E$12+1,1))</f>
        <v>248.1486444660062</v>
      </c>
      <c r="CE177" s="59">
        <f t="shared" si="148"/>
        <v>293.34458072322127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0.49181855575737898</v>
      </c>
      <c r="CL177" s="21">
        <f>EXP(-LN(2)/25)*CL176+(1-EXP(-LN(2)/25))/(LN(2)/25)*Calculateur!CG177*Calculateur!CI177*VLOOKUP('Données projet'!$B$12,Paramètres!$A$1:$I$89,3,0)*0.475*44/12</f>
        <v>0.62809876304222534</v>
      </c>
      <c r="CM177" s="21">
        <f>EXP(-LN(2)/2)*CM176+(1-EXP(-LN(2)/2))/(LN(2)/2)*CG177*CJ177*VLOOKUP('Données projet'!$B$12,Paramètres!$A$1:$I$89,3,0)*0.475*44/12</f>
        <v>5.3325861527722056E-21</v>
      </c>
      <c r="CN177" s="22">
        <f t="shared" si="172"/>
        <v>1.1199173187996043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-2.2737367544323206E-13</v>
      </c>
      <c r="CU177" s="17">
        <f>CT177*VLOOKUP('Données projet'!$B$13,Paramètres!$A$1:$I$89,3,0)*VLOOKUP('Données projet'!$B$13,Paramètres!$A$1:$I$89,5,0)</f>
        <v>-1.8089849618263545E-13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314.94704727988847</v>
      </c>
      <c r="CZ177" s="59">
        <f t="shared" si="150"/>
        <v>366.49199094166454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0.22608597894765251</v>
      </c>
      <c r="DG177" s="21">
        <f>EXP(-LN(2)/25)*DG176+(1-EXP(-LN(2)/25))/(LN(2)/25)*Calculateur!DB177*Calculateur!DD177*VLOOKUP('Données projet'!$B$13,Paramètres!$A$1:$I$89,3,0)*0.475*44/12</f>
        <v>0.46883365689561773</v>
      </c>
      <c r="DH177" s="21">
        <f>EXP(-LN(2)/2)*DH176+(1-EXP(-LN(2)/2))/(LN(2)/2)*DB177*DE177*VLOOKUP('Données projet'!$B$13,Paramètres!$A$1:$I$89,3,0)*0.475*44/12</f>
        <v>6.1132986364946684E-21</v>
      </c>
      <c r="DI177" s="22">
        <f t="shared" si="175"/>
        <v>0.69491963584327021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-1.2505552149377763E-12</v>
      </c>
      <c r="O178" s="13">
        <f>N178*VLOOKUP('Données projet'!$B$9,Paramètres!$A$1:$I$89,3,0)*VLOOKUP('Données projet'!$B$9,Paramètres!$A$1:$I$89,5,0)</f>
        <v>-6.9906036515021697E-13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415.91544298418842</v>
      </c>
      <c r="T178" s="59">
        <f t="shared" si="142"/>
        <v>422.79312683312583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0.64645249715179731</v>
      </c>
      <c r="AA178" s="21">
        <f>EXP(-LN(2)/25)*AA177+(1-EXP(-LN(2)/25))/(LN(2)/25)*Calculateur!V178*Calculateur!X178*VLOOKUP('Données projet'!$B$9,Paramètres!$A$1:$I$89,3,0)*0.475*44/12</f>
        <v>0.69566985356816979</v>
      </c>
      <c r="AB178" s="21">
        <f>EXP(-LN(2)/2)*AB177+(1-EXP(-LN(2)/2))/(LN(2)/2)*V178*Y178*VLOOKUP('Données projet'!$B$9,Paramètres!$A$1:$I$89,3,0)*0.475*44/12</f>
        <v>5.4611436434243206E-21</v>
      </c>
      <c r="AC178" s="22">
        <f t="shared" si="163"/>
        <v>1.3421223507199671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-6.7984728957526396E-14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311.06126148520821</v>
      </c>
      <c r="AO178" s="59">
        <f t="shared" si="144"/>
        <v>321.1728368524748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0.19803587069195619</v>
      </c>
      <c r="AV178" s="21">
        <f>EXP(-LN(2)/25)*AV177+(1-EXP(-LN(2)/25))/(LN(2)/25)*Calculateur!AQ178*Calculateur!AS178*VLOOKUP('Données projet'!$B$10,Paramètres!$A$1:$I$89,3,0)*0.475*44/12</f>
        <v>0.38301404962498159</v>
      </c>
      <c r="AW178" s="21">
        <f>EXP(-LN(2)/2)*AW177+(1-EXP(-LN(2)/2))/(LN(2)/2)*AQ178*AT178*VLOOKUP('Données projet'!$B$10,Paramètres!$A$1:$I$89,3,0)*0.475*44/12</f>
        <v>4.5374904984256487E-21</v>
      </c>
      <c r="AX178" s="21">
        <f t="shared" si="166"/>
        <v>0.58104992031693781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-7.9580786405131221E-13</v>
      </c>
      <c r="BE178" s="13">
        <f>BD178*VLOOKUP('Données projet'!$B$11,Paramètres!$A$1:$I$89,3,0)*VLOOKUP('Données projet'!$B$11,Paramètres!$A$1:$I$89,5,0)</f>
        <v>-3.8278358260868117E-13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371.85813103419366</v>
      </c>
      <c r="BJ178" s="59">
        <f t="shared" si="146"/>
        <v>370.01698880104584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1.5733640174481818</v>
      </c>
      <c r="BQ178" s="21">
        <f>EXP(-LN(2)/25)*BQ177+(1-EXP(-LN(2)/25))/(LN(2)/25)*Calculateur!BL178*Calculateur!BN178*VLOOKUP('Données projet'!$B$11,Paramètres!$A$1:$I$89,3,0)*0.475*44/12</f>
        <v>0.8093058368470567</v>
      </c>
      <c r="BR178" s="21">
        <f>EXP(-LN(2)/2)*BR177+(1-EXP(-LN(2)/2))/(LN(2)/2)*BL178*BO178*VLOOKUP('Données projet'!$B$11,Paramètres!$A$1:$I$89,3,0)*0.475*44/12</f>
        <v>1.3245973189397995E-19</v>
      </c>
      <c r="BS178" s="22">
        <f t="shared" si="169"/>
        <v>2.3826698542952385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5.6843418860808015E-13</v>
      </c>
      <c r="BZ178" s="13">
        <f>BY178*VLOOKUP('Données projet'!$B$12,Paramètres!$A$1:$I$89,3,0)*VLOOKUP('Données projet'!$B$12,Paramètres!$A$1:$I$89,5,0)</f>
        <v>3.1036506698001181E-13</v>
      </c>
      <c r="CA178" s="13">
        <f t="shared" si="170"/>
        <v>4.086682523110923E-12</v>
      </c>
      <c r="CB178" s="20">
        <f t="shared" si="171"/>
        <v>7.6581912194083782E-12</v>
      </c>
      <c r="CC178" s="59">
        <f t="shared" si="119"/>
        <v>293.33333333334099</v>
      </c>
      <c r="CD178" s="59">
        <f ca="1">AVERAGE(OFFSET($CC$3,0,0,'Données projet'!$E$12+1,1))-AVERAGE(OFFSET($H$3,0,0,'Données projet'!$E$12+1,1))</f>
        <v>248.1486444660062</v>
      </c>
      <c r="CE178" s="59">
        <f t="shared" si="148"/>
        <v>293.34458072322127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0.48217429385867527</v>
      </c>
      <c r="CL178" s="21">
        <f>EXP(-LN(2)/25)*CL177+(1-EXP(-LN(2)/25))/(LN(2)/25)*Calculateur!CG178*Calculateur!CI178*VLOOKUP('Données projet'!$B$12,Paramètres!$A$1:$I$89,3,0)*0.475*44/12</f>
        <v>0.61092336933655733</v>
      </c>
      <c r="CM178" s="21">
        <f>EXP(-LN(2)/2)*CM177+(1-EXP(-LN(2)/2))/(LN(2)/2)*CG178*CJ178*VLOOKUP('Données projet'!$B$12,Paramètres!$A$1:$I$89,3,0)*0.475*44/12</f>
        <v>3.7707078298867092E-21</v>
      </c>
      <c r="CN178" s="22">
        <f t="shared" si="172"/>
        <v>1.0930976631952327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-2.2737367544323206E-13</v>
      </c>
      <c r="CU178" s="17">
        <f>CT178*VLOOKUP('Données projet'!$B$13,Paramètres!$A$1:$I$89,3,0)*VLOOKUP('Données projet'!$B$13,Paramètres!$A$1:$I$89,5,0)</f>
        <v>-1.8089849618263545E-13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314.94704727988847</v>
      </c>
      <c r="CZ178" s="59">
        <f t="shared" si="150"/>
        <v>366.49199094166454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0.22165257079931983</v>
      </c>
      <c r="DG178" s="21">
        <f>EXP(-LN(2)/25)*DG177+(1-EXP(-LN(2)/25))/(LN(2)/25)*Calculateur!DB178*Calculateur!DD178*VLOOKUP('Données projet'!$B$13,Paramètres!$A$1:$I$89,3,0)*0.475*44/12</f>
        <v>0.45601337589291657</v>
      </c>
      <c r="DH178" s="21">
        <f>EXP(-LN(2)/2)*DH177+(1-EXP(-LN(2)/2))/(LN(2)/2)*DB178*DE178*VLOOKUP('Données projet'!$B$13,Paramètres!$A$1:$I$89,3,0)*0.475*44/12</f>
        <v>4.3227549212838547E-21</v>
      </c>
      <c r="DI178" s="22">
        <f t="shared" si="175"/>
        <v>0.67766594669223634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-1.2505552149377763E-12</v>
      </c>
      <c r="O179" s="13">
        <f>N179*VLOOKUP('Données projet'!$B$9,Paramètres!$A$1:$I$89,3,0)*VLOOKUP('Données projet'!$B$9,Paramètres!$A$1:$I$89,5,0)</f>
        <v>-6.9906036515021697E-13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415.91544298418842</v>
      </c>
      <c r="T179" s="59">
        <f t="shared" si="142"/>
        <v>422.79312683312583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0.63377595797974018</v>
      </c>
      <c r="AA179" s="21">
        <f>EXP(-LN(2)/25)*AA178+(1-EXP(-LN(2)/25))/(LN(2)/25)*Calculateur!V179*Calculateur!X179*VLOOKUP('Données projet'!$B$9,Paramètres!$A$1:$I$89,3,0)*0.475*44/12</f>
        <v>0.67664672483866062</v>
      </c>
      <c r="AB179" s="21">
        <f>EXP(-LN(2)/2)*AB178+(1-EXP(-LN(2)/2))/(LN(2)/2)*V179*Y179*VLOOKUP('Données projet'!$B$9,Paramètres!$A$1:$I$89,3,0)*0.475*44/12</f>
        <v>3.861611703299146E-21</v>
      </c>
      <c r="AC179" s="22">
        <f t="shared" si="163"/>
        <v>1.3104226828184009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-6.7984728957526396E-14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311.06126148520821</v>
      </c>
      <c r="AO179" s="59">
        <f t="shared" si="144"/>
        <v>321.1728368524748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0.19415250805764103</v>
      </c>
      <c r="AV179" s="21">
        <f>EXP(-LN(2)/25)*AV178+(1-EXP(-LN(2)/25))/(LN(2)/25)*Calculateur!AQ179*Calculateur!AS179*VLOOKUP('Données projet'!$B$10,Paramètres!$A$1:$I$89,3,0)*0.475*44/12</f>
        <v>0.37254051029615298</v>
      </c>
      <c r="AW179" s="21">
        <f>EXP(-LN(2)/2)*AW178+(1-EXP(-LN(2)/2))/(LN(2)/2)*AQ179*AT179*VLOOKUP('Données projet'!$B$10,Paramètres!$A$1:$I$89,3,0)*0.475*44/12</f>
        <v>3.2084903010063037E-21</v>
      </c>
      <c r="AX179" s="21">
        <f t="shared" si="166"/>
        <v>0.56669301835379404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-7.9580786405131221E-13</v>
      </c>
      <c r="BE179" s="13">
        <f>BD179*VLOOKUP('Données projet'!$B$11,Paramètres!$A$1:$I$89,3,0)*VLOOKUP('Données projet'!$B$11,Paramètres!$A$1:$I$89,5,0)</f>
        <v>-3.8278358260868117E-13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371.85813103419366</v>
      </c>
      <c r="BJ179" s="59">
        <f t="shared" si="146"/>
        <v>370.01698880104584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1.5425113087233153</v>
      </c>
      <c r="BQ179" s="21">
        <f>EXP(-LN(2)/25)*BQ178+(1-EXP(-LN(2)/25))/(LN(2)/25)*Calculateur!BL179*Calculateur!BN179*VLOOKUP('Données projet'!$B$11,Paramètres!$A$1:$I$89,3,0)*0.475*44/12</f>
        <v>0.78717532617892971</v>
      </c>
      <c r="BR179" s="21">
        <f>EXP(-LN(2)/2)*BR178+(1-EXP(-LN(2)/2))/(LN(2)/2)*BL179*BO179*VLOOKUP('Données projet'!$B$11,Paramètres!$A$1:$I$89,3,0)*0.475*44/12</f>
        <v>9.3663174656385235E-20</v>
      </c>
      <c r="BS179" s="22">
        <f t="shared" si="169"/>
        <v>2.3296866349022451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5.6843418860808015E-13</v>
      </c>
      <c r="BZ179" s="13">
        <f>BY179*VLOOKUP('Données projet'!$B$12,Paramètres!$A$1:$I$89,3,0)*VLOOKUP('Données projet'!$B$12,Paramètres!$A$1:$I$89,5,0)</f>
        <v>3.1036506698001181E-13</v>
      </c>
      <c r="CA179" s="13">
        <f t="shared" si="170"/>
        <v>4.086682523110923E-12</v>
      </c>
      <c r="CB179" s="20">
        <f t="shared" si="171"/>
        <v>7.6581912194083782E-12</v>
      </c>
      <c r="CC179" s="59">
        <f t="shared" si="119"/>
        <v>293.33333333334099</v>
      </c>
      <c r="CD179" s="59">
        <f ca="1">AVERAGE(OFFSET($CC$3,0,0,'Données projet'!$E$12+1,1))-AVERAGE(OFFSET($H$3,0,0,'Données projet'!$E$12+1,1))</f>
        <v>248.1486444660062</v>
      </c>
      <c r="CE179" s="59">
        <f t="shared" si="148"/>
        <v>293.34458072322127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0.47271915005338622</v>
      </c>
      <c r="CL179" s="21">
        <f>EXP(-LN(2)/25)*CL178+(1-EXP(-LN(2)/25))/(LN(2)/25)*Calculateur!CG179*Calculateur!CI179*VLOOKUP('Données projet'!$B$12,Paramètres!$A$1:$I$89,3,0)*0.475*44/12</f>
        <v>0.59421763767498548</v>
      </c>
      <c r="CM179" s="21">
        <f>EXP(-LN(2)/2)*CM178+(1-EXP(-LN(2)/2))/(LN(2)/2)*CG179*CJ179*VLOOKUP('Données projet'!$B$12,Paramètres!$A$1:$I$89,3,0)*0.475*44/12</f>
        <v>2.6662930763861028E-21</v>
      </c>
      <c r="CN179" s="22">
        <f t="shared" si="172"/>
        <v>1.0669367877283717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-2.2737367544323206E-13</v>
      </c>
      <c r="CU179" s="17">
        <f>CT179*VLOOKUP('Données projet'!$B$13,Paramètres!$A$1:$I$89,3,0)*VLOOKUP('Données projet'!$B$13,Paramètres!$A$1:$I$89,5,0)</f>
        <v>-1.8089849618263545E-13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314.94704727988847</v>
      </c>
      <c r="CZ179" s="59">
        <f t="shared" si="150"/>
        <v>366.49199094166454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0.21730609908066398</v>
      </c>
      <c r="DG179" s="21">
        <f>EXP(-LN(2)/25)*DG178+(1-EXP(-LN(2)/25))/(LN(2)/25)*Calculateur!DB179*Calculateur!DD179*VLOOKUP('Données projet'!$B$13,Paramètres!$A$1:$I$89,3,0)*0.475*44/12</f>
        <v>0.44354366614842355</v>
      </c>
      <c r="DH179" s="21">
        <f>EXP(-LN(2)/2)*DH178+(1-EXP(-LN(2)/2))/(LN(2)/2)*DB179*DE179*VLOOKUP('Données projet'!$B$13,Paramètres!$A$1:$I$89,3,0)*0.475*44/12</f>
        <v>3.0566493182473342E-21</v>
      </c>
      <c r="DI179" s="22">
        <f t="shared" si="175"/>
        <v>0.66084976522908756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-1.2505552149377763E-12</v>
      </c>
      <c r="O180" s="13">
        <f>N180*VLOOKUP('Données projet'!$B$9,Paramètres!$A$1:$I$89,3,0)*VLOOKUP('Données projet'!$B$9,Paramètres!$A$1:$I$89,5,0)</f>
        <v>-6.9906036515021697E-13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415.91544298418842</v>
      </c>
      <c r="T180" s="59">
        <f t="shared" si="142"/>
        <v>422.79312683312583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0.62134799800892171</v>
      </c>
      <c r="AA180" s="21">
        <f>EXP(-LN(2)/25)*AA179+(1-EXP(-LN(2)/25))/(LN(2)/25)*Calculateur!V180*Calculateur!X180*VLOOKUP('Données projet'!$B$9,Paramètres!$A$1:$I$89,3,0)*0.475*44/12</f>
        <v>0.65814378456464273</v>
      </c>
      <c r="AB180" s="21">
        <f>EXP(-LN(2)/2)*AB179+(1-EXP(-LN(2)/2))/(LN(2)/2)*V180*Y180*VLOOKUP('Données projet'!$B$9,Paramètres!$A$1:$I$89,3,0)*0.475*44/12</f>
        <v>2.7305718217121603E-21</v>
      </c>
      <c r="AC180" s="22">
        <f t="shared" si="163"/>
        <v>1.2794917825735643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-6.7984728957526396E-14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311.06126148520821</v>
      </c>
      <c r="AO180" s="59">
        <f t="shared" si="144"/>
        <v>321.1728368524748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0.19034529579596748</v>
      </c>
      <c r="AV180" s="21">
        <f>EXP(-LN(2)/25)*AV179+(1-EXP(-LN(2)/25))/(LN(2)/25)*Calculateur!AQ180*Calculateur!AS180*VLOOKUP('Données projet'!$B$10,Paramètres!$A$1:$I$89,3,0)*0.475*44/12</f>
        <v>0.3623533704510507</v>
      </c>
      <c r="AW180" s="21">
        <f>EXP(-LN(2)/2)*AW179+(1-EXP(-LN(2)/2))/(LN(2)/2)*AQ180*AT180*VLOOKUP('Données projet'!$B$10,Paramètres!$A$1:$I$89,3,0)*0.475*44/12</f>
        <v>2.2687452492128244E-21</v>
      </c>
      <c r="AX180" s="21">
        <f t="shared" si="166"/>
        <v>0.55269866624701813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-7.9580786405131221E-13</v>
      </c>
      <c r="BE180" s="13">
        <f>BD180*VLOOKUP('Données projet'!$B$11,Paramètres!$A$1:$I$89,3,0)*VLOOKUP('Données projet'!$B$11,Paramètres!$A$1:$I$89,5,0)</f>
        <v>-3.8278358260868117E-13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371.85813103419366</v>
      </c>
      <c r="BJ180" s="59">
        <f t="shared" si="146"/>
        <v>370.01698880104584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1.5122636027982492</v>
      </c>
      <c r="BQ180" s="21">
        <f>EXP(-LN(2)/25)*BQ179+(1-EXP(-LN(2)/25))/(LN(2)/25)*Calculateur!BL180*Calculateur!BN180*VLOOKUP('Données projet'!$B$11,Paramètres!$A$1:$I$89,3,0)*0.475*44/12</f>
        <v>0.76564997548881564</v>
      </c>
      <c r="BR180" s="21">
        <f>EXP(-LN(2)/2)*BR179+(1-EXP(-LN(2)/2))/(LN(2)/2)*BL180*BO180*VLOOKUP('Données projet'!$B$11,Paramètres!$A$1:$I$89,3,0)*0.475*44/12</f>
        <v>6.6229865946989977E-20</v>
      </c>
      <c r="BS180" s="22">
        <f t="shared" si="169"/>
        <v>2.2779135782870648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5.6843418860808015E-13</v>
      </c>
      <c r="BZ180" s="13">
        <f>BY180*VLOOKUP('Données projet'!$B$12,Paramètres!$A$1:$I$89,3,0)*VLOOKUP('Données projet'!$B$12,Paramètres!$A$1:$I$89,5,0)</f>
        <v>3.1036506698001181E-13</v>
      </c>
      <c r="CA180" s="13">
        <f t="shared" si="170"/>
        <v>4.086682523110923E-12</v>
      </c>
      <c r="CB180" s="20">
        <f t="shared" si="171"/>
        <v>7.6581912194083782E-12</v>
      </c>
      <c r="CC180" s="59">
        <f t="shared" si="119"/>
        <v>293.33333333334099</v>
      </c>
      <c r="CD180" s="59">
        <f ca="1">AVERAGE(OFFSET($CC$3,0,0,'Données projet'!$E$12+1,1))-AVERAGE(OFFSET($H$3,0,0,'Données projet'!$E$12+1,1))</f>
        <v>248.1486444660062</v>
      </c>
      <c r="CE180" s="59">
        <f t="shared" si="148"/>
        <v>293.34458072322127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0.46344941585105059</v>
      </c>
      <c r="CL180" s="21">
        <f>EXP(-LN(2)/25)*CL179+(1-EXP(-LN(2)/25))/(LN(2)/25)*Calculateur!CG180*Calculateur!CI180*VLOOKUP('Données projet'!$B$12,Paramètres!$A$1:$I$89,3,0)*0.475*44/12</f>
        <v>0.57796872512421549</v>
      </c>
      <c r="CM180" s="21">
        <f>EXP(-LN(2)/2)*CM179+(1-EXP(-LN(2)/2))/(LN(2)/2)*CG180*CJ180*VLOOKUP('Données projet'!$B$12,Paramètres!$A$1:$I$89,3,0)*0.475*44/12</f>
        <v>1.8853539149433546E-21</v>
      </c>
      <c r="CN180" s="22">
        <f t="shared" si="172"/>
        <v>1.0414181409752661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-2.2737367544323206E-13</v>
      </c>
      <c r="CU180" s="17">
        <f>CT180*VLOOKUP('Données projet'!$B$13,Paramètres!$A$1:$I$89,3,0)*VLOOKUP('Données projet'!$B$13,Paramètres!$A$1:$I$89,5,0)</f>
        <v>-1.8089849618263545E-13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314.94704727988847</v>
      </c>
      <c r="CZ180" s="59">
        <f t="shared" si="150"/>
        <v>366.49199094166454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0.213044859021325</v>
      </c>
      <c r="DG180" s="21">
        <f>EXP(-LN(2)/25)*DG179+(1-EXP(-LN(2)/25))/(LN(2)/25)*Calculateur!DB180*Calculateur!DD180*VLOOKUP('Données projet'!$B$13,Paramètres!$A$1:$I$89,3,0)*0.475*44/12</f>
        <v>0.43141494127264723</v>
      </c>
      <c r="DH180" s="21">
        <f>EXP(-LN(2)/2)*DH179+(1-EXP(-LN(2)/2))/(LN(2)/2)*DB180*DE180*VLOOKUP('Données projet'!$B$13,Paramètres!$A$1:$I$89,3,0)*0.475*44/12</f>
        <v>2.1613774606419274E-21</v>
      </c>
      <c r="DI180" s="22">
        <f t="shared" si="175"/>
        <v>0.64445980029397221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-1.2505552149377763E-12</v>
      </c>
      <c r="O181" s="13">
        <f>N181*VLOOKUP('Données projet'!$B$9,Paramètres!$A$1:$I$89,3,0)*VLOOKUP('Données projet'!$B$9,Paramètres!$A$1:$I$89,5,0)</f>
        <v>-6.9906036515021697E-13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415.91544298418842</v>
      </c>
      <c r="T181" s="59">
        <f t="shared" si="142"/>
        <v>422.79312683312583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0.60916374275282392</v>
      </c>
      <c r="AA181" s="21">
        <f>EXP(-LN(2)/25)*AA180+(1-EXP(-LN(2)/25))/(LN(2)/25)*Calculateur!V181*Calculateur!X181*VLOOKUP('Données projet'!$B$9,Paramètres!$A$1:$I$89,3,0)*0.475*44/12</f>
        <v>0.64014680816544511</v>
      </c>
      <c r="AB181" s="21">
        <f>EXP(-LN(2)/2)*AB180+(1-EXP(-LN(2)/2))/(LN(2)/2)*V181*Y181*VLOOKUP('Données projet'!$B$9,Paramètres!$A$1:$I$89,3,0)*0.475*44/12</f>
        <v>1.930805851649573E-21</v>
      </c>
      <c r="AC181" s="22">
        <f t="shared" si="163"/>
        <v>1.2493105509182691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-6.7984728957526396E-14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311.06126148520821</v>
      </c>
      <c r="AO181" s="59">
        <f t="shared" si="144"/>
        <v>321.1728368524748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0.18661274064457517</v>
      </c>
      <c r="AV181" s="21">
        <f>EXP(-LN(2)/25)*AV180+(1-EXP(-LN(2)/25))/(LN(2)/25)*Calculateur!AQ181*Calculateur!AS181*VLOOKUP('Données projet'!$B$10,Paramètres!$A$1:$I$89,3,0)*0.475*44/12</f>
        <v>0.35244479848073113</v>
      </c>
      <c r="AW181" s="21">
        <f>EXP(-LN(2)/2)*AW180+(1-EXP(-LN(2)/2))/(LN(2)/2)*AQ181*AT181*VLOOKUP('Données projet'!$B$10,Paramètres!$A$1:$I$89,3,0)*0.475*44/12</f>
        <v>1.6042451505031518E-21</v>
      </c>
      <c r="AX181" s="21">
        <f t="shared" si="166"/>
        <v>0.5390575391253063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-7.9580786405131221E-13</v>
      </c>
      <c r="BE181" s="13">
        <f>BD181*VLOOKUP('Données projet'!$B$11,Paramètres!$A$1:$I$89,3,0)*VLOOKUP('Données projet'!$B$11,Paramètres!$A$1:$I$89,5,0)</f>
        <v>-3.8278358260868117E-13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371.85813103419366</v>
      </c>
      <c r="BJ181" s="59">
        <f t="shared" si="146"/>
        <v>370.01698880104584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1.4826090359370949</v>
      </c>
      <c r="BQ181" s="21">
        <f>EXP(-LN(2)/25)*BQ180+(1-EXP(-LN(2)/25))/(LN(2)/25)*Calculateur!BL181*Calculateur!BN181*VLOOKUP('Données projet'!$B$11,Paramètres!$A$1:$I$89,3,0)*0.475*44/12</f>
        <v>0.74471323664529165</v>
      </c>
      <c r="BR181" s="21">
        <f>EXP(-LN(2)/2)*BR180+(1-EXP(-LN(2)/2))/(LN(2)/2)*BL181*BO181*VLOOKUP('Données projet'!$B$11,Paramètres!$A$1:$I$89,3,0)*0.475*44/12</f>
        <v>4.6831587328192617E-20</v>
      </c>
      <c r="BS181" s="22">
        <f t="shared" si="169"/>
        <v>2.2273222725823865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5.6843418860808015E-13</v>
      </c>
      <c r="BZ181" s="13">
        <f>BY181*VLOOKUP('Données projet'!$B$12,Paramètres!$A$1:$I$89,3,0)*VLOOKUP('Données projet'!$B$12,Paramètres!$A$1:$I$89,5,0)</f>
        <v>3.1036506698001181E-13</v>
      </c>
      <c r="CA181" s="13">
        <f t="shared" si="170"/>
        <v>4.086682523110923E-12</v>
      </c>
      <c r="CB181" s="20">
        <f t="shared" si="171"/>
        <v>7.6581912194083782E-12</v>
      </c>
      <c r="CC181" s="59">
        <f t="shared" si="119"/>
        <v>293.33333333334099</v>
      </c>
      <c r="CD181" s="59">
        <f ca="1">AVERAGE(OFFSET($CC$3,0,0,'Données projet'!$E$12+1,1))-AVERAGE(OFFSET($H$3,0,0,'Données projet'!$E$12+1,1))</f>
        <v>248.1486444660062</v>
      </c>
      <c r="CE181" s="59">
        <f t="shared" si="148"/>
        <v>293.34458072322127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0.45436145548244322</v>
      </c>
      <c r="CL181" s="21">
        <f>EXP(-LN(2)/25)*CL180+(1-EXP(-LN(2)/25))/(LN(2)/25)*Calculateur!CG181*Calculateur!CI181*VLOOKUP('Données projet'!$B$12,Paramètres!$A$1:$I$89,3,0)*0.475*44/12</f>
        <v>0.5621641399416395</v>
      </c>
      <c r="CM181" s="21">
        <f>EXP(-LN(2)/2)*CM180+(1-EXP(-LN(2)/2))/(LN(2)/2)*CG181*CJ181*VLOOKUP('Données projet'!$B$12,Paramètres!$A$1:$I$89,3,0)*0.475*44/12</f>
        <v>1.3331465381930514E-21</v>
      </c>
      <c r="CN181" s="22">
        <f t="shared" si="172"/>
        <v>1.0165255954240826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-2.2737367544323206E-13</v>
      </c>
      <c r="CU181" s="17">
        <f>CT181*VLOOKUP('Données projet'!$B$13,Paramètres!$A$1:$I$89,3,0)*VLOOKUP('Données projet'!$B$13,Paramètres!$A$1:$I$89,5,0)</f>
        <v>-1.8089849618263545E-13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314.94704727988847</v>
      </c>
      <c r="CZ181" s="59">
        <f t="shared" si="150"/>
        <v>366.49199094166454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0.20886717928044987</v>
      </c>
      <c r="DG181" s="21">
        <f>EXP(-LN(2)/25)*DG180+(1-EXP(-LN(2)/25))/(LN(2)/25)*Calculateur!DB181*Calculateur!DD181*VLOOKUP('Données projet'!$B$13,Paramètres!$A$1:$I$89,3,0)*0.475*44/12</f>
        <v>0.41961787701642095</v>
      </c>
      <c r="DH181" s="21">
        <f>EXP(-LN(2)/2)*DH180+(1-EXP(-LN(2)/2))/(LN(2)/2)*DB181*DE181*VLOOKUP('Données projet'!$B$13,Paramètres!$A$1:$I$89,3,0)*0.475*44/12</f>
        <v>1.5283246591236671E-21</v>
      </c>
      <c r="DI181" s="22">
        <f t="shared" si="175"/>
        <v>0.62848505629687079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-1.2505552149377763E-12</v>
      </c>
      <c r="O182" s="13">
        <f>N182*VLOOKUP('Données projet'!$B$9,Paramètres!$A$1:$I$89,3,0)*VLOOKUP('Données projet'!$B$9,Paramètres!$A$1:$I$89,5,0)</f>
        <v>-6.9906036515021697E-13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415.91544298418842</v>
      </c>
      <c r="T182" s="59">
        <f t="shared" si="142"/>
        <v>422.79312683312583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0.5972184133106363</v>
      </c>
      <c r="AA182" s="21">
        <f>EXP(-LN(2)/25)*AA181+(1-EXP(-LN(2)/25))/(LN(2)/25)*Calculateur!V182*Calculateur!X182*VLOOKUP('Données projet'!$B$9,Paramètres!$A$1:$I$89,3,0)*0.475*44/12</f>
        <v>0.62264196003230343</v>
      </c>
      <c r="AB182" s="21">
        <f>EXP(-LN(2)/2)*AB181+(1-EXP(-LN(2)/2))/(LN(2)/2)*V182*Y182*VLOOKUP('Données projet'!$B$9,Paramètres!$A$1:$I$89,3,0)*0.475*44/12</f>
        <v>1.3652859108560802E-21</v>
      </c>
      <c r="AC182" s="22">
        <f t="shared" si="163"/>
        <v>1.2198603733429398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-6.7984728957526396E-14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311.06126148520821</v>
      </c>
      <c r="AO182" s="59">
        <f t="shared" si="144"/>
        <v>321.1728368524748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0.18295337862306779</v>
      </c>
      <c r="AV182" s="21">
        <f>EXP(-LN(2)/25)*AV181+(1-EXP(-LN(2)/25))/(LN(2)/25)*Calculateur!AQ182*Calculateur!AS182*VLOOKUP('Données projet'!$B$10,Paramètres!$A$1:$I$89,3,0)*0.475*44/12</f>
        <v>0.34280717693200913</v>
      </c>
      <c r="AW182" s="21">
        <f>EXP(-LN(2)/2)*AW181+(1-EXP(-LN(2)/2))/(LN(2)/2)*AQ182*AT182*VLOOKUP('Données projet'!$B$10,Paramètres!$A$1:$I$89,3,0)*0.475*44/12</f>
        <v>1.1343726246064122E-21</v>
      </c>
      <c r="AX182" s="21">
        <f t="shared" si="166"/>
        <v>0.52576055555507695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-7.9580786405131221E-13</v>
      </c>
      <c r="BE182" s="13">
        <f>BD182*VLOOKUP('Données projet'!$B$11,Paramètres!$A$1:$I$89,3,0)*VLOOKUP('Données projet'!$B$11,Paramètres!$A$1:$I$89,5,0)</f>
        <v>-3.8278358260868117E-13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371.85813103419366</v>
      </c>
      <c r="BJ182" s="59">
        <f t="shared" si="146"/>
        <v>370.01698880104584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1.4535359770445879</v>
      </c>
      <c r="BQ182" s="21">
        <f>EXP(-LN(2)/25)*BQ181+(1-EXP(-LN(2)/25))/(LN(2)/25)*Calculateur!BL182*Calculateur!BN182*VLOOKUP('Données projet'!$B$11,Paramètres!$A$1:$I$89,3,0)*0.475*44/12</f>
        <v>0.72434901402645913</v>
      </c>
      <c r="BR182" s="21">
        <f>EXP(-LN(2)/2)*BR181+(1-EXP(-LN(2)/2))/(LN(2)/2)*BL182*BO182*VLOOKUP('Données projet'!$B$11,Paramètres!$A$1:$I$89,3,0)*0.475*44/12</f>
        <v>3.3114932973494988E-20</v>
      </c>
      <c r="BS182" s="22">
        <f t="shared" si="169"/>
        <v>2.1778849910710472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5.6843418860808015E-13</v>
      </c>
      <c r="BZ182" s="13">
        <f>BY182*VLOOKUP('Données projet'!$B$12,Paramètres!$A$1:$I$89,3,0)*VLOOKUP('Données projet'!$B$12,Paramètres!$A$1:$I$89,5,0)</f>
        <v>3.1036506698001181E-13</v>
      </c>
      <c r="CA182" s="13">
        <f t="shared" si="170"/>
        <v>4.086682523110923E-12</v>
      </c>
      <c r="CB182" s="20">
        <f t="shared" si="171"/>
        <v>7.6581912194083782E-12</v>
      </c>
      <c r="CC182" s="59">
        <f t="shared" si="119"/>
        <v>293.33333333334099</v>
      </c>
      <c r="CD182" s="59">
        <f ca="1">AVERAGE(OFFSET($CC$3,0,0,'Données projet'!$E$12+1,1))-AVERAGE(OFFSET($H$3,0,0,'Données projet'!$E$12+1,1))</f>
        <v>248.1486444660062</v>
      </c>
      <c r="CE182" s="59">
        <f t="shared" si="148"/>
        <v>293.34458072322127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0.44545170447355575</v>
      </c>
      <c r="CL182" s="21">
        <f>EXP(-LN(2)/25)*CL181+(1-EXP(-LN(2)/25))/(LN(2)/25)*Calculateur!CG182*Calculateur!CI182*VLOOKUP('Données projet'!$B$12,Paramètres!$A$1:$I$89,3,0)*0.475*44/12</f>
        <v>0.54679173197200803</v>
      </c>
      <c r="CM182" s="21">
        <f>EXP(-LN(2)/2)*CM181+(1-EXP(-LN(2)/2))/(LN(2)/2)*CG182*CJ182*VLOOKUP('Données projet'!$B$12,Paramètres!$A$1:$I$89,3,0)*0.475*44/12</f>
        <v>9.426769574716773E-22</v>
      </c>
      <c r="CN182" s="22">
        <f t="shared" si="172"/>
        <v>0.99224343644556379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-2.2737367544323206E-13</v>
      </c>
      <c r="CU182" s="17">
        <f>CT182*VLOOKUP('Données projet'!$B$13,Paramètres!$A$1:$I$89,3,0)*VLOOKUP('Données projet'!$B$13,Paramètres!$A$1:$I$89,5,0)</f>
        <v>-1.8089849618263545E-13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314.94704727988847</v>
      </c>
      <c r="CZ182" s="59">
        <f t="shared" si="150"/>
        <v>366.49199094166454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0.20477142129116027</v>
      </c>
      <c r="DG182" s="21">
        <f>EXP(-LN(2)/25)*DG181+(1-EXP(-LN(2)/25))/(LN(2)/25)*Calculateur!DB182*Calculateur!DD182*VLOOKUP('Données projet'!$B$13,Paramètres!$A$1:$I$89,3,0)*0.475*44/12</f>
        <v>0.40814340410266181</v>
      </c>
      <c r="DH182" s="21">
        <f>EXP(-LN(2)/2)*DH181+(1-EXP(-LN(2)/2))/(LN(2)/2)*DB182*DE182*VLOOKUP('Données projet'!$B$13,Paramètres!$A$1:$I$89,3,0)*0.475*44/12</f>
        <v>1.0806887303209637E-21</v>
      </c>
      <c r="DI182" s="22">
        <f t="shared" si="175"/>
        <v>0.61291482539382214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-1.2505552149377763E-12</v>
      </c>
      <c r="O183" s="13">
        <f>N183*VLOOKUP('Données projet'!$B$9,Paramètres!$A$1:$I$89,3,0)*VLOOKUP('Données projet'!$B$9,Paramètres!$A$1:$I$89,5,0)</f>
        <v>-6.9906036515021697E-13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415.91544298418842</v>
      </c>
      <c r="T183" s="59">
        <f t="shared" si="142"/>
        <v>422.79312683312583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0.58550732449287846</v>
      </c>
      <c r="AA183" s="21">
        <f>EXP(-LN(2)/25)*AA182+(1-EXP(-LN(2)/25))/(LN(2)/25)*Calculateur!V183*Calculateur!X183*VLOOKUP('Données projet'!$B$9,Paramètres!$A$1:$I$89,3,0)*0.475*44/12</f>
        <v>0.60561578289190243</v>
      </c>
      <c r="AB183" s="21">
        <f>EXP(-LN(2)/2)*AB182+(1-EXP(-LN(2)/2))/(LN(2)/2)*V183*Y183*VLOOKUP('Données projet'!$B$9,Paramètres!$A$1:$I$89,3,0)*0.475*44/12</f>
        <v>9.6540292582478649E-22</v>
      </c>
      <c r="AC183" s="22">
        <f t="shared" si="163"/>
        <v>1.1911231073847808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-6.7984728957526396E-14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311.06126148520821</v>
      </c>
      <c r="AO183" s="59">
        <f t="shared" si="144"/>
        <v>321.1728368524748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0.17936577445881174</v>
      </c>
      <c r="AV183" s="21">
        <f>EXP(-LN(2)/25)*AV182+(1-EXP(-LN(2)/25))/(LN(2)/25)*Calculateur!AQ183*Calculateur!AS183*VLOOKUP('Données projet'!$B$10,Paramètres!$A$1:$I$89,3,0)*0.475*44/12</f>
        <v>0.3334330966513574</v>
      </c>
      <c r="AW183" s="21">
        <f>EXP(-LN(2)/2)*AW182+(1-EXP(-LN(2)/2))/(LN(2)/2)*AQ183*AT183*VLOOKUP('Données projet'!$B$10,Paramètres!$A$1:$I$89,3,0)*0.475*44/12</f>
        <v>8.0212257525157592E-22</v>
      </c>
      <c r="AX183" s="21">
        <f t="shared" si="166"/>
        <v>0.5127988711101692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-7.9580786405131221E-13</v>
      </c>
      <c r="BE183" s="13">
        <f>BD183*VLOOKUP('Données projet'!$B$11,Paramètres!$A$1:$I$89,3,0)*VLOOKUP('Données projet'!$B$11,Paramètres!$A$1:$I$89,5,0)</f>
        <v>-3.8278358260868117E-13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371.85813103419366</v>
      </c>
      <c r="BJ183" s="59">
        <f t="shared" si="146"/>
        <v>370.01698880104584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1.4250330231041481</v>
      </c>
      <c r="BQ183" s="21">
        <f>EXP(-LN(2)/25)*BQ182+(1-EXP(-LN(2)/25))/(LN(2)/25)*Calculateur!BL183*Calculateur!BN183*VLOOKUP('Données projet'!$B$11,Paramètres!$A$1:$I$89,3,0)*0.475*44/12</f>
        <v>0.70454165214604647</v>
      </c>
      <c r="BR183" s="21">
        <f>EXP(-LN(2)/2)*BR182+(1-EXP(-LN(2)/2))/(LN(2)/2)*BL183*BO183*VLOOKUP('Données projet'!$B$11,Paramètres!$A$1:$I$89,3,0)*0.475*44/12</f>
        <v>2.3415793664096309E-20</v>
      </c>
      <c r="BS183" s="22">
        <f t="shared" si="169"/>
        <v>2.1295746752501947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5.6843418860808015E-13</v>
      </c>
      <c r="BZ183" s="13">
        <f>BY183*VLOOKUP('Données projet'!$B$12,Paramètres!$A$1:$I$89,3,0)*VLOOKUP('Données projet'!$B$12,Paramètres!$A$1:$I$89,5,0)</f>
        <v>3.1036506698001181E-13</v>
      </c>
      <c r="CA183" s="13">
        <f t="shared" si="170"/>
        <v>4.086682523110923E-12</v>
      </c>
      <c r="CB183" s="20">
        <f t="shared" si="171"/>
        <v>7.6581912194083782E-12</v>
      </c>
      <c r="CC183" s="59">
        <f t="shared" si="119"/>
        <v>293.33333333334099</v>
      </c>
      <c r="CD183" s="59">
        <f ca="1">AVERAGE(OFFSET($CC$3,0,0,'Données projet'!$E$12+1,1))-AVERAGE(OFFSET($H$3,0,0,'Données projet'!$E$12+1,1))</f>
        <v>248.1486444660062</v>
      </c>
      <c r="CE183" s="59">
        <f t="shared" si="148"/>
        <v>293.34458072322127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0.43671666824754102</v>
      </c>
      <c r="CL183" s="21">
        <f>EXP(-LN(2)/25)*CL182+(1-EXP(-LN(2)/25))/(LN(2)/25)*Calculateur!CG183*Calculateur!CI183*VLOOKUP('Données projet'!$B$12,Paramètres!$A$1:$I$89,3,0)*0.475*44/12</f>
        <v>0.53183968330670595</v>
      </c>
      <c r="CM183" s="21">
        <f>EXP(-LN(2)/2)*CM182+(1-EXP(-LN(2)/2))/(LN(2)/2)*CG183*CJ183*VLOOKUP('Données projet'!$B$12,Paramètres!$A$1:$I$89,3,0)*0.475*44/12</f>
        <v>6.6657326909652569E-22</v>
      </c>
      <c r="CN183" s="22">
        <f t="shared" si="172"/>
        <v>0.96855635155424702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-2.2737367544323206E-13</v>
      </c>
      <c r="CU183" s="17">
        <f>CT183*VLOOKUP('Données projet'!$B$13,Paramètres!$A$1:$I$89,3,0)*VLOOKUP('Données projet'!$B$13,Paramètres!$A$1:$I$89,5,0)</f>
        <v>-1.8089849618263545E-13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314.94704727988847</v>
      </c>
      <c r="CZ183" s="59">
        <f t="shared" si="150"/>
        <v>366.49199094166454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0.20075597861787492</v>
      </c>
      <c r="DG183" s="21">
        <f>EXP(-LN(2)/25)*DG182+(1-EXP(-LN(2)/25))/(LN(2)/25)*Calculateur!DB183*Calculateur!DD183*VLOOKUP('Données projet'!$B$13,Paramètres!$A$1:$I$89,3,0)*0.475*44/12</f>
        <v>0.39698270125414575</v>
      </c>
      <c r="DH183" s="21">
        <f>EXP(-LN(2)/2)*DH182+(1-EXP(-LN(2)/2))/(LN(2)/2)*DB183*DE183*VLOOKUP('Données projet'!$B$13,Paramètres!$A$1:$I$89,3,0)*0.475*44/12</f>
        <v>7.6416232956183355E-22</v>
      </c>
      <c r="DI183" s="22">
        <f t="shared" si="175"/>
        <v>0.59773867987202067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-1.2505552149377763E-12</v>
      </c>
      <c r="O184" s="13">
        <f>N184*VLOOKUP('Données projet'!$B$9,Paramètres!$A$1:$I$89,3,0)*VLOOKUP('Données projet'!$B$9,Paramètres!$A$1:$I$89,5,0)</f>
        <v>-6.9906036515021697E-13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415.91544298418842</v>
      </c>
      <c r="T184" s="59">
        <f t="shared" si="142"/>
        <v>422.79312683312583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0.57402588298377799</v>
      </c>
      <c r="AA184" s="21">
        <f>EXP(-LN(2)/25)*AA183+(1-EXP(-LN(2)/25))/(LN(2)/25)*Calculateur!V184*Calculateur!X184*VLOOKUP('Données projet'!$B$9,Paramètres!$A$1:$I$89,3,0)*0.475*44/12</f>
        <v>0.58905518746077346</v>
      </c>
      <c r="AB184" s="21">
        <f>EXP(-LN(2)/2)*AB183+(1-EXP(-LN(2)/2))/(LN(2)/2)*V184*Y184*VLOOKUP('Données projet'!$B$9,Paramètres!$A$1:$I$89,3,0)*0.475*44/12</f>
        <v>6.8264295542804008E-22</v>
      </c>
      <c r="AC184" s="22">
        <f t="shared" si="163"/>
        <v>1.1630810704445516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-6.7984728957526396E-14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311.06126148520821</v>
      </c>
      <c r="AO184" s="59">
        <f t="shared" si="144"/>
        <v>321.1728368524748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0.17584852102399429</v>
      </c>
      <c r="AV184" s="21">
        <f>EXP(-LN(2)/25)*AV183+(1-EXP(-LN(2)/25))/(LN(2)/25)*Calculateur!AQ184*Calculateur!AS184*VLOOKUP('Données projet'!$B$10,Paramètres!$A$1:$I$89,3,0)*0.475*44/12</f>
        <v>0.32431535108894155</v>
      </c>
      <c r="AW184" s="21">
        <f>EXP(-LN(2)/2)*AW183+(1-EXP(-LN(2)/2))/(LN(2)/2)*AQ184*AT184*VLOOKUP('Données projet'!$B$10,Paramètres!$A$1:$I$89,3,0)*0.475*44/12</f>
        <v>5.6718631230320609E-22</v>
      </c>
      <c r="AX184" s="21">
        <f t="shared" si="166"/>
        <v>0.50016387211293578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-7.9580786405131221E-13</v>
      </c>
      <c r="BE184" s="13">
        <f>BD184*VLOOKUP('Données projet'!$B$11,Paramètres!$A$1:$I$89,3,0)*VLOOKUP('Données projet'!$B$11,Paramètres!$A$1:$I$89,5,0)</f>
        <v>-3.8278358260868117E-13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371.85813103419366</v>
      </c>
      <c r="BJ184" s="59">
        <f t="shared" si="146"/>
        <v>370.01698880104584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1.397088994705395</v>
      </c>
      <c r="BQ184" s="21">
        <f>EXP(-LN(2)/25)*BQ183+(1-EXP(-LN(2)/25))/(LN(2)/25)*Calculateur!BL184*Calculateur!BN184*VLOOKUP('Données projet'!$B$11,Paramètres!$A$1:$I$89,3,0)*0.475*44/12</f>
        <v>0.68527592361787759</v>
      </c>
      <c r="BR184" s="21">
        <f>EXP(-LN(2)/2)*BR183+(1-EXP(-LN(2)/2))/(LN(2)/2)*BL184*BO184*VLOOKUP('Données projet'!$B$11,Paramètres!$A$1:$I$89,3,0)*0.475*44/12</f>
        <v>1.6557466486747494E-20</v>
      </c>
      <c r="BS184" s="22">
        <f t="shared" si="169"/>
        <v>2.0823649183232726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5.6843418860808015E-13</v>
      </c>
      <c r="BZ184" s="13">
        <f>BY184*VLOOKUP('Données projet'!$B$12,Paramètres!$A$1:$I$89,3,0)*VLOOKUP('Données projet'!$B$12,Paramètres!$A$1:$I$89,5,0)</f>
        <v>3.1036506698001181E-13</v>
      </c>
      <c r="CA184" s="13">
        <f t="shared" si="170"/>
        <v>4.086682523110923E-12</v>
      </c>
      <c r="CB184" s="20">
        <f t="shared" si="171"/>
        <v>7.6581912194083782E-12</v>
      </c>
      <c r="CC184" s="59">
        <f t="shared" si="119"/>
        <v>293.33333333334099</v>
      </c>
      <c r="CD184" s="59">
        <f ca="1">AVERAGE(OFFSET($CC$3,0,0,'Données projet'!$E$12+1,1))-AVERAGE(OFFSET($H$3,0,0,'Données projet'!$E$12+1,1))</f>
        <v>248.1486444660062</v>
      </c>
      <c r="CE184" s="59">
        <f t="shared" si="148"/>
        <v>293.34458072322127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0.42815292075407241</v>
      </c>
      <c r="CL184" s="21">
        <f>EXP(-LN(2)/25)*CL183+(1-EXP(-LN(2)/25))/(LN(2)/25)*Calculateur!CG184*Calculateur!CI184*VLOOKUP('Données projet'!$B$12,Paramètres!$A$1:$I$89,3,0)*0.475*44/12</f>
        <v>0.51729649919845067</v>
      </c>
      <c r="CM184" s="21">
        <f>EXP(-LN(2)/2)*CM183+(1-EXP(-LN(2)/2))/(LN(2)/2)*CG184*CJ184*VLOOKUP('Données projet'!$B$12,Paramètres!$A$1:$I$89,3,0)*0.475*44/12</f>
        <v>4.7133847873583865E-22</v>
      </c>
      <c r="CN184" s="22">
        <f t="shared" si="172"/>
        <v>0.94544941995252307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-2.2737367544323206E-13</v>
      </c>
      <c r="CU184" s="17">
        <f>CT184*VLOOKUP('Données projet'!$B$13,Paramètres!$A$1:$I$89,3,0)*VLOOKUP('Données projet'!$B$13,Paramètres!$A$1:$I$89,5,0)</f>
        <v>-1.8089849618263545E-13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314.94704727988847</v>
      </c>
      <c r="CZ184" s="59">
        <f t="shared" si="150"/>
        <v>366.49199094166454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0.1968192763262345</v>
      </c>
      <c r="DG184" s="21">
        <f>EXP(-LN(2)/25)*DG183+(1-EXP(-LN(2)/25))/(LN(2)/25)*Calculateur!DB184*Calculateur!DD184*VLOOKUP('Données projet'!$B$13,Paramètres!$A$1:$I$89,3,0)*0.475*44/12</f>
        <v>0.38612718841193822</v>
      </c>
      <c r="DH184" s="21">
        <f>EXP(-LN(2)/2)*DH183+(1-EXP(-LN(2)/2))/(LN(2)/2)*DB184*DE184*VLOOKUP('Données projet'!$B$13,Paramètres!$A$1:$I$89,3,0)*0.475*44/12</f>
        <v>5.4034436516048184E-22</v>
      </c>
      <c r="DI184" s="22">
        <f t="shared" si="175"/>
        <v>0.58294646473817269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-1.2505552149377763E-12</v>
      </c>
      <c r="O185" s="13">
        <f>N185*VLOOKUP('Données projet'!$B$9,Paramètres!$A$1:$I$89,3,0)*VLOOKUP('Données projet'!$B$9,Paramètres!$A$1:$I$89,5,0)</f>
        <v>-6.9906036515021697E-13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415.91544298418842</v>
      </c>
      <c r="T185" s="59">
        <f t="shared" si="142"/>
        <v>422.79312683312583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0.56276958553968315</v>
      </c>
      <c r="AA185" s="21">
        <f>EXP(-LN(2)/25)*AA184+(1-EXP(-LN(2)/25))/(LN(2)/25)*Calculateur!V185*Calculateur!X185*VLOOKUP('Données projet'!$B$9,Paramètres!$A$1:$I$89,3,0)*0.475*44/12</f>
        <v>0.57294744238259265</v>
      </c>
      <c r="AB185" s="21">
        <f>EXP(-LN(2)/2)*AB184+(1-EXP(-LN(2)/2))/(LN(2)/2)*V185*Y185*VLOOKUP('Données projet'!$B$9,Paramètres!$A$1:$I$89,3,0)*0.475*44/12</f>
        <v>4.8270146291239325E-22</v>
      </c>
      <c r="AC185" s="22">
        <f t="shared" si="163"/>
        <v>1.1357170279222757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-6.7984728957526396E-14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311.06126148520821</v>
      </c>
      <c r="AO185" s="59">
        <f t="shared" si="144"/>
        <v>321.1728368524748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0.17240023878372082</v>
      </c>
      <c r="AV185" s="21">
        <f>EXP(-LN(2)/25)*AV184+(1-EXP(-LN(2)/25))/(LN(2)/25)*Calculateur!AQ185*Calculateur!AS185*VLOOKUP('Données projet'!$B$10,Paramètres!$A$1:$I$89,3,0)*0.475*44/12</f>
        <v>0.31544693075841135</v>
      </c>
      <c r="AW185" s="21">
        <f>EXP(-LN(2)/2)*AW184+(1-EXP(-LN(2)/2))/(LN(2)/2)*AQ185*AT185*VLOOKUP('Données projet'!$B$10,Paramètres!$A$1:$I$89,3,0)*0.475*44/12</f>
        <v>4.0106128762578796E-22</v>
      </c>
      <c r="AX185" s="21">
        <f t="shared" si="166"/>
        <v>0.48784716954213214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-7.9580786405131221E-13</v>
      </c>
      <c r="BE185" s="13">
        <f>BD185*VLOOKUP('Données projet'!$B$11,Paramètres!$A$1:$I$89,3,0)*VLOOKUP('Données projet'!$B$11,Paramètres!$A$1:$I$89,5,0)</f>
        <v>-3.8278358260868117E-13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371.85813103419366</v>
      </c>
      <c r="BJ185" s="59">
        <f t="shared" si="146"/>
        <v>370.01698880104584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1.3696929316593671</v>
      </c>
      <c r="BQ185" s="21">
        <f>EXP(-LN(2)/25)*BQ184+(1-EXP(-LN(2)/25))/(LN(2)/25)*Calculateur!BL185*Calculateur!BN185*VLOOKUP('Données projet'!$B$11,Paramètres!$A$1:$I$89,3,0)*0.475*44/12</f>
        <v>0.66653701744945215</v>
      </c>
      <c r="BR185" s="21">
        <f>EXP(-LN(2)/2)*BR184+(1-EXP(-LN(2)/2))/(LN(2)/2)*BL185*BO185*VLOOKUP('Données projet'!$B$11,Paramètres!$A$1:$I$89,3,0)*0.475*44/12</f>
        <v>1.1707896832048154E-20</v>
      </c>
      <c r="BS185" s="22">
        <f t="shared" si="169"/>
        <v>2.0362299491088192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5.6843418860808015E-13</v>
      </c>
      <c r="BZ185" s="13">
        <f>BY185*VLOOKUP('Données projet'!$B$12,Paramètres!$A$1:$I$89,3,0)*VLOOKUP('Données projet'!$B$12,Paramètres!$A$1:$I$89,5,0)</f>
        <v>3.1036506698001181E-13</v>
      </c>
      <c r="CA185" s="13">
        <f t="shared" si="170"/>
        <v>4.086682523110923E-12</v>
      </c>
      <c r="CB185" s="20">
        <f t="shared" si="171"/>
        <v>7.6581912194083782E-12</v>
      </c>
      <c r="CC185" s="59">
        <f t="shared" si="119"/>
        <v>293.33333333334099</v>
      </c>
      <c r="CD185" s="59">
        <f ca="1">AVERAGE(OFFSET($CC$3,0,0,'Données projet'!$E$12+1,1))-AVERAGE(OFFSET($H$3,0,0,'Données projet'!$E$12+1,1))</f>
        <v>248.1486444660062</v>
      </c>
      <c r="CE185" s="59">
        <f t="shared" si="148"/>
        <v>293.34458072322127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0.41975710312558051</v>
      </c>
      <c r="CL185" s="21">
        <f>EXP(-LN(2)/25)*CL184+(1-EXP(-LN(2)/25))/(LN(2)/25)*Calculateur!CG185*Calculateur!CI185*VLOOKUP('Données projet'!$B$12,Paramètres!$A$1:$I$89,3,0)*0.475*44/12</f>
        <v>0.50315099922442841</v>
      </c>
      <c r="CM185" s="21">
        <f>EXP(-LN(2)/2)*CM184+(1-EXP(-LN(2)/2))/(LN(2)/2)*CG185*CJ185*VLOOKUP('Données projet'!$B$12,Paramètres!$A$1:$I$89,3,0)*0.475*44/12</f>
        <v>3.3328663454826285E-22</v>
      </c>
      <c r="CN185" s="22">
        <f t="shared" si="172"/>
        <v>0.92290810235000897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-2.2737367544323206E-13</v>
      </c>
      <c r="CU185" s="17">
        <f>CT185*VLOOKUP('Données projet'!$B$13,Paramètres!$A$1:$I$89,3,0)*VLOOKUP('Données projet'!$B$13,Paramètres!$A$1:$I$89,5,0)</f>
        <v>-1.8089849618263545E-13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314.94704727988847</v>
      </c>
      <c r="CZ185" s="59">
        <f t="shared" si="150"/>
        <v>366.49199094166454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0.19295977036538187</v>
      </c>
      <c r="DG185" s="21">
        <f>EXP(-LN(2)/25)*DG184+(1-EXP(-LN(2)/25))/(LN(2)/25)*Calculateur!DB185*Calculateur!DD185*VLOOKUP('Données projet'!$B$13,Paramètres!$A$1:$I$89,3,0)*0.475*44/12</f>
        <v>0.37556852013926745</v>
      </c>
      <c r="DH185" s="21">
        <f>EXP(-LN(2)/2)*DH184+(1-EXP(-LN(2)/2))/(LN(2)/2)*DB185*DE185*VLOOKUP('Données projet'!$B$13,Paramètres!$A$1:$I$89,3,0)*0.475*44/12</f>
        <v>3.8208116478091677E-22</v>
      </c>
      <c r="DI185" s="22">
        <f t="shared" si="175"/>
        <v>0.56852829050464937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-1.2505552149377763E-12</v>
      </c>
      <c r="O186" s="13">
        <f>N186*VLOOKUP('Données projet'!$B$9,Paramètres!$A$1:$I$89,3,0)*VLOOKUP('Données projet'!$B$9,Paramètres!$A$1:$I$89,5,0)</f>
        <v>-6.9906036515021697E-13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415.91544298418842</v>
      </c>
      <c r="T186" s="59">
        <f t="shared" si="142"/>
        <v>422.79312683312583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0.55173401722280346</v>
      </c>
      <c r="AA186" s="21">
        <f>EXP(-LN(2)/25)*AA185+(1-EXP(-LN(2)/25))/(LN(2)/25)*Calculateur!V186*Calculateur!X186*VLOOKUP('Données projet'!$B$9,Paramètres!$A$1:$I$89,3,0)*0.475*44/12</f>
        <v>0.5572801644406441</v>
      </c>
      <c r="AB186" s="21">
        <f>EXP(-LN(2)/2)*AB185+(1-EXP(-LN(2)/2))/(LN(2)/2)*V186*Y186*VLOOKUP('Données projet'!$B$9,Paramètres!$A$1:$I$89,3,0)*0.475*44/12</f>
        <v>3.4132147771402004E-22</v>
      </c>
      <c r="AC186" s="22">
        <f t="shared" si="163"/>
        <v>1.1090141816634476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-6.7984728957526396E-14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311.06126148520821</v>
      </c>
      <c r="AO186" s="59">
        <f t="shared" si="144"/>
        <v>321.1728368524748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0.16901957525493463</v>
      </c>
      <c r="AV186" s="21">
        <f>EXP(-LN(2)/25)*AV185+(1-EXP(-LN(2)/25))/(LN(2)/25)*Calculateur!AQ186*Calculateur!AS186*VLOOKUP('Données projet'!$B$10,Paramètres!$A$1:$I$89,3,0)*0.475*44/12</f>
        <v>0.30682101784818949</v>
      </c>
      <c r="AW186" s="21">
        <f>EXP(-LN(2)/2)*AW185+(1-EXP(-LN(2)/2))/(LN(2)/2)*AQ186*AT186*VLOOKUP('Données projet'!$B$10,Paramètres!$A$1:$I$89,3,0)*0.475*44/12</f>
        <v>2.8359315615160304E-22</v>
      </c>
      <c r="AX186" s="21">
        <f t="shared" si="166"/>
        <v>0.4758405931031241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-7.9580786405131221E-13</v>
      </c>
      <c r="BE186" s="13">
        <f>BD186*VLOOKUP('Données projet'!$B$11,Paramètres!$A$1:$I$89,3,0)*VLOOKUP('Données projet'!$B$11,Paramètres!$A$1:$I$89,5,0)</f>
        <v>-3.8278358260868117E-13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371.85813103419366</v>
      </c>
      <c r="BJ186" s="59">
        <f t="shared" si="146"/>
        <v>370.01698880104584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1.3428340886997234</v>
      </c>
      <c r="BQ186" s="21">
        <f>EXP(-LN(2)/25)*BQ185+(1-EXP(-LN(2)/25))/(LN(2)/25)*Calculateur!BL186*Calculateur!BN186*VLOOKUP('Données projet'!$B$11,Paramètres!$A$1:$I$89,3,0)*0.475*44/12</f>
        <v>0.64831052765563857</v>
      </c>
      <c r="BR186" s="21">
        <f>EXP(-LN(2)/2)*BR185+(1-EXP(-LN(2)/2))/(LN(2)/2)*BL186*BO186*VLOOKUP('Données projet'!$B$11,Paramètres!$A$1:$I$89,3,0)*0.475*44/12</f>
        <v>8.2787332433737471E-21</v>
      </c>
      <c r="BS186" s="22">
        <f t="shared" si="169"/>
        <v>1.9911446163553621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5.6843418860808015E-13</v>
      </c>
      <c r="BZ186" s="13">
        <f>BY186*VLOOKUP('Données projet'!$B$12,Paramètres!$A$1:$I$89,3,0)*VLOOKUP('Données projet'!$B$12,Paramètres!$A$1:$I$89,5,0)</f>
        <v>3.1036506698001181E-13</v>
      </c>
      <c r="CA186" s="13">
        <f t="shared" si="170"/>
        <v>4.086682523110923E-12</v>
      </c>
      <c r="CB186" s="20">
        <f t="shared" si="171"/>
        <v>7.6581912194083782E-12</v>
      </c>
      <c r="CC186" s="59">
        <f t="shared" si="119"/>
        <v>293.33333333334099</v>
      </c>
      <c r="CD186" s="59">
        <f ca="1">AVERAGE(OFFSET($CC$3,0,0,'Données projet'!$E$12+1,1))-AVERAGE(OFFSET($H$3,0,0,'Données projet'!$E$12+1,1))</f>
        <v>248.1486444660062</v>
      </c>
      <c r="CE186" s="59">
        <f t="shared" si="148"/>
        <v>293.34458072322127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0.41152592235984026</v>
      </c>
      <c r="CL186" s="21">
        <f>EXP(-LN(2)/25)*CL185+(1-EXP(-LN(2)/25))/(LN(2)/25)*Calculateur!CG186*Calculateur!CI186*VLOOKUP('Données projet'!$B$12,Paramètres!$A$1:$I$89,3,0)*0.475*44/12</f>
        <v>0.48939230869107531</v>
      </c>
      <c r="CM186" s="21">
        <f>EXP(-LN(2)/2)*CM185+(1-EXP(-LN(2)/2))/(LN(2)/2)*CG186*CJ186*VLOOKUP('Données projet'!$B$12,Paramètres!$A$1:$I$89,3,0)*0.475*44/12</f>
        <v>2.3566923936791933E-22</v>
      </c>
      <c r="CN186" s="22">
        <f t="shared" si="172"/>
        <v>0.90091823105091562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-2.2737367544323206E-13</v>
      </c>
      <c r="CU186" s="17">
        <f>CT186*VLOOKUP('Données projet'!$B$13,Paramètres!$A$1:$I$89,3,0)*VLOOKUP('Données projet'!$B$13,Paramètres!$A$1:$I$89,5,0)</f>
        <v>-1.8089849618263545E-13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314.94704727988847</v>
      </c>
      <c r="CZ186" s="59">
        <f t="shared" si="150"/>
        <v>366.49199094166454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0.18917594696235535</v>
      </c>
      <c r="DG186" s="21">
        <f>EXP(-LN(2)/25)*DG185+(1-EXP(-LN(2)/25))/(LN(2)/25)*Calculateur!DB186*Calculateur!DD186*VLOOKUP('Données projet'!$B$13,Paramètres!$A$1:$I$89,3,0)*0.475*44/12</f>
        <v>0.36529857920576908</v>
      </c>
      <c r="DH186" s="21">
        <f>EXP(-LN(2)/2)*DH185+(1-EXP(-LN(2)/2))/(LN(2)/2)*DB186*DE186*VLOOKUP('Données projet'!$B$13,Paramètres!$A$1:$I$89,3,0)*0.475*44/12</f>
        <v>2.7017218258024092E-22</v>
      </c>
      <c r="DI186" s="22">
        <f t="shared" si="175"/>
        <v>0.55447452616812443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-1.2505552149377763E-12</v>
      </c>
      <c r="O187" s="13">
        <f>N187*VLOOKUP('Données projet'!$B$9,Paramètres!$A$1:$I$89,3,0)*VLOOKUP('Données projet'!$B$9,Paramètres!$A$1:$I$89,5,0)</f>
        <v>-6.9906036515021697E-13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415.91544298418842</v>
      </c>
      <c r="T187" s="59">
        <f t="shared" si="142"/>
        <v>422.79312683312583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0.54091484966958581</v>
      </c>
      <c r="AA187" s="21">
        <f>EXP(-LN(2)/25)*AA186+(1-EXP(-LN(2)/25))/(LN(2)/25)*Calculateur!V187*Calculateur!X187*VLOOKUP('Données projet'!$B$9,Paramètres!$A$1:$I$89,3,0)*0.475*44/12</f>
        <v>0.54204130903792447</v>
      </c>
      <c r="AB187" s="21">
        <f>EXP(-LN(2)/2)*AB186+(1-EXP(-LN(2)/2))/(LN(2)/2)*V187*Y187*VLOOKUP('Données projet'!$B$9,Paramètres!$A$1:$I$89,3,0)*0.475*44/12</f>
        <v>2.4135073145619662E-22</v>
      </c>
      <c r="AC187" s="22">
        <f t="shared" si="163"/>
        <v>1.0829561587075103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-6.7984728957526396E-14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311.06126148520821</v>
      </c>
      <c r="AO187" s="59">
        <f t="shared" si="144"/>
        <v>321.1728368524748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0.1657052044759468</v>
      </c>
      <c r="AV187" s="21">
        <f>EXP(-LN(2)/25)*AV186+(1-EXP(-LN(2)/25))/(LN(2)/25)*Calculateur!AQ187*Calculateur!AS187*VLOOKUP('Données projet'!$B$10,Paramètres!$A$1:$I$89,3,0)*0.475*44/12</f>
        <v>0.29843098098011467</v>
      </c>
      <c r="AW187" s="21">
        <f>EXP(-LN(2)/2)*AW186+(1-EXP(-LN(2)/2))/(LN(2)/2)*AQ187*AT187*VLOOKUP('Données projet'!$B$10,Paramètres!$A$1:$I$89,3,0)*0.475*44/12</f>
        <v>2.0053064381289398E-22</v>
      </c>
      <c r="AX187" s="21">
        <f t="shared" si="166"/>
        <v>0.4641361854560615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-7.9580786405131221E-13</v>
      </c>
      <c r="BE187" s="13">
        <f>BD187*VLOOKUP('Données projet'!$B$11,Paramètres!$A$1:$I$89,3,0)*VLOOKUP('Données projet'!$B$11,Paramètres!$A$1:$I$89,5,0)</f>
        <v>-3.8278358260868117E-13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371.85813103419366</v>
      </c>
      <c r="BJ187" s="59">
        <f t="shared" si="146"/>
        <v>370.01698880104584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1.3165019312682418</v>
      </c>
      <c r="BQ187" s="21">
        <f>EXP(-LN(2)/25)*BQ186+(1-EXP(-LN(2)/25))/(LN(2)/25)*Calculateur!BL187*Calculateur!BN187*VLOOKUP('Données projet'!$B$11,Paramètres!$A$1:$I$89,3,0)*0.475*44/12</f>
        <v>0.63058244218372617</v>
      </c>
      <c r="BR187" s="21">
        <f>EXP(-LN(2)/2)*BR186+(1-EXP(-LN(2)/2))/(LN(2)/2)*BL187*BO187*VLOOKUP('Données projet'!$B$11,Paramètres!$A$1:$I$89,3,0)*0.475*44/12</f>
        <v>5.8539484160240772E-21</v>
      </c>
      <c r="BS187" s="22">
        <f t="shared" si="169"/>
        <v>1.9470843734519678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5.6843418860808015E-13</v>
      </c>
      <c r="BZ187" s="13">
        <f>BY187*VLOOKUP('Données projet'!$B$12,Paramètres!$A$1:$I$89,3,0)*VLOOKUP('Données projet'!$B$12,Paramètres!$A$1:$I$89,5,0)</f>
        <v>3.1036506698001181E-13</v>
      </c>
      <c r="CA187" s="13">
        <f t="shared" si="170"/>
        <v>4.086682523110923E-12</v>
      </c>
      <c r="CB187" s="20">
        <f t="shared" si="171"/>
        <v>7.6581912194083782E-12</v>
      </c>
      <c r="CC187" s="59">
        <f t="shared" si="119"/>
        <v>293.33333333334099</v>
      </c>
      <c r="CD187" s="59">
        <f ca="1">AVERAGE(OFFSET($CC$3,0,0,'Données projet'!$E$12+1,1))-AVERAGE(OFFSET($H$3,0,0,'Données projet'!$E$12+1,1))</f>
        <v>248.1486444660062</v>
      </c>
      <c r="CE187" s="59">
        <f t="shared" si="148"/>
        <v>293.34458072322127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0.40345615002839164</v>
      </c>
      <c r="CL187" s="21">
        <f>EXP(-LN(2)/25)*CL186+(1-EXP(-LN(2)/25))/(LN(2)/25)*Calculateur!CG187*Calculateur!CI187*VLOOKUP('Données projet'!$B$12,Paramètres!$A$1:$I$89,3,0)*0.475*44/12</f>
        <v>0.47600985027389486</v>
      </c>
      <c r="CM187" s="21">
        <f>EXP(-LN(2)/2)*CM186+(1-EXP(-LN(2)/2))/(LN(2)/2)*CG187*CJ187*VLOOKUP('Données projet'!$B$12,Paramètres!$A$1:$I$89,3,0)*0.475*44/12</f>
        <v>1.6664331727413142E-22</v>
      </c>
      <c r="CN187" s="22">
        <f t="shared" si="172"/>
        <v>0.8794660003022865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-2.2737367544323206E-13</v>
      </c>
      <c r="CU187" s="17">
        <f>CT187*VLOOKUP('Données projet'!$B$13,Paramètres!$A$1:$I$89,3,0)*VLOOKUP('Données projet'!$B$13,Paramètres!$A$1:$I$89,5,0)</f>
        <v>-1.8089849618263545E-13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314.94704727988847</v>
      </c>
      <c r="CZ187" s="59">
        <f t="shared" si="150"/>
        <v>366.49199094166454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0.18546632202835778</v>
      </c>
      <c r="DG187" s="21">
        <f>EXP(-LN(2)/25)*DG186+(1-EXP(-LN(2)/25))/(LN(2)/25)*Calculateur!DB187*Calculateur!DD187*VLOOKUP('Données projet'!$B$13,Paramètres!$A$1:$I$89,3,0)*0.475*44/12</f>
        <v>0.35530947034716992</v>
      </c>
      <c r="DH187" s="21">
        <f>EXP(-LN(2)/2)*DH186+(1-EXP(-LN(2)/2))/(LN(2)/2)*DB187*DE187*VLOOKUP('Données projet'!$B$13,Paramètres!$A$1:$I$89,3,0)*0.475*44/12</f>
        <v>1.9104058239045839E-22</v>
      </c>
      <c r="DI187" s="22">
        <f t="shared" si="175"/>
        <v>0.54077579237552764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-1.2505552149377763E-12</v>
      </c>
      <c r="O188" s="13">
        <f>N188*VLOOKUP('Données projet'!$B$9,Paramètres!$A$1:$I$89,3,0)*VLOOKUP('Données projet'!$B$9,Paramètres!$A$1:$I$89,5,0)</f>
        <v>-6.9906036515021697E-13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415.91544298418842</v>
      </c>
      <c r="T188" s="59">
        <f t="shared" si="142"/>
        <v>422.79312683312583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0.53030783939304604</v>
      </c>
      <c r="AA188" s="21">
        <f>EXP(-LN(2)/25)*AA187+(1-EXP(-LN(2)/25))/(LN(2)/25)*Calculateur!V188*Calculateur!X188*VLOOKUP('Données projet'!$B$9,Paramètres!$A$1:$I$89,3,0)*0.475*44/12</f>
        <v>0.52721916093756882</v>
      </c>
      <c r="AB188" s="21">
        <f>EXP(-LN(2)/2)*AB187+(1-EXP(-LN(2)/2))/(LN(2)/2)*V188*Y188*VLOOKUP('Données projet'!$B$9,Paramètres!$A$1:$I$89,3,0)*0.475*44/12</f>
        <v>1.7066073885701002E-22</v>
      </c>
      <c r="AC188" s="22">
        <f t="shared" si="163"/>
        <v>1.057527000330615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-6.7984728957526396E-14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311.06126148520821</v>
      </c>
      <c r="AO188" s="59">
        <f t="shared" si="144"/>
        <v>321.1728368524748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0.16245582648636836</v>
      </c>
      <c r="AV188" s="21">
        <f>EXP(-LN(2)/25)*AV187+(1-EXP(-LN(2)/25))/(LN(2)/25)*Calculateur!AQ188*Calculateur!AS188*VLOOKUP('Données projet'!$B$10,Paramètres!$A$1:$I$89,3,0)*0.475*44/12</f>
        <v>0.29027037011141021</v>
      </c>
      <c r="AW188" s="21">
        <f>EXP(-LN(2)/2)*AW187+(1-EXP(-LN(2)/2))/(LN(2)/2)*AQ188*AT188*VLOOKUP('Données projet'!$B$10,Paramètres!$A$1:$I$89,3,0)*0.475*44/12</f>
        <v>1.4179657807580152E-22</v>
      </c>
      <c r="AX188" s="21">
        <f t="shared" si="166"/>
        <v>0.45272619659777857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-7.9580786405131221E-13</v>
      </c>
      <c r="BE188" s="13">
        <f>BD188*VLOOKUP('Données projet'!$B$11,Paramètres!$A$1:$I$89,3,0)*VLOOKUP('Données projet'!$B$11,Paramètres!$A$1:$I$89,5,0)</f>
        <v>-3.8278358260868117E-13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371.85813103419366</v>
      </c>
      <c r="BJ188" s="59">
        <f t="shared" si="146"/>
        <v>370.01698880104584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1.2906861313829612</v>
      </c>
      <c r="BQ188" s="21">
        <f>EXP(-LN(2)/25)*BQ187+(1-EXP(-LN(2)/25))/(LN(2)/25)*Calculateur!BL188*Calculateur!BN188*VLOOKUP('Données projet'!$B$11,Paramètres!$A$1:$I$89,3,0)*0.475*44/12</f>
        <v>0.61333913214132274</v>
      </c>
      <c r="BR188" s="21">
        <f>EXP(-LN(2)/2)*BR187+(1-EXP(-LN(2)/2))/(LN(2)/2)*BL188*BO188*VLOOKUP('Données projet'!$B$11,Paramètres!$A$1:$I$89,3,0)*0.475*44/12</f>
        <v>4.1393666216868735E-21</v>
      </c>
      <c r="BS188" s="22">
        <f t="shared" si="169"/>
        <v>1.904025263524284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5.6843418860808015E-13</v>
      </c>
      <c r="BZ188" s="13">
        <f>BY188*VLOOKUP('Données projet'!$B$12,Paramètres!$A$1:$I$89,3,0)*VLOOKUP('Données projet'!$B$12,Paramètres!$A$1:$I$89,5,0)</f>
        <v>3.1036506698001181E-13</v>
      </c>
      <c r="CA188" s="13">
        <f t="shared" si="170"/>
        <v>4.086682523110923E-12</v>
      </c>
      <c r="CB188" s="20">
        <f t="shared" si="171"/>
        <v>7.6581912194083782E-12</v>
      </c>
      <c r="CC188" s="59">
        <f t="shared" si="119"/>
        <v>293.33333333334099</v>
      </c>
      <c r="CD188" s="59">
        <f ca="1">AVERAGE(OFFSET($CC$3,0,0,'Données projet'!$E$12+1,1))-AVERAGE(OFFSET($H$3,0,0,'Données projet'!$E$12+1,1))</f>
        <v>248.1486444660062</v>
      </c>
      <c r="CE188" s="59">
        <f t="shared" si="148"/>
        <v>293.34458072322127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0.39554462101028764</v>
      </c>
      <c r="CL188" s="21">
        <f>EXP(-LN(2)/25)*CL187+(1-EXP(-LN(2)/25))/(LN(2)/25)*Calculateur!CG188*Calculateur!CI188*VLOOKUP('Données projet'!$B$12,Paramètres!$A$1:$I$89,3,0)*0.475*44/12</f>
        <v>0.46299333588588509</v>
      </c>
      <c r="CM188" s="21">
        <f>EXP(-LN(2)/2)*CM187+(1-EXP(-LN(2)/2))/(LN(2)/2)*CG188*CJ188*VLOOKUP('Données projet'!$B$12,Paramètres!$A$1:$I$89,3,0)*0.475*44/12</f>
        <v>1.1783461968395966E-22</v>
      </c>
      <c r="CN188" s="22">
        <f t="shared" si="172"/>
        <v>0.85853795689617274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-2.2737367544323206E-13</v>
      </c>
      <c r="CU188" s="17">
        <f>CT188*VLOOKUP('Données projet'!$B$13,Paramètres!$A$1:$I$89,3,0)*VLOOKUP('Données projet'!$B$13,Paramètres!$A$1:$I$89,5,0)</f>
        <v>-1.8089849618263545E-13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314.94704727988847</v>
      </c>
      <c r="CZ188" s="59">
        <f t="shared" si="150"/>
        <v>366.49199094166454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0.18182944057666811</v>
      </c>
      <c r="DG188" s="21">
        <f>EXP(-LN(2)/25)*DG187+(1-EXP(-LN(2)/25))/(LN(2)/25)*Calculateur!DB188*Calculateur!DD188*VLOOKUP('Données projet'!$B$13,Paramètres!$A$1:$I$89,3,0)*0.475*44/12</f>
        <v>0.34559351419561357</v>
      </c>
      <c r="DH188" s="21">
        <f>EXP(-LN(2)/2)*DH187+(1-EXP(-LN(2)/2))/(LN(2)/2)*DB188*DE188*VLOOKUP('Données projet'!$B$13,Paramètres!$A$1:$I$89,3,0)*0.475*44/12</f>
        <v>1.3508609129012046E-22</v>
      </c>
      <c r="DI188" s="22">
        <f t="shared" si="175"/>
        <v>0.52742295477228174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-1.2505552149377763E-12</v>
      </c>
      <c r="O189" s="13">
        <f>N189*VLOOKUP('Données projet'!$B$9,Paramètres!$A$1:$I$89,3,0)*VLOOKUP('Données projet'!$B$9,Paramètres!$A$1:$I$89,5,0)</f>
        <v>-6.9906036515021697E-13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415.91544298418842</v>
      </c>
      <c r="T189" s="59">
        <f t="shared" si="142"/>
        <v>422.79312683312583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0.51990882611839184</v>
      </c>
      <c r="AA189" s="21">
        <f>EXP(-LN(2)/25)*AA188+(1-EXP(-LN(2)/25))/(LN(2)/25)*Calculateur!V189*Calculateur!X189*VLOOKUP('Données projet'!$B$9,Paramètres!$A$1:$I$89,3,0)*0.475*44/12</f>
        <v>0.51280232525648028</v>
      </c>
      <c r="AB189" s="21">
        <f>EXP(-LN(2)/2)*AB188+(1-EXP(-LN(2)/2))/(LN(2)/2)*V189*Y189*VLOOKUP('Données projet'!$B$9,Paramètres!$A$1:$I$89,3,0)*0.475*44/12</f>
        <v>1.2067536572809831E-22</v>
      </c>
      <c r="AC189" s="22">
        <f t="shared" si="163"/>
        <v>1.0327111513748721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-6.7984728957526396E-14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311.06126148520821</v>
      </c>
      <c r="AO189" s="59">
        <f t="shared" si="144"/>
        <v>321.1728368524748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0.15927016681724068</v>
      </c>
      <c r="AV189" s="21">
        <f>EXP(-LN(2)/25)*AV188+(1-EXP(-LN(2)/25))/(LN(2)/25)*Calculateur!AQ189*Calculateur!AS189*VLOOKUP('Données projet'!$B$10,Paramètres!$A$1:$I$89,3,0)*0.475*44/12</f>
        <v>0.28233291157605833</v>
      </c>
      <c r="AW189" s="21">
        <f>EXP(-LN(2)/2)*AW188+(1-EXP(-LN(2)/2))/(LN(2)/2)*AQ189*AT189*VLOOKUP('Données projet'!$B$10,Paramètres!$A$1:$I$89,3,0)*0.475*44/12</f>
        <v>1.0026532190644699E-22</v>
      </c>
      <c r="AX189" s="21">
        <f t="shared" si="166"/>
        <v>0.44160307839329904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-7.9580786405131221E-13</v>
      </c>
      <c r="BE189" s="13">
        <f>BD189*VLOOKUP('Données projet'!$B$11,Paramètres!$A$1:$I$89,3,0)*VLOOKUP('Données projet'!$B$11,Paramètres!$A$1:$I$89,5,0)</f>
        <v>-3.8278358260868117E-13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371.85813103419366</v>
      </c>
      <c r="BJ189" s="59">
        <f t="shared" si="146"/>
        <v>370.01698880104584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1.265376563587348</v>
      </c>
      <c r="BQ189" s="21">
        <f>EXP(-LN(2)/25)*BQ188+(1-EXP(-LN(2)/25))/(LN(2)/25)*Calculateur!BL189*Calculateur!BN189*VLOOKUP('Données projet'!$B$11,Paramètres!$A$1:$I$89,3,0)*0.475*44/12</f>
        <v>0.59656734131881517</v>
      </c>
      <c r="BR189" s="21">
        <f>EXP(-LN(2)/2)*BR188+(1-EXP(-LN(2)/2))/(LN(2)/2)*BL189*BO189*VLOOKUP('Données projet'!$B$11,Paramètres!$A$1:$I$89,3,0)*0.475*44/12</f>
        <v>2.9269742080120386E-21</v>
      </c>
      <c r="BS189" s="22">
        <f t="shared" si="169"/>
        <v>1.861943904906163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5.6843418860808015E-13</v>
      </c>
      <c r="BZ189" s="13">
        <f>BY189*VLOOKUP('Données projet'!$B$12,Paramètres!$A$1:$I$89,3,0)*VLOOKUP('Données projet'!$B$12,Paramètres!$A$1:$I$89,5,0)</f>
        <v>3.1036506698001181E-13</v>
      </c>
      <c r="CA189" s="13">
        <f t="shared" si="170"/>
        <v>4.086682523110923E-12</v>
      </c>
      <c r="CB189" s="20">
        <f t="shared" si="171"/>
        <v>7.6581912194083782E-12</v>
      </c>
      <c r="CC189" s="59">
        <f t="shared" si="119"/>
        <v>293.33333333334099</v>
      </c>
      <c r="CD189" s="59">
        <f ca="1">AVERAGE(OFFSET($CC$3,0,0,'Données projet'!$E$12+1,1))-AVERAGE(OFFSET($H$3,0,0,'Données projet'!$E$12+1,1))</f>
        <v>248.1486444660062</v>
      </c>
      <c r="CE189" s="59">
        <f t="shared" si="148"/>
        <v>293.34458072322127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0.38778823225067244</v>
      </c>
      <c r="CL189" s="21">
        <f>EXP(-LN(2)/25)*CL188+(1-EXP(-LN(2)/25))/(LN(2)/25)*Calculateur!CG189*Calculateur!CI189*VLOOKUP('Données projet'!$B$12,Paramètres!$A$1:$I$89,3,0)*0.475*44/12</f>
        <v>0.45033275876832424</v>
      </c>
      <c r="CM189" s="21">
        <f>EXP(-LN(2)/2)*CM188+(1-EXP(-LN(2)/2))/(LN(2)/2)*CG189*CJ189*VLOOKUP('Données projet'!$B$12,Paramètres!$A$1:$I$89,3,0)*0.475*44/12</f>
        <v>8.3321658637065712E-23</v>
      </c>
      <c r="CN189" s="22">
        <f t="shared" si="172"/>
        <v>0.83812099101899662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-2.2737367544323206E-13</v>
      </c>
      <c r="CU189" s="17">
        <f>CT189*VLOOKUP('Données projet'!$B$13,Paramètres!$A$1:$I$89,3,0)*VLOOKUP('Données projet'!$B$13,Paramètres!$A$1:$I$89,5,0)</f>
        <v>-1.8089849618263545E-13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314.94704727988847</v>
      </c>
      <c r="CZ189" s="59">
        <f t="shared" si="150"/>
        <v>366.49199094166454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0.17826387615196745</v>
      </c>
      <c r="DG189" s="21">
        <f>EXP(-LN(2)/25)*DG188+(1-EXP(-LN(2)/25))/(LN(2)/25)*Calculateur!DB189*Calculateur!DD189*VLOOKUP('Données projet'!$B$13,Paramètres!$A$1:$I$89,3,0)*0.475*44/12</f>
        <v>0.33614324137596147</v>
      </c>
      <c r="DH189" s="21">
        <f>EXP(-LN(2)/2)*DH188+(1-EXP(-LN(2)/2))/(LN(2)/2)*DB189*DE189*VLOOKUP('Données projet'!$B$13,Paramètres!$A$1:$I$89,3,0)*0.475*44/12</f>
        <v>9.5520291195229193E-23</v>
      </c>
      <c r="DI189" s="22">
        <f t="shared" si="175"/>
        <v>0.51440711752792889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-1.2505552149377763E-12</v>
      </c>
      <c r="O190" s="13">
        <f>N190*VLOOKUP('Données projet'!$B$9,Paramètres!$A$1:$I$89,3,0)*VLOOKUP('Données projet'!$B$9,Paramètres!$A$1:$I$89,5,0)</f>
        <v>-6.9906036515021697E-13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415.91544298418842</v>
      </c>
      <c r="T190" s="59">
        <f t="shared" si="142"/>
        <v>422.79312683312583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0.50971373115128182</v>
      </c>
      <c r="AA190" s="21">
        <f>EXP(-LN(2)/25)*AA189+(1-EXP(-LN(2)/25))/(LN(2)/25)*Calculateur!V190*Calculateur!X190*VLOOKUP('Données projet'!$B$9,Paramètres!$A$1:$I$89,3,0)*0.475*44/12</f>
        <v>0.49877971870523957</v>
      </c>
      <c r="AB190" s="21">
        <f>EXP(-LN(2)/2)*AB189+(1-EXP(-LN(2)/2))/(LN(2)/2)*V190*Y190*VLOOKUP('Données projet'!$B$9,Paramètres!$A$1:$I$89,3,0)*0.475*44/12</f>
        <v>8.533036942850501E-23</v>
      </c>
      <c r="AC190" s="22">
        <f t="shared" si="163"/>
        <v>1.0084934498565215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-6.7984728957526396E-14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311.06126148520821</v>
      </c>
      <c r="AO190" s="59">
        <f t="shared" si="144"/>
        <v>321.1728368524748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0.15614697599116406</v>
      </c>
      <c r="AV190" s="21">
        <f>EXP(-LN(2)/25)*AV189+(1-EXP(-LN(2)/25))/(LN(2)/25)*Calculateur!AQ190*Calculateur!AS190*VLOOKUP('Données projet'!$B$10,Paramètres!$A$1:$I$89,3,0)*0.475*44/12</f>
        <v>0.2746125032617685</v>
      </c>
      <c r="AW190" s="21">
        <f>EXP(-LN(2)/2)*AW189+(1-EXP(-LN(2)/2))/(LN(2)/2)*AQ190*AT190*VLOOKUP('Données projet'!$B$10,Paramètres!$A$1:$I$89,3,0)*0.475*44/12</f>
        <v>7.0898289037900761E-23</v>
      </c>
      <c r="AX190" s="21">
        <f t="shared" si="166"/>
        <v>0.43075947925293256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-7.9580786405131221E-13</v>
      </c>
      <c r="BE190" s="13">
        <f>BD190*VLOOKUP('Données projet'!$B$11,Paramètres!$A$1:$I$89,3,0)*VLOOKUP('Données projet'!$B$11,Paramètres!$A$1:$I$89,5,0)</f>
        <v>-3.8278358260868117E-13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371.85813103419366</v>
      </c>
      <c r="BJ190" s="59">
        <f t="shared" si="146"/>
        <v>370.01698880104584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1.2405633009788946</v>
      </c>
      <c r="BQ190" s="21">
        <f>EXP(-LN(2)/25)*BQ189+(1-EXP(-LN(2)/25))/(LN(2)/25)*Calculateur!BL190*Calculateur!BN190*VLOOKUP('Données projet'!$B$11,Paramètres!$A$1:$I$89,3,0)*0.475*44/12</f>
        <v>0.58025417599833917</v>
      </c>
      <c r="BR190" s="21">
        <f>EXP(-LN(2)/2)*BR189+(1-EXP(-LN(2)/2))/(LN(2)/2)*BL190*BO190*VLOOKUP('Données projet'!$B$11,Paramètres!$A$1:$I$89,3,0)*0.475*44/12</f>
        <v>2.0696833108434368E-21</v>
      </c>
      <c r="BS190" s="22">
        <f t="shared" si="169"/>
        <v>1.8208174769772336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5.6843418860808015E-13</v>
      </c>
      <c r="BZ190" s="13">
        <f>BY190*VLOOKUP('Données projet'!$B$12,Paramètres!$A$1:$I$89,3,0)*VLOOKUP('Données projet'!$B$12,Paramètres!$A$1:$I$89,5,0)</f>
        <v>3.1036506698001181E-13</v>
      </c>
      <c r="CA190" s="13">
        <f t="shared" si="170"/>
        <v>4.086682523110923E-12</v>
      </c>
      <c r="CB190" s="20">
        <f t="shared" si="171"/>
        <v>7.6581912194083782E-12</v>
      </c>
      <c r="CC190" s="59">
        <f t="shared" si="119"/>
        <v>293.33333333334099</v>
      </c>
      <c r="CD190" s="59">
        <f ca="1">AVERAGE(OFFSET($CC$3,0,0,'Données projet'!$E$12+1,1))-AVERAGE(OFFSET($H$3,0,0,'Données projet'!$E$12+1,1))</f>
        <v>248.1486444660062</v>
      </c>
      <c r="CE190" s="59">
        <f t="shared" si="148"/>
        <v>293.34458072322127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0.38018394154370327</v>
      </c>
      <c r="CL190" s="21">
        <f>EXP(-LN(2)/25)*CL189+(1-EXP(-LN(2)/25))/(LN(2)/25)*Calculateur!CG190*Calculateur!CI190*VLOOKUP('Données projet'!$B$12,Paramètres!$A$1:$I$89,3,0)*0.475*44/12</f>
        <v>0.43801838579783386</v>
      </c>
      <c r="CM190" s="21">
        <f>EXP(-LN(2)/2)*CM189+(1-EXP(-LN(2)/2))/(LN(2)/2)*CG190*CJ190*VLOOKUP('Données projet'!$B$12,Paramètres!$A$1:$I$89,3,0)*0.475*44/12</f>
        <v>5.8917309841979832E-23</v>
      </c>
      <c r="CN190" s="22">
        <f t="shared" si="172"/>
        <v>0.81820232734153708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-2.2737367544323206E-13</v>
      </c>
      <c r="CU190" s="17">
        <f>CT190*VLOOKUP('Données projet'!$B$13,Paramètres!$A$1:$I$89,3,0)*VLOOKUP('Données projet'!$B$13,Paramètres!$A$1:$I$89,5,0)</f>
        <v>-1.8089849618263545E-13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314.94704727988847</v>
      </c>
      <c r="CZ190" s="59">
        <f t="shared" si="150"/>
        <v>366.49199094166454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0.17476823027085561</v>
      </c>
      <c r="DG190" s="21">
        <f>EXP(-LN(2)/25)*DG189+(1-EXP(-LN(2)/25))/(LN(2)/25)*Calculateur!DB190*Calculateur!DD190*VLOOKUP('Données projet'!$B$13,Paramètres!$A$1:$I$89,3,0)*0.475*44/12</f>
        <v>0.32695138676353103</v>
      </c>
      <c r="DH190" s="21">
        <f>EXP(-LN(2)/2)*DH189+(1-EXP(-LN(2)/2))/(LN(2)/2)*DB190*DE190*VLOOKUP('Données projet'!$B$13,Paramètres!$A$1:$I$89,3,0)*0.475*44/12</f>
        <v>6.754304564506023E-23</v>
      </c>
      <c r="DI190" s="22">
        <f t="shared" si="175"/>
        <v>0.50171961703438661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-1.2505552149377763E-12</v>
      </c>
      <c r="O191" s="13">
        <f>N191*VLOOKUP('Données projet'!$B$9,Paramètres!$A$1:$I$89,3,0)*VLOOKUP('Données projet'!$B$9,Paramètres!$A$1:$I$89,5,0)</f>
        <v>-6.9906036515021697E-13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415.91544298418842</v>
      </c>
      <c r="T191" s="59">
        <f t="shared" si="142"/>
        <v>422.79312683312583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0.49971855577808288</v>
      </c>
      <c r="AA191" s="21">
        <f>EXP(-LN(2)/25)*AA190+(1-EXP(-LN(2)/25))/(LN(2)/25)*Calculateur!V191*Calculateur!X191*VLOOKUP('Données projet'!$B$9,Paramètres!$A$1:$I$89,3,0)*0.475*44/12</f>
        <v>0.48514056106755937</v>
      </c>
      <c r="AB191" s="21">
        <f>EXP(-LN(2)/2)*AB190+(1-EXP(-LN(2)/2))/(LN(2)/2)*V191*Y191*VLOOKUP('Données projet'!$B$9,Paramètres!$A$1:$I$89,3,0)*0.475*44/12</f>
        <v>6.0337682864049156E-23</v>
      </c>
      <c r="AC191" s="22">
        <f t="shared" si="163"/>
        <v>0.9848591168456422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-6.7984728957526396E-14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311.06126148520821</v>
      </c>
      <c r="AO191" s="59">
        <f t="shared" si="144"/>
        <v>321.1728368524748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0.15308502903222848</v>
      </c>
      <c r="AV191" s="21">
        <f>EXP(-LN(2)/25)*AV190+(1-EXP(-LN(2)/25))/(LN(2)/25)*Calculateur!AQ191*Calculateur!AS191*VLOOKUP('Données projet'!$B$10,Paramètres!$A$1:$I$89,3,0)*0.475*44/12</f>
        <v>0.26710320991883152</v>
      </c>
      <c r="AW191" s="21">
        <f>EXP(-LN(2)/2)*AW190+(1-EXP(-LN(2)/2))/(LN(2)/2)*AQ191*AT191*VLOOKUP('Données projet'!$B$10,Paramètres!$A$1:$I$89,3,0)*0.475*44/12</f>
        <v>5.0132660953223495E-23</v>
      </c>
      <c r="AX191" s="21">
        <f t="shared" si="166"/>
        <v>0.42018823895106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-7.9580786405131221E-13</v>
      </c>
      <c r="BE191" s="13">
        <f>BD191*VLOOKUP('Données projet'!$B$11,Paramètres!$A$1:$I$89,3,0)*VLOOKUP('Données projet'!$B$11,Paramètres!$A$1:$I$89,5,0)</f>
        <v>-3.8278358260868117E-13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371.85813103419366</v>
      </c>
      <c r="BJ191" s="59">
        <f t="shared" si="146"/>
        <v>370.01698880104584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1.2162366113155971</v>
      </c>
      <c r="BQ191" s="21">
        <f>EXP(-LN(2)/25)*BQ190+(1-EXP(-LN(2)/25))/(LN(2)/25)*Calculateur!BL191*Calculateur!BN191*VLOOKUP('Données projet'!$B$11,Paramètres!$A$1:$I$89,3,0)*0.475*44/12</f>
        <v>0.5643870950414237</v>
      </c>
      <c r="BR191" s="21">
        <f>EXP(-LN(2)/2)*BR190+(1-EXP(-LN(2)/2))/(LN(2)/2)*BL191*BO191*VLOOKUP('Données projet'!$B$11,Paramètres!$A$1:$I$89,3,0)*0.475*44/12</f>
        <v>1.4634871040060193E-21</v>
      </c>
      <c r="BS191" s="22">
        <f t="shared" si="169"/>
        <v>1.7806237063570207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5.6843418860808015E-13</v>
      </c>
      <c r="BZ191" s="13">
        <f>BY191*VLOOKUP('Données projet'!$B$12,Paramètres!$A$1:$I$89,3,0)*VLOOKUP('Données projet'!$B$12,Paramètres!$A$1:$I$89,5,0)</f>
        <v>3.1036506698001181E-13</v>
      </c>
      <c r="CA191" s="13">
        <f t="shared" si="170"/>
        <v>4.086682523110923E-12</v>
      </c>
      <c r="CB191" s="20">
        <f t="shared" si="171"/>
        <v>7.6581912194083782E-12</v>
      </c>
      <c r="CC191" s="59">
        <f t="shared" si="119"/>
        <v>293.33333333334099</v>
      </c>
      <c r="CD191" s="59">
        <f ca="1">AVERAGE(OFFSET($CC$3,0,0,'Données projet'!$E$12+1,1))-AVERAGE(OFFSET($H$3,0,0,'Données projet'!$E$12+1,1))</f>
        <v>248.1486444660062</v>
      </c>
      <c r="CE191" s="59">
        <f t="shared" si="148"/>
        <v>293.34458072322127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0.37272876633933844</v>
      </c>
      <c r="CL191" s="21">
        <f>EXP(-LN(2)/25)*CL190+(1-EXP(-LN(2)/25))/(LN(2)/25)*Calculateur!CG191*Calculateur!CI191*VLOOKUP('Données projet'!$B$12,Paramètres!$A$1:$I$89,3,0)*0.475*44/12</f>
        <v>0.42604075000380631</v>
      </c>
      <c r="CM191" s="21">
        <f>EXP(-LN(2)/2)*CM190+(1-EXP(-LN(2)/2))/(LN(2)/2)*CG191*CJ191*VLOOKUP('Données projet'!$B$12,Paramètres!$A$1:$I$89,3,0)*0.475*44/12</f>
        <v>4.1660829318532856E-23</v>
      </c>
      <c r="CN191" s="22">
        <f t="shared" si="172"/>
        <v>0.79876951634314475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-2.2737367544323206E-13</v>
      </c>
      <c r="CU191" s="17">
        <f>CT191*VLOOKUP('Données projet'!$B$13,Paramètres!$A$1:$I$89,3,0)*VLOOKUP('Données projet'!$B$13,Paramètres!$A$1:$I$89,5,0)</f>
        <v>-1.8089849618263545E-13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314.94704727988847</v>
      </c>
      <c r="CZ191" s="59">
        <f t="shared" si="150"/>
        <v>366.49199094166454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0.17134113187333891</v>
      </c>
      <c r="DG191" s="21">
        <f>EXP(-LN(2)/25)*DG190+(1-EXP(-LN(2)/25))/(LN(2)/25)*Calculateur!DB191*Calculateur!DD191*VLOOKUP('Données projet'!$B$13,Paramètres!$A$1:$I$89,3,0)*0.475*44/12</f>
        <v>0.31801088389885612</v>
      </c>
      <c r="DH191" s="21">
        <f>EXP(-LN(2)/2)*DH190+(1-EXP(-LN(2)/2))/(LN(2)/2)*DB191*DE191*VLOOKUP('Données projet'!$B$13,Paramètres!$A$1:$I$89,3,0)*0.475*44/12</f>
        <v>4.7760145597614597E-23</v>
      </c>
      <c r="DI191" s="22">
        <f t="shared" si="175"/>
        <v>0.489352015772195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-1.2505552149377763E-12</v>
      </c>
      <c r="O192" s="13">
        <f>N192*VLOOKUP('Données projet'!$B$9,Paramètres!$A$1:$I$89,3,0)*VLOOKUP('Données projet'!$B$9,Paramètres!$A$1:$I$89,5,0)</f>
        <v>-6.9906036515021697E-13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415.91544298418842</v>
      </c>
      <c r="T192" s="59">
        <f t="shared" si="142"/>
        <v>422.79312683312583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0.48991937969749738</v>
      </c>
      <c r="AA192" s="21">
        <f>EXP(-LN(2)/25)*AA191+(1-EXP(-LN(2)/25))/(LN(2)/25)*Calculateur!V192*Calculateur!X192*VLOOKUP('Données projet'!$B$9,Paramètres!$A$1:$I$89,3,0)*0.475*44/12</f>
        <v>0.47187436691273366</v>
      </c>
      <c r="AB192" s="21">
        <f>EXP(-LN(2)/2)*AB191+(1-EXP(-LN(2)/2))/(LN(2)/2)*V192*Y192*VLOOKUP('Données projet'!$B$9,Paramètres!$A$1:$I$89,3,0)*0.475*44/12</f>
        <v>4.2665184714252505E-23</v>
      </c>
      <c r="AC192" s="22">
        <f t="shared" si="163"/>
        <v>0.96179374661023109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-6.7984728957526396E-14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311.06126148520821</v>
      </c>
      <c r="AO192" s="59">
        <f t="shared" si="144"/>
        <v>321.1728368524748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0.1500831249855544</v>
      </c>
      <c r="AV192" s="21">
        <f>EXP(-LN(2)/25)*AV191+(1-EXP(-LN(2)/25))/(LN(2)/25)*Calculateur!AQ192*Calculateur!AS192*VLOOKUP('Données projet'!$B$10,Paramètres!$A$1:$I$89,3,0)*0.475*44/12</f>
        <v>0.25979925859725372</v>
      </c>
      <c r="AW192" s="21">
        <f>EXP(-LN(2)/2)*AW191+(1-EXP(-LN(2)/2))/(LN(2)/2)*AQ192*AT192*VLOOKUP('Données projet'!$B$10,Paramètres!$A$1:$I$89,3,0)*0.475*44/12</f>
        <v>3.5449144518950381E-23</v>
      </c>
      <c r="AX192" s="21">
        <f t="shared" si="166"/>
        <v>0.40988238358280815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-7.9580786405131221E-13</v>
      </c>
      <c r="BE192" s="13">
        <f>BD192*VLOOKUP('Données projet'!$B$11,Paramètres!$A$1:$I$89,3,0)*VLOOKUP('Données projet'!$B$11,Paramètres!$A$1:$I$89,5,0)</f>
        <v>-3.8278358260868117E-13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371.85813103419366</v>
      </c>
      <c r="BJ192" s="59">
        <f t="shared" si="146"/>
        <v>370.01698880104584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1.1923869531987814</v>
      </c>
      <c r="BQ192" s="21">
        <f>EXP(-LN(2)/25)*BQ191+(1-EXP(-LN(2)/25))/(LN(2)/25)*Calculateur!BL192*Calculateur!BN192*VLOOKUP('Données projet'!$B$11,Paramètres!$A$1:$I$89,3,0)*0.475*44/12</f>
        <v>0.54895390024768853</v>
      </c>
      <c r="BR192" s="21">
        <f>EXP(-LN(2)/2)*BR191+(1-EXP(-LN(2)/2))/(LN(2)/2)*BL192*BO192*VLOOKUP('Données projet'!$B$11,Paramètres!$A$1:$I$89,3,0)*0.475*44/12</f>
        <v>1.0348416554217184E-21</v>
      </c>
      <c r="BS192" s="22">
        <f t="shared" si="169"/>
        <v>1.74134085344647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5.6843418860808015E-13</v>
      </c>
      <c r="BZ192" s="13">
        <f>BY192*VLOOKUP('Données projet'!$B$12,Paramètres!$A$1:$I$89,3,0)*VLOOKUP('Données projet'!$B$12,Paramètres!$A$1:$I$89,5,0)</f>
        <v>3.1036506698001181E-13</v>
      </c>
      <c r="CA192" s="13">
        <f t="shared" si="170"/>
        <v>4.086682523110923E-12</v>
      </c>
      <c r="CB192" s="20">
        <f t="shared" si="171"/>
        <v>7.6581912194083782E-12</v>
      </c>
      <c r="CC192" s="59">
        <f t="shared" si="119"/>
        <v>293.33333333334099</v>
      </c>
      <c r="CD192" s="59">
        <f ca="1">AVERAGE(OFFSET($CC$3,0,0,'Données projet'!$E$12+1,1))-AVERAGE(OFFSET($H$3,0,0,'Données projet'!$E$12+1,1))</f>
        <v>248.1486444660062</v>
      </c>
      <c r="CE192" s="59">
        <f t="shared" si="148"/>
        <v>293.34458072322127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0.36541978257352331</v>
      </c>
      <c r="CL192" s="21">
        <f>EXP(-LN(2)/25)*CL191+(1-EXP(-LN(2)/25))/(LN(2)/25)*Calculateur!CG192*Calculateur!CI192*VLOOKUP('Données projet'!$B$12,Paramètres!$A$1:$I$89,3,0)*0.475*44/12</f>
        <v>0.41439064329044289</v>
      </c>
      <c r="CM192" s="21">
        <f>EXP(-LN(2)/2)*CM191+(1-EXP(-LN(2)/2))/(LN(2)/2)*CG192*CJ192*VLOOKUP('Données projet'!$B$12,Paramètres!$A$1:$I$89,3,0)*0.475*44/12</f>
        <v>2.9458654920989916E-23</v>
      </c>
      <c r="CN192" s="22">
        <f t="shared" si="172"/>
        <v>0.77981042586396621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-2.2737367544323206E-13</v>
      </c>
      <c r="CU192" s="17">
        <f>CT192*VLOOKUP('Données projet'!$B$13,Paramètres!$A$1:$I$89,3,0)*VLOOKUP('Données projet'!$B$13,Paramètres!$A$1:$I$89,5,0)</f>
        <v>-1.8089849618263545E-13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314.94704727988847</v>
      </c>
      <c r="CZ192" s="59">
        <f t="shared" si="150"/>
        <v>366.49199094166454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0.1679812367850739</v>
      </c>
      <c r="DG192" s="21">
        <f>EXP(-LN(2)/25)*DG191+(1-EXP(-LN(2)/25))/(LN(2)/25)*Calculateur!DB192*Calculateur!DD192*VLOOKUP('Données projet'!$B$13,Paramètres!$A$1:$I$89,3,0)*0.475*44/12</f>
        <v>0.30931485955517635</v>
      </c>
      <c r="DH192" s="21">
        <f>EXP(-LN(2)/2)*DH191+(1-EXP(-LN(2)/2))/(LN(2)/2)*DB192*DE192*VLOOKUP('Données projet'!$B$13,Paramètres!$A$1:$I$89,3,0)*0.475*44/12</f>
        <v>3.3771522822530115E-23</v>
      </c>
      <c r="DI192" s="22">
        <f t="shared" si="175"/>
        <v>0.47729609634025028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-1.2505552149377763E-12</v>
      </c>
      <c r="O193" s="13">
        <f>N193*VLOOKUP('Données projet'!$B$9,Paramètres!$A$1:$I$89,3,0)*VLOOKUP('Données projet'!$B$9,Paramètres!$A$1:$I$89,5,0)</f>
        <v>-6.9906036515021697E-13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415.91544298418842</v>
      </c>
      <c r="T193" s="59">
        <f t="shared" si="142"/>
        <v>422.79312683312583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0.48031235948294493</v>
      </c>
      <c r="AA193" s="21">
        <f>EXP(-LN(2)/25)*AA192+(1-EXP(-LN(2)/25))/(LN(2)/25)*Calculateur!V193*Calculateur!X193*VLOOKUP('Données projet'!$B$9,Paramètres!$A$1:$I$89,3,0)*0.475*44/12</f>
        <v>0.45897093753471047</v>
      </c>
      <c r="AB193" s="21">
        <f>EXP(-LN(2)/2)*AB192+(1-EXP(-LN(2)/2))/(LN(2)/2)*V193*Y193*VLOOKUP('Données projet'!$B$9,Paramètres!$A$1:$I$89,3,0)*0.475*44/12</f>
        <v>3.0168841432024578E-23</v>
      </c>
      <c r="AC193" s="22">
        <f t="shared" si="163"/>
        <v>0.93928329701765545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-6.7984728957526396E-14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311.06126148520821</v>
      </c>
      <c r="AO193" s="59">
        <f t="shared" si="144"/>
        <v>321.1728368524748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0.14714008644625493</v>
      </c>
      <c r="AV193" s="21">
        <f>EXP(-LN(2)/25)*AV192+(1-EXP(-LN(2)/25))/(LN(2)/25)*Calculateur!AQ193*Calculateur!AS193*VLOOKUP('Données projet'!$B$10,Paramètres!$A$1:$I$89,3,0)*0.475*44/12</f>
        <v>0.25269503420866257</v>
      </c>
      <c r="AW193" s="21">
        <f>EXP(-LN(2)/2)*AW192+(1-EXP(-LN(2)/2))/(LN(2)/2)*AQ193*AT193*VLOOKUP('Données projet'!$B$10,Paramètres!$A$1:$I$89,3,0)*0.475*44/12</f>
        <v>2.5066330476611748E-23</v>
      </c>
      <c r="AX193" s="21">
        <f t="shared" si="166"/>
        <v>0.3998351206549175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-7.9580786405131221E-13</v>
      </c>
      <c r="BE193" s="13">
        <f>BD193*VLOOKUP('Données projet'!$B$11,Paramètres!$A$1:$I$89,3,0)*VLOOKUP('Données projet'!$B$11,Paramètres!$A$1:$I$89,5,0)</f>
        <v>-3.8278358260868117E-13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371.85813103419366</v>
      </c>
      <c r="BJ193" s="59">
        <f t="shared" si="146"/>
        <v>370.01698880104584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1.1690049723307814</v>
      </c>
      <c r="BQ193" s="21">
        <f>EXP(-LN(2)/25)*BQ192+(1-EXP(-LN(2)/25))/(LN(2)/25)*Calculateur!BL193*Calculateur!BN193*VLOOKUP('Données projet'!$B$11,Paramètres!$A$1:$I$89,3,0)*0.475*44/12</f>
        <v>0.53394272697718448</v>
      </c>
      <c r="BR193" s="21">
        <f>EXP(-LN(2)/2)*BR192+(1-EXP(-LN(2)/2))/(LN(2)/2)*BL193*BO193*VLOOKUP('Données projet'!$B$11,Paramètres!$A$1:$I$89,3,0)*0.475*44/12</f>
        <v>7.3174355200300965E-22</v>
      </c>
      <c r="BS193" s="22">
        <f t="shared" si="169"/>
        <v>1.7029476993079657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5.6843418860808015E-13</v>
      </c>
      <c r="BZ193" s="13">
        <f>BY193*VLOOKUP('Données projet'!$B$12,Paramètres!$A$1:$I$89,3,0)*VLOOKUP('Données projet'!$B$12,Paramètres!$A$1:$I$89,5,0)</f>
        <v>3.1036506698001181E-13</v>
      </c>
      <c r="CA193" s="13">
        <f t="shared" si="170"/>
        <v>4.086682523110923E-12</v>
      </c>
      <c r="CB193" s="20">
        <f t="shared" si="171"/>
        <v>7.6581912194083782E-12</v>
      </c>
      <c r="CC193" s="59">
        <f t="shared" si="119"/>
        <v>293.33333333334099</v>
      </c>
      <c r="CD193" s="59">
        <f ca="1">AVERAGE(OFFSET($CC$3,0,0,'Données projet'!$E$12+1,1))-AVERAGE(OFFSET($H$3,0,0,'Données projet'!$E$12+1,1))</f>
        <v>248.1486444660062</v>
      </c>
      <c r="CE193" s="59">
        <f t="shared" si="148"/>
        <v>293.34458072322127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0.35825412352131591</v>
      </c>
      <c r="CL193" s="21">
        <f>EXP(-LN(2)/25)*CL192+(1-EXP(-LN(2)/25))/(LN(2)/25)*Calculateur!CG193*Calculateur!CI193*VLOOKUP('Données projet'!$B$12,Paramètres!$A$1:$I$89,3,0)*0.475*44/12</f>
        <v>0.40305910935780892</v>
      </c>
      <c r="CM193" s="21">
        <f>EXP(-LN(2)/2)*CM192+(1-EXP(-LN(2)/2))/(LN(2)/2)*CG193*CJ193*VLOOKUP('Données projet'!$B$12,Paramètres!$A$1:$I$89,3,0)*0.475*44/12</f>
        <v>2.0830414659266428E-23</v>
      </c>
      <c r="CN193" s="22">
        <f t="shared" si="172"/>
        <v>0.76131323287912478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-2.2737367544323206E-13</v>
      </c>
      <c r="CU193" s="17">
        <f>CT193*VLOOKUP('Données projet'!$B$13,Paramètres!$A$1:$I$89,3,0)*VLOOKUP('Données projet'!$B$13,Paramètres!$A$1:$I$89,5,0)</f>
        <v>-1.8089849618263545E-13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314.94704727988847</v>
      </c>
      <c r="CZ193" s="59">
        <f t="shared" si="150"/>
        <v>366.49199094166454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0.1646872271901561</v>
      </c>
      <c r="DG193" s="21">
        <f>EXP(-LN(2)/25)*DG192+(1-EXP(-LN(2)/25))/(LN(2)/25)*Calculateur!DB193*Calculateur!DD193*VLOOKUP('Données projet'!$B$13,Paramètres!$A$1:$I$89,3,0)*0.475*44/12</f>
        <v>0.30085662845447853</v>
      </c>
      <c r="DH193" s="21">
        <f>EXP(-LN(2)/2)*DH192+(1-EXP(-LN(2)/2))/(LN(2)/2)*DB193*DE193*VLOOKUP('Données projet'!$B$13,Paramètres!$A$1:$I$89,3,0)*0.475*44/12</f>
        <v>2.3880072798807298E-23</v>
      </c>
      <c r="DI193" s="22">
        <f t="shared" si="175"/>
        <v>0.46554385564463463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-1.2505552149377763E-12</v>
      </c>
      <c r="O194" s="13">
        <f>N194*VLOOKUP('Données projet'!$B$9,Paramètres!$A$1:$I$89,3,0)*VLOOKUP('Données projet'!$B$9,Paramètres!$A$1:$I$89,5,0)</f>
        <v>-6.9906036515021697E-13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415.91544298418842</v>
      </c>
      <c r="T194" s="59">
        <f t="shared" si="142"/>
        <v>422.79312683312583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0.47089372707509608</v>
      </c>
      <c r="AA194" s="21">
        <f>EXP(-LN(2)/25)*AA193+(1-EXP(-LN(2)/25))/(LN(2)/25)*Calculateur!V194*Calculateur!X194*VLOOKUP('Données projet'!$B$9,Paramètres!$A$1:$I$89,3,0)*0.475*44/12</f>
        <v>0.44642035311159117</v>
      </c>
      <c r="AB194" s="21">
        <f>EXP(-LN(2)/2)*AB193+(1-EXP(-LN(2)/2))/(LN(2)/2)*V194*Y194*VLOOKUP('Données projet'!$B$9,Paramètres!$A$1:$I$89,3,0)*0.475*44/12</f>
        <v>2.1332592357126253E-23</v>
      </c>
      <c r="AC194" s="22">
        <f t="shared" si="163"/>
        <v>0.91731408018668725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-6.7984728957526396E-14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311.06126148520821</v>
      </c>
      <c r="AO194" s="59">
        <f t="shared" si="144"/>
        <v>321.1728368524748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0.14425475909763485</v>
      </c>
      <c r="AV194" s="21">
        <f>EXP(-LN(2)/25)*AV193+(1-EXP(-LN(2)/25))/(LN(2)/25)*Calculateur!AQ194*Calculateur!AS194*VLOOKUP('Données projet'!$B$10,Paramètres!$A$1:$I$89,3,0)*0.475*44/12</f>
        <v>0.24578507520957238</v>
      </c>
      <c r="AW194" s="21">
        <f>EXP(-LN(2)/2)*AW193+(1-EXP(-LN(2)/2))/(LN(2)/2)*AQ194*AT194*VLOOKUP('Données projet'!$B$10,Paramètres!$A$1:$I$89,3,0)*0.475*44/12</f>
        <v>1.772457225947519E-23</v>
      </c>
      <c r="AX194" s="21">
        <f t="shared" si="166"/>
        <v>0.39003983430720723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-7.9580786405131221E-13</v>
      </c>
      <c r="BE194" s="13">
        <f>BD194*VLOOKUP('Données projet'!$B$11,Paramètres!$A$1:$I$89,3,0)*VLOOKUP('Données projet'!$B$11,Paramètres!$A$1:$I$89,5,0)</f>
        <v>-3.8278358260868117E-13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371.85813103419366</v>
      </c>
      <c r="BJ194" s="59">
        <f t="shared" si="146"/>
        <v>370.01698880104584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1.1460814978460028</v>
      </c>
      <c r="BQ194" s="21">
        <f>EXP(-LN(2)/25)*BQ193+(1-EXP(-LN(2)/25))/(LN(2)/25)*Calculateur!BL194*Calculateur!BN194*VLOOKUP('Données projet'!$B$11,Paramètres!$A$1:$I$89,3,0)*0.475*44/12</f>
        <v>0.51934203502916565</v>
      </c>
      <c r="BR194" s="21">
        <f>EXP(-LN(2)/2)*BR193+(1-EXP(-LN(2)/2))/(LN(2)/2)*BL194*BO194*VLOOKUP('Données projet'!$B$11,Paramètres!$A$1:$I$89,3,0)*0.475*44/12</f>
        <v>5.1742082771085919E-22</v>
      </c>
      <c r="BS194" s="22">
        <f t="shared" si="169"/>
        <v>1.6654235328751685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5.6843418860808015E-13</v>
      </c>
      <c r="BZ194" s="13">
        <f>BY194*VLOOKUP('Données projet'!$B$12,Paramètres!$A$1:$I$89,3,0)*VLOOKUP('Données projet'!$B$12,Paramètres!$A$1:$I$89,5,0)</f>
        <v>3.1036506698001181E-13</v>
      </c>
      <c r="CA194" s="13">
        <f t="shared" si="170"/>
        <v>4.086682523110923E-12</v>
      </c>
      <c r="CB194" s="20">
        <f t="shared" si="171"/>
        <v>7.6581912194083782E-12</v>
      </c>
      <c r="CC194" s="59">
        <f t="shared" si="119"/>
        <v>293.33333333334099</v>
      </c>
      <c r="CD194" s="59">
        <f ca="1">AVERAGE(OFFSET($CC$3,0,0,'Données projet'!$E$12+1,1))-AVERAGE(OFFSET($H$3,0,0,'Données projet'!$E$12+1,1))</f>
        <v>248.1486444660062</v>
      </c>
      <c r="CE194" s="59">
        <f t="shared" si="148"/>
        <v>293.34458072322127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0.35122897867250186</v>
      </c>
      <c r="CL194" s="21">
        <f>EXP(-LN(2)/25)*CL193+(1-EXP(-LN(2)/25))/(LN(2)/25)*Calculateur!CG194*Calculateur!CI194*VLOOKUP('Données projet'!$B$12,Paramètres!$A$1:$I$89,3,0)*0.475*44/12</f>
        <v>0.3920374368164623</v>
      </c>
      <c r="CM194" s="21">
        <f>EXP(-LN(2)/2)*CM193+(1-EXP(-LN(2)/2))/(LN(2)/2)*CG194*CJ194*VLOOKUP('Données projet'!$B$12,Paramètres!$A$1:$I$89,3,0)*0.475*44/12</f>
        <v>1.4729327460494958E-23</v>
      </c>
      <c r="CN194" s="22">
        <f t="shared" si="172"/>
        <v>0.74326641548896411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-2.2737367544323206E-13</v>
      </c>
      <c r="CU194" s="17">
        <f>CT194*VLOOKUP('Données projet'!$B$13,Paramètres!$A$1:$I$89,3,0)*VLOOKUP('Données projet'!$B$13,Paramètres!$A$1:$I$89,5,0)</f>
        <v>-1.8089849618263545E-13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314.94704727988847</v>
      </c>
      <c r="CZ194" s="59">
        <f t="shared" si="150"/>
        <v>366.49199094166454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0.16145781111424717</v>
      </c>
      <c r="DG194" s="21">
        <f>EXP(-LN(2)/25)*DG193+(1-EXP(-LN(2)/25))/(LN(2)/25)*Calculateur!DB194*Calculateur!DD194*VLOOKUP('Données projet'!$B$13,Paramètres!$A$1:$I$89,3,0)*0.475*44/12</f>
        <v>0.29262968812802831</v>
      </c>
      <c r="DH194" s="21">
        <f>EXP(-LN(2)/2)*DH193+(1-EXP(-LN(2)/2))/(LN(2)/2)*DB194*DE194*VLOOKUP('Données projet'!$B$13,Paramètres!$A$1:$I$89,3,0)*0.475*44/12</f>
        <v>1.6885761411265058E-23</v>
      </c>
      <c r="DI194" s="22">
        <f t="shared" si="175"/>
        <v>0.45408749924227548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-1.2505552149377763E-12</v>
      </c>
      <c r="O195" s="13">
        <f>N195*VLOOKUP('Données projet'!$B$9,Paramètres!$A$1:$I$89,3,0)*VLOOKUP('Données projet'!$B$9,Paramètres!$A$1:$I$89,5,0)</f>
        <v>-6.9906036515021697E-13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415.91544298418842</v>
      </c>
      <c r="T195" s="59">
        <f t="shared" si="142"/>
        <v>422.79312683312583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0.46165978830396665</v>
      </c>
      <c r="AA195" s="21">
        <f>EXP(-LN(2)/25)*AA194+(1-EXP(-LN(2)/25))/(LN(2)/25)*Calculateur!V195*Calculateur!X195*VLOOKUP('Données projet'!$B$9,Paramètres!$A$1:$I$89,3,0)*0.475*44/12</f>
        <v>0.43421296507952867</v>
      </c>
      <c r="AB195" s="21">
        <f>EXP(-LN(2)/2)*AB194+(1-EXP(-LN(2)/2))/(LN(2)/2)*V195*Y195*VLOOKUP('Données projet'!$B$9,Paramètres!$A$1:$I$89,3,0)*0.475*44/12</f>
        <v>1.5084420716012289E-23</v>
      </c>
      <c r="AC195" s="22">
        <f t="shared" si="163"/>
        <v>0.89587275338349537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-6.7984728957526396E-14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311.06126148520821</v>
      </c>
      <c r="AO195" s="59">
        <f t="shared" si="144"/>
        <v>321.1728368524748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0.14142601125844531</v>
      </c>
      <c r="AV195" s="21">
        <f>EXP(-LN(2)/25)*AV194+(1-EXP(-LN(2)/25))/(LN(2)/25)*Calculateur!AQ195*Calculateur!AS195*VLOOKUP('Données projet'!$B$10,Paramètres!$A$1:$I$89,3,0)*0.475*44/12</f>
        <v>0.23906406940269126</v>
      </c>
      <c r="AW195" s="21">
        <f>EXP(-LN(2)/2)*AW194+(1-EXP(-LN(2)/2))/(LN(2)/2)*AQ195*AT195*VLOOKUP('Données projet'!$B$10,Paramètres!$A$1:$I$89,3,0)*0.475*44/12</f>
        <v>1.2533165238305874E-23</v>
      </c>
      <c r="AX195" s="21">
        <f t="shared" si="166"/>
        <v>0.38049008066113654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-7.9580786405131221E-13</v>
      </c>
      <c r="BE195" s="13">
        <f>BD195*VLOOKUP('Données projet'!$B$11,Paramètres!$A$1:$I$89,3,0)*VLOOKUP('Données projet'!$B$11,Paramètres!$A$1:$I$89,5,0)</f>
        <v>-3.8278358260868117E-13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371.85813103419366</v>
      </c>
      <c r="BJ195" s="59">
        <f t="shared" si="146"/>
        <v>370.01698880104584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1.1236075387139317</v>
      </c>
      <c r="BQ195" s="21">
        <f>EXP(-LN(2)/25)*BQ194+(1-EXP(-LN(2)/25))/(LN(2)/25)*Calculateur!BL195*Calculateur!BN195*VLOOKUP('Données projet'!$B$11,Paramètres!$A$1:$I$89,3,0)*0.475*44/12</f>
        <v>0.50514059977028247</v>
      </c>
      <c r="BR195" s="21">
        <f>EXP(-LN(2)/2)*BR194+(1-EXP(-LN(2)/2))/(LN(2)/2)*BL195*BO195*VLOOKUP('Données projet'!$B$11,Paramètres!$A$1:$I$89,3,0)*0.475*44/12</f>
        <v>3.6587177600150482E-22</v>
      </c>
      <c r="BS195" s="22">
        <f t="shared" si="169"/>
        <v>1.6287481384842142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5.6843418860808015E-13</v>
      </c>
      <c r="BZ195" s="13">
        <f>BY195*VLOOKUP('Données projet'!$B$12,Paramètres!$A$1:$I$89,3,0)*VLOOKUP('Données projet'!$B$12,Paramètres!$A$1:$I$89,5,0)</f>
        <v>3.1036506698001181E-13</v>
      </c>
      <c r="CA195" s="13">
        <f t="shared" si="170"/>
        <v>4.086682523110923E-12</v>
      </c>
      <c r="CB195" s="20">
        <f t="shared" si="171"/>
        <v>7.6581912194083782E-12</v>
      </c>
      <c r="CC195" s="59">
        <f t="shared" si="119"/>
        <v>293.33333333334099</v>
      </c>
      <c r="CD195" s="59">
        <f ca="1">AVERAGE(OFFSET($CC$3,0,0,'Données projet'!$E$12+1,1))-AVERAGE(OFFSET($H$3,0,0,'Données projet'!$E$12+1,1))</f>
        <v>248.1486444660062</v>
      </c>
      <c r="CE195" s="59">
        <f t="shared" si="148"/>
        <v>293.34458072322127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0.34434159262925779</v>
      </c>
      <c r="CL195" s="21">
        <f>EXP(-LN(2)/25)*CL194+(1-EXP(-LN(2)/25))/(LN(2)/25)*Calculateur!CG195*Calculateur!CI195*VLOOKUP('Données projet'!$B$12,Paramètres!$A$1:$I$89,3,0)*0.475*44/12</f>
        <v>0.38131715249036335</v>
      </c>
      <c r="CM195" s="21">
        <f>EXP(-LN(2)/2)*CM194+(1-EXP(-LN(2)/2))/(LN(2)/2)*CG195*CJ195*VLOOKUP('Données projet'!$B$12,Paramètres!$A$1:$I$89,3,0)*0.475*44/12</f>
        <v>1.0415207329633214E-23</v>
      </c>
      <c r="CN195" s="22">
        <f t="shared" si="172"/>
        <v>0.72565874511962114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-2.2737367544323206E-13</v>
      </c>
      <c r="CU195" s="17">
        <f>CT195*VLOOKUP('Données projet'!$B$13,Paramètres!$A$1:$I$89,3,0)*VLOOKUP('Données projet'!$B$13,Paramètres!$A$1:$I$89,5,0)</f>
        <v>-1.8089849618263545E-13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314.94704727988847</v>
      </c>
      <c r="CZ195" s="59">
        <f t="shared" si="150"/>
        <v>366.49199094166454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0.15829172191783752</v>
      </c>
      <c r="DG195" s="21">
        <f>EXP(-LN(2)/25)*DG194+(1-EXP(-LN(2)/25))/(LN(2)/25)*Calculateur!DB195*Calculateur!DD195*VLOOKUP('Données projet'!$B$13,Paramètres!$A$1:$I$89,3,0)*0.475*44/12</f>
        <v>0.28462771391744091</v>
      </c>
      <c r="DH195" s="21">
        <f>EXP(-LN(2)/2)*DH194+(1-EXP(-LN(2)/2))/(LN(2)/2)*DB195*DE195*VLOOKUP('Données projet'!$B$13,Paramètres!$A$1:$I$89,3,0)*0.475*44/12</f>
        <v>1.1940036399403649E-23</v>
      </c>
      <c r="DI195" s="22">
        <f t="shared" si="175"/>
        <v>0.44291943583527843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-1.2505552149377763E-12</v>
      </c>
      <c r="O196" s="13">
        <f>N196*VLOOKUP('Données projet'!$B$9,Paramètres!$A$1:$I$89,3,0)*VLOOKUP('Données projet'!$B$9,Paramètres!$A$1:$I$89,5,0)</f>
        <v>-6.9906036515021697E-13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415.91544298418842</v>
      </c>
      <c r="T196" s="59">
        <f t="shared" si="142"/>
        <v>422.79312683312583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0.45260692143999254</v>
      </c>
      <c r="AA196" s="21">
        <f>EXP(-LN(2)/25)*AA195+(1-EXP(-LN(2)/25))/(LN(2)/25)*Calculateur!V196*Calculateur!X196*VLOOKUP('Données projet'!$B$9,Paramètres!$A$1:$I$89,3,0)*0.475*44/12</f>
        <v>0.42233938871516152</v>
      </c>
      <c r="AB196" s="21">
        <f>EXP(-LN(2)/2)*AB195+(1-EXP(-LN(2)/2))/(LN(2)/2)*V196*Y196*VLOOKUP('Données projet'!$B$9,Paramètres!$A$1:$I$89,3,0)*0.475*44/12</f>
        <v>1.0666296178563126E-23</v>
      </c>
      <c r="AC196" s="22">
        <f t="shared" si="163"/>
        <v>0.87494631015515401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-6.7984728957526396E-14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311.06126148520821</v>
      </c>
      <c r="AO196" s="59">
        <f t="shared" si="144"/>
        <v>321.1728368524748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0.13865273343901646</v>
      </c>
      <c r="AV196" s="21">
        <f>EXP(-LN(2)/25)*AV195+(1-EXP(-LN(2)/25))/(LN(2)/25)*Calculateur!AQ196*Calculateur!AS196*VLOOKUP('Données projet'!$B$10,Paramètres!$A$1:$I$89,3,0)*0.475*44/12</f>
        <v>0.23252684985304164</v>
      </c>
      <c r="AW196" s="21">
        <f>EXP(-LN(2)/2)*AW195+(1-EXP(-LN(2)/2))/(LN(2)/2)*AQ196*AT196*VLOOKUP('Données projet'!$B$10,Paramètres!$A$1:$I$89,3,0)*0.475*44/12</f>
        <v>8.8622861297375951E-24</v>
      </c>
      <c r="AX196" s="21">
        <f t="shared" si="166"/>
        <v>0.37117958329205814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-7.9580786405131221E-13</v>
      </c>
      <c r="BE196" s="13">
        <f>BD196*VLOOKUP('Données projet'!$B$11,Paramètres!$A$1:$I$89,3,0)*VLOOKUP('Données projet'!$B$11,Paramètres!$A$1:$I$89,5,0)</f>
        <v>-3.8278358260868117E-13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371.85813103419366</v>
      </c>
      <c r="BJ196" s="59">
        <f t="shared" si="146"/>
        <v>370.01698880104584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1.1015742802126791</v>
      </c>
      <c r="BQ196" s="21">
        <f>EXP(-LN(2)/25)*BQ195+(1-EXP(-LN(2)/25))/(LN(2)/25)*Calculateur!BL196*Calculateur!BN196*VLOOKUP('Données projet'!$B$11,Paramètres!$A$1:$I$89,3,0)*0.475*44/12</f>
        <v>0.49132750350537446</v>
      </c>
      <c r="BR196" s="21">
        <f>EXP(-LN(2)/2)*BR195+(1-EXP(-LN(2)/2))/(LN(2)/2)*BL196*BO196*VLOOKUP('Données projet'!$B$11,Paramètres!$A$1:$I$89,3,0)*0.475*44/12</f>
        <v>2.587104138554296E-22</v>
      </c>
      <c r="BS196" s="22">
        <f t="shared" si="169"/>
        <v>1.5929017837180535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5.6843418860808015E-13</v>
      </c>
      <c r="BZ196" s="13">
        <f>BY196*VLOOKUP('Données projet'!$B$12,Paramètres!$A$1:$I$89,3,0)*VLOOKUP('Données projet'!$B$12,Paramètres!$A$1:$I$89,5,0)</f>
        <v>3.1036506698001181E-13</v>
      </c>
      <c r="CA196" s="13">
        <f t="shared" si="170"/>
        <v>4.086682523110923E-12</v>
      </c>
      <c r="CB196" s="20">
        <f t="shared" si="171"/>
        <v>7.6581912194083782E-12</v>
      </c>
      <c r="CC196" s="59">
        <f t="shared" ref="CC196:CC203" si="195">CB196+(BT196+BU196)*44/12</f>
        <v>293.33333333334099</v>
      </c>
      <c r="CD196" s="59">
        <f ca="1">AVERAGE(OFFSET($CC$3,0,0,'Données projet'!$E$12+1,1))-AVERAGE(OFFSET($H$3,0,0,'Données projet'!$E$12+1,1))</f>
        <v>248.1486444660062</v>
      </c>
      <c r="CE196" s="59">
        <f t="shared" si="148"/>
        <v>293.34458072322127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0.33758926402543105</v>
      </c>
      <c r="CL196" s="21">
        <f>EXP(-LN(2)/25)*CL195+(1-EXP(-LN(2)/25))/(LN(2)/25)*Calculateur!CG196*Calculateur!CI196*VLOOKUP('Données projet'!$B$12,Paramètres!$A$1:$I$89,3,0)*0.475*44/12</f>
        <v>0.37089001490291684</v>
      </c>
      <c r="CM196" s="21">
        <f>EXP(-LN(2)/2)*CM195+(1-EXP(-LN(2)/2))/(LN(2)/2)*CG196*CJ196*VLOOKUP('Données projet'!$B$12,Paramètres!$A$1:$I$89,3,0)*0.475*44/12</f>
        <v>7.3646637302474789E-24</v>
      </c>
      <c r="CN196" s="22">
        <f t="shared" si="172"/>
        <v>0.70847927892834783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-2.2737367544323206E-13</v>
      </c>
      <c r="CU196" s="17">
        <f>CT196*VLOOKUP('Données projet'!$B$13,Paramètres!$A$1:$I$89,3,0)*VLOOKUP('Données projet'!$B$13,Paramètres!$A$1:$I$89,5,0)</f>
        <v>-1.8089849618263545E-13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314.94704727988847</v>
      </c>
      <c r="CZ196" s="59">
        <f t="shared" si="150"/>
        <v>366.49199094166454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0.15518771779944573</v>
      </c>
      <c r="DG196" s="21">
        <f>EXP(-LN(2)/25)*DG195+(1-EXP(-LN(2)/25))/(LN(2)/25)*Calculateur!DB196*Calculateur!DD196*VLOOKUP('Données projet'!$B$13,Paramètres!$A$1:$I$89,3,0)*0.475*44/12</f>
        <v>0.27684455411244752</v>
      </c>
      <c r="DH196" s="21">
        <f>EXP(-LN(2)/2)*DH195+(1-EXP(-LN(2)/2))/(LN(2)/2)*DB196*DE196*VLOOKUP('Données projet'!$B$13,Paramètres!$A$1:$I$89,3,0)*0.475*44/12</f>
        <v>8.4428807056325288E-24</v>
      </c>
      <c r="DI196" s="22">
        <f t="shared" si="175"/>
        <v>0.43203227191189325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-1.2505552149377763E-12</v>
      </c>
      <c r="O197" s="13">
        <f>N197*VLOOKUP('Données projet'!$B$9,Paramètres!$A$1:$I$89,3,0)*VLOOKUP('Données projet'!$B$9,Paramètres!$A$1:$I$89,5,0)</f>
        <v>-6.9906036515021697E-13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415.91544298418842</v>
      </c>
      <c r="T197" s="59">
        <f t="shared" ref="T197:T203" si="204">$T$3</f>
        <v>422.79312683312583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0.44373157577351741</v>
      </c>
      <c r="AA197" s="21">
        <f>EXP(-LN(2)/25)*AA196+(1-EXP(-LN(2)/25))/(LN(2)/25)*Calculateur!V197*Calculateur!X197*VLOOKUP('Données projet'!$B$9,Paramètres!$A$1:$I$89,3,0)*0.475*44/12</f>
        <v>0.41079049592088224</v>
      </c>
      <c r="AB197" s="21">
        <f>EXP(-LN(2)/2)*AB196+(1-EXP(-LN(2)/2))/(LN(2)/2)*V197*Y197*VLOOKUP('Données projet'!$B$9,Paramètres!$A$1:$I$89,3,0)*0.475*44/12</f>
        <v>7.5422103580061445E-24</v>
      </c>
      <c r="AC197" s="22">
        <f t="shared" si="163"/>
        <v>0.85452207169439964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-6.7984728957526396E-14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311.06126148520821</v>
      </c>
      <c r="AO197" s="59">
        <f t="shared" ref="AO197:AO203" si="205">$AO$3</f>
        <v>321.1728368524748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0.13593383790609417</v>
      </c>
      <c r="AV197" s="21">
        <f>EXP(-LN(2)/25)*AV196+(1-EXP(-LN(2)/25))/(LN(2)/25)*Calculateur!AQ197*Calculateur!AS197*VLOOKUP('Données projet'!$B$10,Paramètres!$A$1:$I$89,3,0)*0.475*44/12</f>
        <v>0.22616839091575464</v>
      </c>
      <c r="AW197" s="21">
        <f>EXP(-LN(2)/2)*AW196+(1-EXP(-LN(2)/2))/(LN(2)/2)*AQ197*AT197*VLOOKUP('Données projet'!$B$10,Paramètres!$A$1:$I$89,3,0)*0.475*44/12</f>
        <v>6.2665826191529369E-24</v>
      </c>
      <c r="AX197" s="21">
        <f t="shared" si="166"/>
        <v>0.36210222882184884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-7.9580786405131221E-13</v>
      </c>
      <c r="BE197" s="13">
        <f>BD197*VLOOKUP('Données projet'!$B$11,Paramètres!$A$1:$I$89,3,0)*VLOOKUP('Données projet'!$B$11,Paramètres!$A$1:$I$89,5,0)</f>
        <v>-3.8278358260868117E-13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371.85813103419366</v>
      </c>
      <c r="BJ197" s="59">
        <f t="shared" ref="BJ197:BJ203" si="206">$BJ$3</f>
        <v>370.01698880104584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1.0799730804716754</v>
      </c>
      <c r="BQ197" s="21">
        <f>EXP(-LN(2)/25)*BQ196+(1-EXP(-LN(2)/25))/(LN(2)/25)*Calculateur!BL197*Calculateur!BN197*VLOOKUP('Données projet'!$B$11,Paramètres!$A$1:$I$89,3,0)*0.475*44/12</f>
        <v>0.47789212708422951</v>
      </c>
      <c r="BR197" s="21">
        <f>EXP(-LN(2)/2)*BR196+(1-EXP(-LN(2)/2))/(LN(2)/2)*BL197*BO197*VLOOKUP('Données projet'!$B$11,Paramètres!$A$1:$I$89,3,0)*0.475*44/12</f>
        <v>1.8293588800075241E-22</v>
      </c>
      <c r="BS197" s="22">
        <f t="shared" si="169"/>
        <v>1.557865207555905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5.6843418860808015E-13</v>
      </c>
      <c r="BZ197" s="13">
        <f>BY197*VLOOKUP('Données projet'!$B$12,Paramètres!$A$1:$I$89,3,0)*VLOOKUP('Données projet'!$B$12,Paramètres!$A$1:$I$89,5,0)</f>
        <v>3.1036506698001181E-13</v>
      </c>
      <c r="CA197" s="13">
        <f t="shared" si="170"/>
        <v>4.086682523110923E-12</v>
      </c>
      <c r="CB197" s="20">
        <f t="shared" si="171"/>
        <v>7.6581912194083782E-12</v>
      </c>
      <c r="CC197" s="59">
        <f t="shared" si="195"/>
        <v>293.33333333334099</v>
      </c>
      <c r="CD197" s="59">
        <f ca="1">AVERAGE(OFFSET($CC$3,0,0,'Données projet'!$E$12+1,1))-AVERAGE(OFFSET($H$3,0,0,'Données projet'!$E$12+1,1))</f>
        <v>248.1486444660062</v>
      </c>
      <c r="CE197" s="59">
        <f t="shared" ref="CE197:CE203" si="207">$CE$3</f>
        <v>293.34458072322127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0.33096934446701154</v>
      </c>
      <c r="CL197" s="21">
        <f>EXP(-LN(2)/25)*CL196+(1-EXP(-LN(2)/25))/(LN(2)/25)*Calculateur!CG197*Calculateur!CI197*VLOOKUP('Données projet'!$B$12,Paramètres!$A$1:$I$89,3,0)*0.475*44/12</f>
        <v>0.36074800794113837</v>
      </c>
      <c r="CM197" s="21">
        <f>EXP(-LN(2)/2)*CM196+(1-EXP(-LN(2)/2))/(LN(2)/2)*CG197*CJ197*VLOOKUP('Données projet'!$B$12,Paramètres!$A$1:$I$89,3,0)*0.475*44/12</f>
        <v>5.207603664816607E-24</v>
      </c>
      <c r="CN197" s="22">
        <f t="shared" si="172"/>
        <v>0.69171735240814991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-2.2737367544323206E-13</v>
      </c>
      <c r="CU197" s="17">
        <f>CT197*VLOOKUP('Données projet'!$B$13,Paramètres!$A$1:$I$89,3,0)*VLOOKUP('Données projet'!$B$13,Paramètres!$A$1:$I$89,5,0)</f>
        <v>-1.8089849618263545E-13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314.94704727988847</v>
      </c>
      <c r="CZ197" s="59">
        <f t="shared" ref="CZ197:CZ203" si="208">$CZ$3</f>
        <v>366.49199094166454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0.15214458130856004</v>
      </c>
      <c r="DG197" s="21">
        <f>EXP(-LN(2)/25)*DG196+(1-EXP(-LN(2)/25))/(LN(2)/25)*Calculateur!DB197*Calculateur!DD197*VLOOKUP('Données projet'!$B$13,Paramètres!$A$1:$I$89,3,0)*0.475*44/12</f>
        <v>0.26927422522162026</v>
      </c>
      <c r="DH197" s="21">
        <f>EXP(-LN(2)/2)*DH196+(1-EXP(-LN(2)/2))/(LN(2)/2)*DB197*DE197*VLOOKUP('Données projet'!$B$13,Paramètres!$A$1:$I$89,3,0)*0.475*44/12</f>
        <v>5.9700181997018246E-24</v>
      </c>
      <c r="DI197" s="22">
        <f t="shared" si="175"/>
        <v>0.42141880653018027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-1.2505552149377763E-12</v>
      </c>
      <c r="O198" s="13">
        <f>N198*VLOOKUP('Données projet'!$B$9,Paramètres!$A$1:$I$89,3,0)*VLOOKUP('Données projet'!$B$9,Paramètres!$A$1:$I$89,5,0)</f>
        <v>-6.9906036515021697E-13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415.91544298418842</v>
      </c>
      <c r="T198" s="59">
        <f t="shared" si="204"/>
        <v>422.79312683312583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0.43503027022213553</v>
      </c>
      <c r="AA198" s="21">
        <f>EXP(-LN(2)/25)*AA197+(1-EXP(-LN(2)/25))/(LN(2)/25)*Calculateur!V198*Calculateur!X198*VLOOKUP('Données projet'!$B$9,Paramètres!$A$1:$I$89,3,0)*0.475*44/12</f>
        <v>0.39955740820739238</v>
      </c>
      <c r="AB198" s="21">
        <f>EXP(-LN(2)/2)*AB197+(1-EXP(-LN(2)/2))/(LN(2)/2)*V198*Y198*VLOOKUP('Données projet'!$B$9,Paramètres!$A$1:$I$89,3,0)*0.475*44/12</f>
        <v>5.3331480892815631E-24</v>
      </c>
      <c r="AC198" s="22">
        <f t="shared" si="163"/>
        <v>0.83458767842952786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-6.7984728957526396E-14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311.06126148520821</v>
      </c>
      <c r="AO198" s="59">
        <f t="shared" si="205"/>
        <v>321.1728368524748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0.13326825825620997</v>
      </c>
      <c r="AV198" s="21">
        <f>EXP(-LN(2)/25)*AV197+(1-EXP(-LN(2)/25))/(LN(2)/25)*Calculateur!AQ198*Calculateur!AS198*VLOOKUP('Données projet'!$B$10,Paramètres!$A$1:$I$89,3,0)*0.475*44/12</f>
        <v>0.21998380437248455</v>
      </c>
      <c r="AW198" s="21">
        <f>EXP(-LN(2)/2)*AW197+(1-EXP(-LN(2)/2))/(LN(2)/2)*AQ198*AT198*VLOOKUP('Données projet'!$B$10,Paramètres!$A$1:$I$89,3,0)*0.475*44/12</f>
        <v>4.4311430648687976E-24</v>
      </c>
      <c r="AX198" s="21">
        <f t="shared" si="166"/>
        <v>0.35325206262869452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-7.9580786405131221E-13</v>
      </c>
      <c r="BE198" s="13">
        <f>BD198*VLOOKUP('Données projet'!$B$11,Paramètres!$A$1:$I$89,3,0)*VLOOKUP('Données projet'!$B$11,Paramètres!$A$1:$I$89,5,0)</f>
        <v>-3.8278358260868117E-13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371.85813103419366</v>
      </c>
      <c r="BJ198" s="59">
        <f t="shared" si="206"/>
        <v>370.01698880104584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1.0587954670821618</v>
      </c>
      <c r="BQ198" s="21">
        <f>EXP(-LN(2)/25)*BQ197+(1-EXP(-LN(2)/25))/(LN(2)/25)*Calculateur!BL198*Calculateur!BN198*VLOOKUP('Données projet'!$B$11,Paramètres!$A$1:$I$89,3,0)*0.475*44/12</f>
        <v>0.46482414173785652</v>
      </c>
      <c r="BR198" s="21">
        <f>EXP(-LN(2)/2)*BR197+(1-EXP(-LN(2)/2))/(LN(2)/2)*BL198*BO198*VLOOKUP('Données projet'!$B$11,Paramètres!$A$1:$I$89,3,0)*0.475*44/12</f>
        <v>1.293552069277148E-22</v>
      </c>
      <c r="BS198" s="22">
        <f t="shared" si="169"/>
        <v>1.5236196088200182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5.6843418860808015E-13</v>
      </c>
      <c r="BZ198" s="13">
        <f>BY198*VLOOKUP('Données projet'!$B$12,Paramètres!$A$1:$I$89,3,0)*VLOOKUP('Données projet'!$B$12,Paramètres!$A$1:$I$89,5,0)</f>
        <v>3.1036506698001181E-13</v>
      </c>
      <c r="CA198" s="13">
        <f t="shared" si="170"/>
        <v>4.086682523110923E-12</v>
      </c>
      <c r="CB198" s="20">
        <f t="shared" si="171"/>
        <v>7.6581912194083782E-12</v>
      </c>
      <c r="CC198" s="59">
        <f t="shared" si="195"/>
        <v>293.33333333334099</v>
      </c>
      <c r="CD198" s="59">
        <f ca="1">AVERAGE(OFFSET($CC$3,0,0,'Données projet'!$E$12+1,1))-AVERAGE(OFFSET($H$3,0,0,'Données projet'!$E$12+1,1))</f>
        <v>248.1486444660062</v>
      </c>
      <c r="CE198" s="59">
        <f t="shared" si="207"/>
        <v>293.34458072322127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0.32447923749338042</v>
      </c>
      <c r="CL198" s="21">
        <f>EXP(-LN(2)/25)*CL197+(1-EXP(-LN(2)/25))/(LN(2)/25)*Calculateur!CG198*Calculateur!CI198*VLOOKUP('Données projet'!$B$12,Paramètres!$A$1:$I$89,3,0)*0.475*44/12</f>
        <v>0.3508833346930747</v>
      </c>
      <c r="CM198" s="21">
        <f>EXP(-LN(2)/2)*CM197+(1-EXP(-LN(2)/2))/(LN(2)/2)*CG198*CJ198*VLOOKUP('Données projet'!$B$12,Paramètres!$A$1:$I$89,3,0)*0.475*44/12</f>
        <v>3.6823318651237395E-24</v>
      </c>
      <c r="CN198" s="22">
        <f t="shared" si="172"/>
        <v>0.67536257218645512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-2.2737367544323206E-13</v>
      </c>
      <c r="CU198" s="17">
        <f>CT198*VLOOKUP('Données projet'!$B$13,Paramètres!$A$1:$I$89,3,0)*VLOOKUP('Données projet'!$B$13,Paramètres!$A$1:$I$89,5,0)</f>
        <v>-1.8089849618263545E-13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314.94704727988847</v>
      </c>
      <c r="CZ198" s="59">
        <f t="shared" si="208"/>
        <v>366.49199094166454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0.14916111886813063</v>
      </c>
      <c r="DG198" s="21">
        <f>EXP(-LN(2)/25)*DG197+(1-EXP(-LN(2)/25))/(LN(2)/25)*Calculateur!DB198*Calculateur!DD198*VLOOKUP('Données projet'!$B$13,Paramètres!$A$1:$I$89,3,0)*0.475*44/12</f>
        <v>0.26191090737241896</v>
      </c>
      <c r="DH198" s="21">
        <f>EXP(-LN(2)/2)*DH197+(1-EXP(-LN(2)/2))/(LN(2)/2)*DB198*DE198*VLOOKUP('Données projet'!$B$13,Paramètres!$A$1:$I$89,3,0)*0.475*44/12</f>
        <v>4.2214403528162644E-24</v>
      </c>
      <c r="DI198" s="22">
        <f t="shared" si="175"/>
        <v>0.41107202624054962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-1.2505552149377763E-12</v>
      </c>
      <c r="O199" s="13">
        <f>N199*VLOOKUP('Données projet'!$B$9,Paramètres!$A$1:$I$89,3,0)*VLOOKUP('Données projet'!$B$9,Paramètres!$A$1:$I$89,5,0)</f>
        <v>-6.9906036515021697E-13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415.91544298418842</v>
      </c>
      <c r="T199" s="59">
        <f t="shared" si="204"/>
        <v>422.79312683312583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0.42649959196534393</v>
      </c>
      <c r="AA199" s="21">
        <f>EXP(-LN(2)/25)*AA198+(1-EXP(-LN(2)/25))/(LN(2)/25)*Calculateur!V199*Calculateur!X199*VLOOKUP('Données projet'!$B$9,Paramètres!$A$1:$I$89,3,0)*0.475*44/12</f>
        <v>0.38863148986815033</v>
      </c>
      <c r="AB199" s="21">
        <f>EXP(-LN(2)/2)*AB198+(1-EXP(-LN(2)/2))/(LN(2)/2)*V199*Y199*VLOOKUP('Données projet'!$B$9,Paramètres!$A$1:$I$89,3,0)*0.475*44/12</f>
        <v>3.7711051790030722E-24</v>
      </c>
      <c r="AC199" s="22">
        <f t="shared" si="163"/>
        <v>0.81513108183349425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-6.7984728957526396E-14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311.06126148520821</v>
      </c>
      <c r="AO199" s="59">
        <f t="shared" si="205"/>
        <v>321.1728368524748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0.13065494899741695</v>
      </c>
      <c r="AV199" s="21">
        <f>EXP(-LN(2)/25)*AV198+(1-EXP(-LN(2)/25))/(LN(2)/25)*Calculateur!AQ199*Calculateur!AS199*VLOOKUP('Données projet'!$B$10,Paramètres!$A$1:$I$89,3,0)*0.475*44/12</f>
        <v>0.21396833567347345</v>
      </c>
      <c r="AW199" s="21">
        <f>EXP(-LN(2)/2)*AW198+(1-EXP(-LN(2)/2))/(LN(2)/2)*AQ199*AT199*VLOOKUP('Données projet'!$B$10,Paramètres!$A$1:$I$89,3,0)*0.475*44/12</f>
        <v>3.1332913095764684E-24</v>
      </c>
      <c r="AX199" s="21">
        <f t="shared" si="166"/>
        <v>0.34462328467089043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-7.9580786405131221E-13</v>
      </c>
      <c r="BE199" s="13">
        <f>BD199*VLOOKUP('Données projet'!$B$11,Paramètres!$A$1:$I$89,3,0)*VLOOKUP('Données projet'!$B$11,Paramètres!$A$1:$I$89,5,0)</f>
        <v>-3.8278358260868117E-13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371.85813103419366</v>
      </c>
      <c r="BJ199" s="59">
        <f t="shared" si="206"/>
        <v>370.01698880104584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1.038033133774148</v>
      </c>
      <c r="BQ199" s="21">
        <f>EXP(-LN(2)/25)*BQ198+(1-EXP(-LN(2)/25))/(LN(2)/25)*Calculateur!BL199*Calculateur!BN199*VLOOKUP('Données projet'!$B$11,Paramètres!$A$1:$I$89,3,0)*0.475*44/12</f>
        <v>0.45211350113799559</v>
      </c>
      <c r="BR199" s="21">
        <f>EXP(-LN(2)/2)*BR198+(1-EXP(-LN(2)/2))/(LN(2)/2)*BL199*BO199*VLOOKUP('Données projet'!$B$11,Paramètres!$A$1:$I$89,3,0)*0.475*44/12</f>
        <v>9.1467944000376206E-23</v>
      </c>
      <c r="BS199" s="22">
        <f t="shared" si="169"/>
        <v>1.4901466349121435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5.6843418860808015E-13</v>
      </c>
      <c r="BZ199" s="13">
        <f>BY199*VLOOKUP('Données projet'!$B$12,Paramètres!$A$1:$I$89,3,0)*VLOOKUP('Données projet'!$B$12,Paramètres!$A$1:$I$89,5,0)</f>
        <v>3.1036506698001181E-13</v>
      </c>
      <c r="CA199" s="13">
        <f t="shared" si="170"/>
        <v>4.086682523110923E-12</v>
      </c>
      <c r="CB199" s="20">
        <f t="shared" si="171"/>
        <v>7.6581912194083782E-12</v>
      </c>
      <c r="CC199" s="59">
        <f t="shared" si="195"/>
        <v>293.33333333334099</v>
      </c>
      <c r="CD199" s="59">
        <f ca="1">AVERAGE(OFFSET($CC$3,0,0,'Données projet'!$E$12+1,1))-AVERAGE(OFFSET($H$3,0,0,'Données projet'!$E$12+1,1))</f>
        <v>248.1486444660062</v>
      </c>
      <c r="CE199" s="59">
        <f t="shared" si="207"/>
        <v>293.34458072322127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0.31811639755892784</v>
      </c>
      <c r="CL199" s="21">
        <f>EXP(-LN(2)/25)*CL198+(1-EXP(-LN(2)/25))/(LN(2)/25)*Calculateur!CG199*Calculateur!CI199*VLOOKUP('Données projet'!$B$12,Paramètres!$A$1:$I$89,3,0)*0.475*44/12</f>
        <v>0.34128841145373995</v>
      </c>
      <c r="CM199" s="21">
        <f>EXP(-LN(2)/2)*CM198+(1-EXP(-LN(2)/2))/(LN(2)/2)*CG199*CJ199*VLOOKUP('Données projet'!$B$12,Paramètres!$A$1:$I$89,3,0)*0.475*44/12</f>
        <v>2.6038018324083035E-24</v>
      </c>
      <c r="CN199" s="22">
        <f t="shared" si="172"/>
        <v>0.65940480901266785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-2.2737367544323206E-13</v>
      </c>
      <c r="CU199" s="17">
        <f>CT199*VLOOKUP('Données projet'!$B$13,Paramètres!$A$1:$I$89,3,0)*VLOOKUP('Données projet'!$B$13,Paramètres!$A$1:$I$89,5,0)</f>
        <v>-1.8089849618263545E-13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314.94704727988847</v>
      </c>
      <c r="CZ199" s="59">
        <f t="shared" si="208"/>
        <v>366.49199094166454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0.14623616030642564</v>
      </c>
      <c r="DG199" s="21">
        <f>EXP(-LN(2)/25)*DG198+(1-EXP(-LN(2)/25))/(LN(2)/25)*Calculateur!DB199*Calculateur!DD199*VLOOKUP('Données projet'!$B$13,Paramètres!$A$1:$I$89,3,0)*0.475*44/12</f>
        <v>0.25474893983702412</v>
      </c>
      <c r="DH199" s="21">
        <f>EXP(-LN(2)/2)*DH198+(1-EXP(-LN(2)/2))/(LN(2)/2)*DB199*DE199*VLOOKUP('Données projet'!$B$13,Paramètres!$A$1:$I$89,3,0)*0.475*44/12</f>
        <v>2.9850090998509123E-24</v>
      </c>
      <c r="DI199" s="22">
        <f t="shared" si="175"/>
        <v>0.40098510014344979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-1.2505552149377763E-12</v>
      </c>
      <c r="O200" s="13">
        <f>N200*VLOOKUP('Données projet'!$B$9,Paramètres!$A$1:$I$89,3,0)*VLOOKUP('Données projet'!$B$9,Paramètres!$A$1:$I$89,5,0)</f>
        <v>-6.9906036515021697E-13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415.91544298418842</v>
      </c>
      <c r="T200" s="59">
        <f t="shared" si="204"/>
        <v>422.79312683312583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0.41813619510596806</v>
      </c>
      <c r="AA200" s="21">
        <f>EXP(-LN(2)/25)*AA199+(1-EXP(-LN(2)/25))/(LN(2)/25)*Calculateur!V200*Calculateur!X200*VLOOKUP('Données projet'!$B$9,Paramètres!$A$1:$I$89,3,0)*0.475*44/12</f>
        <v>0.37800434134046396</v>
      </c>
      <c r="AB200" s="21">
        <f>EXP(-LN(2)/2)*AB199+(1-EXP(-LN(2)/2))/(LN(2)/2)*V200*Y200*VLOOKUP('Données projet'!$B$9,Paramètres!$A$1:$I$89,3,0)*0.475*44/12</f>
        <v>2.6665740446407816E-24</v>
      </c>
      <c r="AC200" s="22">
        <f t="shared" si="163"/>
        <v>0.79614053644643201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-6.7984728957526396E-14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311.06126148520821</v>
      </c>
      <c r="AO200" s="59">
        <f t="shared" si="205"/>
        <v>321.1728368524748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0.12809288513922759</v>
      </c>
      <c r="AV200" s="21">
        <f>EXP(-LN(2)/25)*AV199+(1-EXP(-LN(2)/25))/(LN(2)/25)*Calculateur!AQ200*Calculateur!AS200*VLOOKUP('Données projet'!$B$10,Paramètres!$A$1:$I$89,3,0)*0.475*44/12</f>
        <v>0.20811736028237657</v>
      </c>
      <c r="AW200" s="21">
        <f>EXP(-LN(2)/2)*AW199+(1-EXP(-LN(2)/2))/(LN(2)/2)*AQ200*AT200*VLOOKUP('Données projet'!$B$10,Paramètres!$A$1:$I$89,3,0)*0.475*44/12</f>
        <v>2.2155715324343988E-24</v>
      </c>
      <c r="AX200" s="21">
        <f t="shared" si="166"/>
        <v>0.33621024542160416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-7.9580786405131221E-13</v>
      </c>
      <c r="BE200" s="13">
        <f>BD200*VLOOKUP('Données projet'!$B$11,Paramètres!$A$1:$I$89,3,0)*VLOOKUP('Données projet'!$B$11,Paramètres!$A$1:$I$89,5,0)</f>
        <v>-3.8278358260868117E-13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371.85813103419366</v>
      </c>
      <c r="BJ200" s="59">
        <f t="shared" si="206"/>
        <v>370.01698880104584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1.0176779371585314</v>
      </c>
      <c r="BQ200" s="21">
        <f>EXP(-LN(2)/25)*BQ199+(1-EXP(-LN(2)/25))/(LN(2)/25)*Calculateur!BL200*Calculateur!BN200*VLOOKUP('Données projet'!$B$11,Paramètres!$A$1:$I$89,3,0)*0.475*44/12</f>
        <v>0.43975043367376138</v>
      </c>
      <c r="BR200" s="21">
        <f>EXP(-LN(2)/2)*BR199+(1-EXP(-LN(2)/2))/(LN(2)/2)*BL200*BO200*VLOOKUP('Données projet'!$B$11,Paramètres!$A$1:$I$89,3,0)*0.475*44/12</f>
        <v>6.4677603463857399E-23</v>
      </c>
      <c r="BS200" s="22">
        <f t="shared" si="169"/>
        <v>1.4574283708322928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5.6843418860808015E-13</v>
      </c>
      <c r="BZ200" s="13">
        <f>BY200*VLOOKUP('Données projet'!$B$12,Paramètres!$A$1:$I$89,3,0)*VLOOKUP('Données projet'!$B$12,Paramètres!$A$1:$I$89,5,0)</f>
        <v>3.1036506698001181E-13</v>
      </c>
      <c r="CA200" s="13">
        <f t="shared" si="170"/>
        <v>4.086682523110923E-12</v>
      </c>
      <c r="CB200" s="20">
        <f t="shared" si="171"/>
        <v>7.6581912194083782E-12</v>
      </c>
      <c r="CC200" s="59">
        <f t="shared" si="195"/>
        <v>293.33333333334099</v>
      </c>
      <c r="CD200" s="59">
        <f ca="1">AVERAGE(OFFSET($CC$3,0,0,'Données projet'!$E$12+1,1))-AVERAGE(OFFSET($H$3,0,0,'Données projet'!$E$12+1,1))</f>
        <v>248.1486444660062</v>
      </c>
      <c r="CE200" s="59">
        <f t="shared" si="207"/>
        <v>293.34458072322127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0.31187832903464074</v>
      </c>
      <c r="CL200" s="21">
        <f>EXP(-LN(2)/25)*CL199+(1-EXP(-LN(2)/25))/(LN(2)/25)*Calculateur!CG200*Calculateur!CI200*VLOOKUP('Données projet'!$B$12,Paramètres!$A$1:$I$89,3,0)*0.475*44/12</f>
        <v>0.3319558618949599</v>
      </c>
      <c r="CM200" s="21">
        <f>EXP(-LN(2)/2)*CM199+(1-EXP(-LN(2)/2))/(LN(2)/2)*CG200*CJ200*VLOOKUP('Données projet'!$B$12,Paramètres!$A$1:$I$89,3,0)*0.475*44/12</f>
        <v>1.8411659325618697E-24</v>
      </c>
      <c r="CN200" s="22">
        <f t="shared" si="172"/>
        <v>0.64383419092960059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-2.2737367544323206E-13</v>
      </c>
      <c r="CU200" s="17">
        <f>CT200*VLOOKUP('Données projet'!$B$13,Paramètres!$A$1:$I$89,3,0)*VLOOKUP('Données projet'!$B$13,Paramètres!$A$1:$I$89,5,0)</f>
        <v>-1.8089849618263545E-13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314.94704727988847</v>
      </c>
      <c r="CZ200" s="59">
        <f t="shared" si="208"/>
        <v>366.49199094166454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0.14336855839806711</v>
      </c>
      <c r="DG200" s="21">
        <f>EXP(-LN(2)/25)*DG199+(1-EXP(-LN(2)/25))/(LN(2)/25)*Calculateur!DB200*Calculateur!DD200*VLOOKUP('Données projet'!$B$13,Paramètres!$A$1:$I$89,3,0)*0.475*44/12</f>
        <v>0.24778281668051619</v>
      </c>
      <c r="DH200" s="21">
        <f>EXP(-LN(2)/2)*DH199+(1-EXP(-LN(2)/2))/(LN(2)/2)*DB200*DE200*VLOOKUP('Données projet'!$B$13,Paramètres!$A$1:$I$89,3,0)*0.475*44/12</f>
        <v>2.1107201764081322E-24</v>
      </c>
      <c r="DI200" s="22">
        <f t="shared" si="175"/>
        <v>0.39115137507858333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-1.2505552149377763E-12</v>
      </c>
      <c r="O201" s="13">
        <f>N201*VLOOKUP('Données projet'!$B$9,Paramètres!$A$1:$I$89,3,0)*VLOOKUP('Données projet'!$B$9,Paramètres!$A$1:$I$89,5,0)</f>
        <v>-6.9906036515021697E-13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415.91544298418842</v>
      </c>
      <c r="T201" s="59">
        <f t="shared" si="204"/>
        <v>422.79312683312583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0.40993679935783611</v>
      </c>
      <c r="AA201" s="21">
        <f>EXP(-LN(2)/25)*AA200+(1-EXP(-LN(2)/25))/(LN(2)/25)*Calculateur!V201*Calculateur!X201*VLOOKUP('Données projet'!$B$9,Paramètres!$A$1:$I$89,3,0)*0.475*44/12</f>
        <v>0.36766779274812461</v>
      </c>
      <c r="AB201" s="21">
        <f>EXP(-LN(2)/2)*AB200+(1-EXP(-LN(2)/2))/(LN(2)/2)*V201*Y201*VLOOKUP('Données projet'!$B$9,Paramètres!$A$1:$I$89,3,0)*0.475*44/12</f>
        <v>1.8855525895015361E-24</v>
      </c>
      <c r="AC201" s="22">
        <f t="shared" si="163"/>
        <v>0.77760459210596067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-6.7984728957526396E-14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311.06126148520821</v>
      </c>
      <c r="AO201" s="59">
        <f t="shared" si="205"/>
        <v>321.1728368524748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0.12558106179059267</v>
      </c>
      <c r="AV201" s="21">
        <f>EXP(-LN(2)/25)*AV200+(1-EXP(-LN(2)/25))/(LN(2)/25)*Calculateur!AQ201*Calculateur!AS201*VLOOKUP('Données projet'!$B$10,Paramètres!$A$1:$I$89,3,0)*0.475*44/12</f>
        <v>0.20242638012103867</v>
      </c>
      <c r="AW201" s="21">
        <f>EXP(-LN(2)/2)*AW200+(1-EXP(-LN(2)/2))/(LN(2)/2)*AQ201*AT201*VLOOKUP('Données projet'!$B$10,Paramètres!$A$1:$I$89,3,0)*0.475*44/12</f>
        <v>1.5666456547882342E-24</v>
      </c>
      <c r="AX201" s="21">
        <f t="shared" si="166"/>
        <v>0.32800744191163134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-7.9580786405131221E-13</v>
      </c>
      <c r="BE201" s="13">
        <f>BD201*VLOOKUP('Données projet'!$B$11,Paramètres!$A$1:$I$89,3,0)*VLOOKUP('Données projet'!$B$11,Paramètres!$A$1:$I$89,5,0)</f>
        <v>-3.8278358260868117E-13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371.85813103419366</v>
      </c>
      <c r="BJ201" s="59">
        <f t="shared" si="206"/>
        <v>370.01698880104584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0.99772189353310303</v>
      </c>
      <c r="BQ201" s="21">
        <f>EXP(-LN(2)/25)*BQ200+(1-EXP(-LN(2)/25))/(LN(2)/25)*Calculateur!BL201*Calculateur!BN201*VLOOKUP('Données projet'!$B$11,Paramètres!$A$1:$I$89,3,0)*0.475*44/12</f>
        <v>0.42772543493948212</v>
      </c>
      <c r="BR201" s="21">
        <f>EXP(-LN(2)/2)*BR200+(1-EXP(-LN(2)/2))/(LN(2)/2)*BL201*BO201*VLOOKUP('Données projet'!$B$11,Paramètres!$A$1:$I$89,3,0)*0.475*44/12</f>
        <v>4.5733972000188103E-23</v>
      </c>
      <c r="BS201" s="22">
        <f t="shared" si="169"/>
        <v>1.4254473284725853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5.6843418860808015E-13</v>
      </c>
      <c r="BZ201" s="13">
        <f>BY201*VLOOKUP('Données projet'!$B$12,Paramètres!$A$1:$I$89,3,0)*VLOOKUP('Données projet'!$B$12,Paramètres!$A$1:$I$89,5,0)</f>
        <v>3.1036506698001181E-13</v>
      </c>
      <c r="CA201" s="13">
        <f t="shared" si="170"/>
        <v>4.086682523110923E-12</v>
      </c>
      <c r="CB201" s="20">
        <f t="shared" si="171"/>
        <v>7.6581912194083782E-12</v>
      </c>
      <c r="CC201" s="59">
        <f t="shared" si="195"/>
        <v>293.33333333334099</v>
      </c>
      <c r="CD201" s="59">
        <f ca="1">AVERAGE(OFFSET($CC$3,0,0,'Données projet'!$E$12+1,1))-AVERAGE(OFFSET($H$3,0,0,'Données projet'!$E$12+1,1))</f>
        <v>248.1486444660062</v>
      </c>
      <c r="CE201" s="59">
        <f t="shared" si="207"/>
        <v>293.34458072322127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0.3057625852292688</v>
      </c>
      <c r="CL201" s="21">
        <f>EXP(-LN(2)/25)*CL200+(1-EXP(-LN(2)/25))/(LN(2)/25)*Calculateur!CG201*Calculateur!CI201*VLOOKUP('Données projet'!$B$12,Paramètres!$A$1:$I$89,3,0)*0.475*44/12</f>
        <v>0.32287851139464213</v>
      </c>
      <c r="CM201" s="21">
        <f>EXP(-LN(2)/2)*CM200+(1-EXP(-LN(2)/2))/(LN(2)/2)*CG201*CJ201*VLOOKUP('Données projet'!$B$12,Paramètres!$A$1:$I$89,3,0)*0.475*44/12</f>
        <v>1.3019009162041517E-24</v>
      </c>
      <c r="CN201" s="22">
        <f t="shared" si="172"/>
        <v>0.62864109662391088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-2.2737367544323206E-13</v>
      </c>
      <c r="CU201" s="17">
        <f>CT201*VLOOKUP('Données projet'!$B$13,Paramètres!$A$1:$I$89,3,0)*VLOOKUP('Données projet'!$B$13,Paramètres!$A$1:$I$89,5,0)</f>
        <v>-1.8089849618263545E-13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314.94704727988847</v>
      </c>
      <c r="CZ201" s="59">
        <f t="shared" si="208"/>
        <v>366.49199094166454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0.14055718841406706</v>
      </c>
      <c r="DG201" s="21">
        <f>EXP(-LN(2)/25)*DG200+(1-EXP(-LN(2)/25))/(LN(2)/25)*Calculateur!DB201*Calculateur!DD201*VLOOKUP('Données projet'!$B$13,Paramètres!$A$1:$I$89,3,0)*0.475*44/12</f>
        <v>0.24100718252805545</v>
      </c>
      <c r="DH201" s="21">
        <f>EXP(-LN(2)/2)*DH200+(1-EXP(-LN(2)/2))/(LN(2)/2)*DB201*DE201*VLOOKUP('Données projet'!$B$13,Paramètres!$A$1:$I$89,3,0)*0.475*44/12</f>
        <v>1.4925045499254561E-24</v>
      </c>
      <c r="DI201" s="22">
        <f t="shared" si="175"/>
        <v>0.38156437094212248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-1.2505552149377763E-12</v>
      </c>
      <c r="O202" s="13">
        <f>N202*VLOOKUP('Données projet'!$B$9,Paramètres!$A$1:$I$89,3,0)*VLOOKUP('Données projet'!$B$9,Paramètres!$A$1:$I$89,5,0)</f>
        <v>-6.9906036515021697E-13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415.91544298418842</v>
      </c>
      <c r="T202" s="59">
        <f t="shared" si="204"/>
        <v>422.79312683312583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0.40189818875918748</v>
      </c>
      <c r="AA202" s="21">
        <f>EXP(-LN(2)/25)*AA201+(1-EXP(-LN(2)/25))/(LN(2)/25)*Calculateur!V202*Calculateur!X202*VLOOKUP('Données projet'!$B$9,Paramètres!$A$1:$I$89,3,0)*0.475*44/12</f>
        <v>0.35761389762061824</v>
      </c>
      <c r="AB202" s="21">
        <f>EXP(-LN(2)/2)*AB201+(1-EXP(-LN(2)/2))/(LN(2)/2)*V202*Y202*VLOOKUP('Données projet'!$B$9,Paramètres!$A$1:$I$89,3,0)*0.475*44/12</f>
        <v>1.3332870223203908E-24</v>
      </c>
      <c r="AC202" s="22">
        <f t="shared" si="163"/>
        <v>0.75951208637980572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-6.7984728957526396E-14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311.06126148520821</v>
      </c>
      <c r="AO202" s="59">
        <f t="shared" si="205"/>
        <v>321.1728368524748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0.12311849376576352</v>
      </c>
      <c r="AV202" s="21">
        <f>EXP(-LN(2)/25)*AV201+(1-EXP(-LN(2)/25))/(LN(2)/25)*Calculateur!AQ202*Calculateur!AS202*VLOOKUP('Données projet'!$B$10,Paramètres!$A$1:$I$89,3,0)*0.475*44/12</f>
        <v>0.19689102011148818</v>
      </c>
      <c r="AW202" s="21">
        <f>EXP(-LN(2)/2)*AW201+(1-EXP(-LN(2)/2))/(LN(2)/2)*AQ202*AT202*VLOOKUP('Données projet'!$B$10,Paramètres!$A$1:$I$89,3,0)*0.475*44/12</f>
        <v>1.1077857662171994E-24</v>
      </c>
      <c r="AX202" s="21">
        <f t="shared" si="166"/>
        <v>0.32000951387725168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-7.9580786405131221E-13</v>
      </c>
      <c r="BE202" s="13">
        <f>BD202*VLOOKUP('Données projet'!$B$11,Paramètres!$A$1:$I$89,3,0)*VLOOKUP('Données projet'!$B$11,Paramètres!$A$1:$I$89,5,0)</f>
        <v>-3.8278358260868117E-13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371.85813103419366</v>
      </c>
      <c r="BJ202" s="59">
        <f t="shared" si="206"/>
        <v>370.01698880104584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0.97815717575118455</v>
      </c>
      <c r="BQ202" s="21">
        <f>EXP(-LN(2)/25)*BQ201+(1-EXP(-LN(2)/25))/(LN(2)/25)*Calculateur!BL202*Calculateur!BN202*VLOOKUP('Données projet'!$B$11,Paramètres!$A$1:$I$89,3,0)*0.475*44/12</f>
        <v>0.41602926042795896</v>
      </c>
      <c r="BR202" s="21">
        <f>EXP(-LN(2)/2)*BR201+(1-EXP(-LN(2)/2))/(LN(2)/2)*BL202*BO202*VLOOKUP('Données projet'!$B$11,Paramètres!$A$1:$I$89,3,0)*0.475*44/12</f>
        <v>3.23388017319287E-23</v>
      </c>
      <c r="BS202" s="22">
        <f t="shared" si="169"/>
        <v>1.3941864361791434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5.6843418860808015E-13</v>
      </c>
      <c r="BZ202" s="13">
        <f>BY202*VLOOKUP('Données projet'!$B$12,Paramètres!$A$1:$I$89,3,0)*VLOOKUP('Données projet'!$B$12,Paramètres!$A$1:$I$89,5,0)</f>
        <v>3.1036506698001181E-13</v>
      </c>
      <c r="CA202" s="13">
        <f t="shared" si="170"/>
        <v>4.086682523110923E-12</v>
      </c>
      <c r="CB202" s="20">
        <f t="shared" si="171"/>
        <v>7.6581912194083782E-12</v>
      </c>
      <c r="CC202" s="59">
        <f t="shared" si="195"/>
        <v>293.33333333334099</v>
      </c>
      <c r="CD202" s="59">
        <f ca="1">AVERAGE(OFFSET($CC$3,0,0,'Données projet'!$E$12+1,1))-AVERAGE(OFFSET($H$3,0,0,'Données projet'!$E$12+1,1))</f>
        <v>248.1486444660062</v>
      </c>
      <c r="CE202" s="59">
        <f t="shared" si="207"/>
        <v>293.34458072322127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0.29976676742968478</v>
      </c>
      <c r="CL202" s="21">
        <f>EXP(-LN(2)/25)*CL201+(1-EXP(-LN(2)/25))/(LN(2)/25)*Calculateur!CG202*Calculateur!CI202*VLOOKUP('Données projet'!$B$12,Paramètres!$A$1:$I$89,3,0)*0.475*44/12</f>
        <v>0.31404938152111267</v>
      </c>
      <c r="CM202" s="21">
        <f>EXP(-LN(2)/2)*CM201+(1-EXP(-LN(2)/2))/(LN(2)/2)*CG202*CJ202*VLOOKUP('Données projet'!$B$12,Paramètres!$A$1:$I$89,3,0)*0.475*44/12</f>
        <v>9.2058296628093487E-25</v>
      </c>
      <c r="CN202" s="22">
        <f t="shared" si="172"/>
        <v>0.61381614895079739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-2.2737367544323206E-13</v>
      </c>
      <c r="CU202" s="17">
        <f>CT202*VLOOKUP('Données projet'!$B$13,Paramètres!$A$1:$I$89,3,0)*VLOOKUP('Données projet'!$B$13,Paramètres!$A$1:$I$89,5,0)</f>
        <v>-1.8089849618263545E-13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314.94704727988847</v>
      </c>
      <c r="CZ202" s="59">
        <f t="shared" si="208"/>
        <v>366.49199094166454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0.13780094768068685</v>
      </c>
      <c r="DG202" s="21">
        <f>EXP(-LN(2)/25)*DG201+(1-EXP(-LN(2)/25))/(LN(2)/25)*Calculateur!DB202*Calculateur!DD202*VLOOKUP('Données projet'!$B$13,Paramètres!$A$1:$I$89,3,0)*0.475*44/12</f>
        <v>0.23441682844780887</v>
      </c>
      <c r="DH202" s="21">
        <f>EXP(-LN(2)/2)*DH201+(1-EXP(-LN(2)/2))/(LN(2)/2)*DB202*DE202*VLOOKUP('Données projet'!$B$13,Paramètres!$A$1:$I$89,3,0)*0.475*44/12</f>
        <v>1.0553600882040661E-24</v>
      </c>
      <c r="DI202" s="22">
        <f t="shared" si="175"/>
        <v>0.37221777612849571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-1.2505552149377763E-12</v>
      </c>
      <c r="O203" s="13">
        <f>N203*VLOOKUP('Données projet'!$B$9,Paramètres!$A$1:$I$89,3,0)*VLOOKUP('Données projet'!$B$9,Paramètres!$A$1:$I$89,5,0)</f>
        <v>-6.9906036515021697E-13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415.91544298418842</v>
      </c>
      <c r="T203" s="59">
        <f t="shared" si="204"/>
        <v>422.79312683312583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0.39401721041130999</v>
      </c>
      <c r="AA203" s="21">
        <f>EXP(-LN(2)/25)*AA202+(1-EXP(-LN(2)/25))/(LN(2)/25)*Calculateur!V203*Calculateur!X203*VLOOKUP('Données projet'!$B$9,Paramètres!$A$1:$I$89,3,0)*0.475*44/12</f>
        <v>0.3478349267840849</v>
      </c>
      <c r="AB203" s="21">
        <f>EXP(-LN(2)/2)*AB202+(1-EXP(-LN(2)/2))/(LN(2)/2)*V203*Y203*VLOOKUP('Données projet'!$B$9,Paramètres!$A$1:$I$89,3,0)*0.475*44/12</f>
        <v>9.4277629475076806E-25</v>
      </c>
      <c r="AC203" s="22">
        <f t="shared" si="163"/>
        <v>0.74185213719539489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-6.7984728957526396E-14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311.06126148520821</v>
      </c>
      <c r="AO203" s="59">
        <f t="shared" si="205"/>
        <v>321.1728368524748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0.12070421519788309</v>
      </c>
      <c r="AV203" s="21">
        <f>EXP(-LN(2)/25)*AV202+(1-EXP(-LN(2)/25))/(LN(2)/25)*Calculateur!AQ203*Calculateur!AS203*VLOOKUP('Données projet'!$B$10,Paramètres!$A$1:$I$89,3,0)*0.475*44/12</f>
        <v>0.19150702481249079</v>
      </c>
      <c r="AW203" s="21">
        <f>EXP(-LN(2)/2)*AW202+(1-EXP(-LN(2)/2))/(LN(2)/2)*AQ203*AT203*VLOOKUP('Données projet'!$B$10,Paramètres!$A$1:$I$89,3,0)*0.475*44/12</f>
        <v>7.8332282739411711E-25</v>
      </c>
      <c r="AX203" s="21">
        <f t="shared" si="166"/>
        <v>0.31221124001037387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-7.9580786405131221E-13</v>
      </c>
      <c r="BE203" s="13">
        <f>BD203*VLOOKUP('Données projet'!$B$11,Paramètres!$A$1:$I$89,3,0)*VLOOKUP('Données projet'!$B$11,Paramètres!$A$1:$I$89,5,0)</f>
        <v>-3.8278358260868117E-13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371.85813103419366</v>
      </c>
      <c r="BJ203" s="59">
        <f t="shared" si="206"/>
        <v>370.01698880104584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0.95897611015166995</v>
      </c>
      <c r="BQ203" s="21">
        <f>EXP(-LN(2)/25)*BQ202+(1-EXP(-LN(2)/25))/(LN(2)/25)*Calculateur!BL203*Calculateur!BN203*VLOOKUP('Données projet'!$B$11,Paramètres!$A$1:$I$89,3,0)*0.475*44/12</f>
        <v>0.40465291842352846</v>
      </c>
      <c r="BR203" s="21">
        <f>EXP(-LN(2)/2)*BR202+(1-EXP(-LN(2)/2))/(LN(2)/2)*BL203*BO203*VLOOKUP('Données projet'!$B$11,Paramètres!$A$1:$I$89,3,0)*0.475*44/12</f>
        <v>2.2866986000094051E-23</v>
      </c>
      <c r="BS203" s="22">
        <f t="shared" si="169"/>
        <v>1.3636290285751984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5.6843418860808015E-13</v>
      </c>
      <c r="BZ203" s="13">
        <f>BY203*VLOOKUP('Données projet'!$B$12,Paramètres!$A$1:$I$89,3,0)*VLOOKUP('Données projet'!$B$12,Paramètres!$A$1:$I$89,5,0)</f>
        <v>3.1036506698001181E-13</v>
      </c>
      <c r="CA203" s="13">
        <f t="shared" si="170"/>
        <v>4.086682523110923E-12</v>
      </c>
      <c r="CB203" s="20">
        <f t="shared" si="171"/>
        <v>7.6581912194083782E-12</v>
      </c>
      <c r="CC203" s="59">
        <f t="shared" si="195"/>
        <v>293.33333333334099</v>
      </c>
      <c r="CD203" s="59">
        <f ca="1">AVERAGE(OFFSET($CC$3,0,0,'Données projet'!$E$12+1,1))-AVERAGE(OFFSET($H$3,0,0,'Données projet'!$E$12+1,1))</f>
        <v>248.1486444660062</v>
      </c>
      <c r="CE203" s="59">
        <f t="shared" si="207"/>
        <v>293.34458072322127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0.29388852396006288</v>
      </c>
      <c r="CL203" s="21">
        <f>EXP(-LN(2)/25)*CL202+(1-EXP(-LN(2)/25))/(LN(2)/25)*Calculateur!CG203*Calculateur!CI203*VLOOKUP('Données projet'!$B$12,Paramètres!$A$1:$I$89,3,0)*0.475*44/12</f>
        <v>0.30546168466827867</v>
      </c>
      <c r="CM203" s="21">
        <f>EXP(-LN(2)/2)*CM202+(1-EXP(-LN(2)/2))/(LN(2)/2)*CG203*CJ203*VLOOKUP('Données projet'!$B$12,Paramètres!$A$1:$I$89,3,0)*0.475*44/12</f>
        <v>6.5095045810207587E-25</v>
      </c>
      <c r="CN203" s="22">
        <f t="shared" si="172"/>
        <v>0.59935020862834154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-2.2737367544323206E-13</v>
      </c>
      <c r="CU203" s="17">
        <f>CT203*VLOOKUP('Données projet'!$B$13,Paramètres!$A$1:$I$89,3,0)*VLOOKUP('Données projet'!$B$13,Paramètres!$A$1:$I$89,5,0)</f>
        <v>-1.8089849618263545E-13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314.94704727988847</v>
      </c>
      <c r="CZ203" s="59">
        <f t="shared" si="208"/>
        <v>366.49199094166454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0.13509875514694739</v>
      </c>
      <c r="DG203" s="21">
        <f>EXP(-LN(2)/25)*DG202+(1-EXP(-LN(2)/25))/(LN(2)/25)*Calculateur!DB203*Calculateur!DD203*VLOOKUP('Données projet'!$B$13,Paramètres!$A$1:$I$89,3,0)*0.475*44/12</f>
        <v>0.22800668794645829</v>
      </c>
      <c r="DH203" s="21">
        <f>EXP(-LN(2)/2)*DH202+(1-EXP(-LN(2)/2))/(LN(2)/2)*DB203*DE203*VLOOKUP('Données projet'!$B$13,Paramètres!$A$1:$I$89,3,0)*0.475*44/12</f>
        <v>7.4625227496272807E-25</v>
      </c>
      <c r="DI203" s="22">
        <f t="shared" si="175"/>
        <v>0.36310544309340564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1.3903891703159093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1.2855594921550282</v>
      </c>
      <c r="BA205" s="82">
        <f>EXP(LN('Données projet'!B88)/'Données projet'!A88)</f>
        <v>1.2872302285303792</v>
      </c>
      <c r="BV205" s="82">
        <f>EXP(LN('Données projet'!B114)/'Données projet'!A114)</f>
        <v>1.4816888666071193</v>
      </c>
      <c r="CQ205" s="82">
        <f>EXP(LN('Données projet'!B140)/'Données projet'!A140)</f>
        <v>1.3423796509621049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Douglas</v>
      </c>
      <c r="B6" s="146">
        <f>'Données projet'!D9</f>
        <v>8.5582999999999991</v>
      </c>
      <c r="C6" s="147">
        <f ca="1">IF(OR('Données projet'!B9="",'Données projet'!C9="",'Données projet'!C9=0%),0,Calculateur!S3)</f>
        <v>415.91544298418842</v>
      </c>
      <c r="D6" s="147">
        <f>IF(OR('Données projet'!B9="",'Données projet'!C9="",'Données projet'!C9=0%),0,Calculateur!T3)</f>
        <v>422.79312683312583</v>
      </c>
      <c r="E6" s="147">
        <f ca="1">MIN(C6,D6)</f>
        <v>415.91544298418842</v>
      </c>
      <c r="F6" s="147">
        <f ca="1">E6*B6</f>
        <v>3559.5291356915795</v>
      </c>
      <c r="G6" s="147">
        <f ca="1">F6*(100%-'Données projet'!$C$24)*(100%-'Données projet'!$C$25)*(100%-'Données projet'!$C$26)*(100%-'Données projet'!$C$27)</f>
        <v>3203.5762221224218</v>
      </c>
      <c r="H6" s="148">
        <f>IF(OR('Données projet'!B9="",'Données projet'!C9="",'Données projet'!C9=0%),0,AVERAGE(Calculateur!$AC$3:$AC$33)*B6)</f>
        <v>105.61729962013611</v>
      </c>
      <c r="I6" s="149">
        <f>H6*(100%-'Données projet'!$C$24)*(100%-'Données projet'!$C$25)*(100%-'Données projet'!$C$26)*(100%-'Données projet'!$C$27)</f>
        <v>95.055569658122494</v>
      </c>
      <c r="J6" s="150">
        <f>IF(OR('Données projet'!B9="",'Données projet'!C9="",'Données projet'!C9=0%),0,SUM(Calculateur!$V$3:$V$33)*VLOOKUP('Données projet'!$B$9,Paramètres!$A$1:$I$89,9,0)*B6)</f>
        <v>897.93683599999997</v>
      </c>
      <c r="K6" s="151">
        <f>J6*(100%-'Données projet'!$C$24)*(100%-'Données projet'!$C$25)*(100%-'Données projet'!$C$26)*(100%-'Données projet'!$C$27)</f>
        <v>808.14315239999996</v>
      </c>
      <c r="L6" s="152">
        <f ca="1">G6+I6+K6</f>
        <v>4106.7749441805445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Pin laricio</v>
      </c>
      <c r="B7" s="154">
        <f>'Données projet'!D10</f>
        <v>1.6835999999999998</v>
      </c>
      <c r="C7" s="147">
        <f ca="1">IF(OR('Données projet'!B10="",'Données projet'!C10="",'Données projet'!C10=0%),0,Calculateur!AN3)</f>
        <v>311.06126148520821</v>
      </c>
      <c r="D7" s="147">
        <f>IF(OR('Données projet'!B10="",'Données projet'!C10="",'Données projet'!C10=0%),0,Calculateur!AO3)</f>
        <v>321.1728368524748</v>
      </c>
      <c r="E7" s="147">
        <f t="shared" ref="E7:E15" ca="1" si="0">MIN(C7,D7)</f>
        <v>311.06126148520821</v>
      </c>
      <c r="F7" s="147">
        <f t="shared" ref="F7:F15" ca="1" si="1">E7*B7</f>
        <v>523.70273983649645</v>
      </c>
      <c r="G7" s="147">
        <f ca="1">F7*(100%-'Données projet'!$C$24)*(100%-'Données projet'!$C$25)*(100%-'Données projet'!$C$26)*(100%-'Données projet'!$C$27)</f>
        <v>471.33246585284684</v>
      </c>
      <c r="H7" s="155">
        <f>IF(OR('Données projet'!B10="",'Données projet'!C10="",'Données projet'!C10=0%),0,AVERAGE(Calculateur!$AX$3:$AX$33)*B7)</f>
        <v>9.1398061117801728</v>
      </c>
      <c r="I7" s="149">
        <f>H7*(100%-'Données projet'!$C$24)*(100%-'Données projet'!$C$25)*(100%-'Données projet'!$C$26)*(100%-'Données projet'!$C$27)</f>
        <v>8.2258255006021557</v>
      </c>
      <c r="J7" s="150">
        <f>IF(OR('Données projet'!B10="",'Données projet'!C10="",'Données projet'!C10=0%),0,SUM(Calculateur!$AQ$3:$AQ$33)*VLOOKUP('Données projet'!$B$10,Paramètres!$A$1:$I$89,9,0)*B7)</f>
        <v>101.35271999999998</v>
      </c>
      <c r="K7" s="151">
        <f>J7*(100%-'Données projet'!$C$24)*(100%-'Données projet'!$C$25)*(100%-'Données projet'!$C$26)*(100%-'Données projet'!$C$27)</f>
        <v>91.217447999999976</v>
      </c>
      <c r="L7" s="152">
        <f t="shared" ref="L7:L15" ca="1" si="2">G7+I7+K7</f>
        <v>570.77573935344901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Sapin méditerranéen</v>
      </c>
      <c r="B8" s="154">
        <f>'Données projet'!D11</f>
        <v>2.6656999999999997</v>
      </c>
      <c r="C8" s="147">
        <f ca="1">IF(OR('Données projet'!B11="",'Données projet'!C11="",'Données projet'!C11=0%),0,Calculateur!BI3)</f>
        <v>371.85813103419366</v>
      </c>
      <c r="D8" s="147">
        <f>IF(OR('Données projet'!B11="",'Données projet'!C11="",'Données projet'!C11=0%),0,Calculateur!BJ3)</f>
        <v>370.01698880104584</v>
      </c>
      <c r="E8" s="147">
        <f t="shared" ca="1" si="0"/>
        <v>370.01698880104584</v>
      </c>
      <c r="F8" s="147">
        <f t="shared" ca="1" si="1"/>
        <v>986.35428704694777</v>
      </c>
      <c r="G8" s="147">
        <f ca="1">F8*(100%-'Données projet'!$C$24)*(100%-'Données projet'!$C$25)*(100%-'Données projet'!$C$26)*(100%-'Données projet'!$C$27)</f>
        <v>887.71885834225304</v>
      </c>
      <c r="H8" s="155">
        <f>IF(OR('Données projet'!B11="",'Données projet'!C11="",'Données projet'!C11=0%),0,AVERAGE(Calculateur!$BS$3:$BS$33)*B8)</f>
        <v>10.049192313734062</v>
      </c>
      <c r="I8" s="149">
        <f>H8*(100%-'Données projet'!$C$24)*(100%-'Données projet'!$C$25)*(100%-'Données projet'!$C$26)*(100%-'Données projet'!$C$27)</f>
        <v>9.0442730823606556</v>
      </c>
      <c r="J8" s="150">
        <f>IF(OR('Données projet'!B11="",'Données projet'!C11="",'Données projet'!C11=0%),0,SUM(Calculateur!$BL$3:$BL$33)*VLOOKUP('Données projet'!$B$11,Paramètres!$A$1:$I$89,9,0)*B8)</f>
        <v>185.69266199999998</v>
      </c>
      <c r="K8" s="151">
        <f>J8*(100%-'Données projet'!$C$24)*(100%-'Données projet'!$C$25)*(100%-'Données projet'!$C$26)*(100%-'Données projet'!$C$27)</f>
        <v>167.1233958</v>
      </c>
      <c r="L8" s="152">
        <f t="shared" ca="1" si="2"/>
        <v>1063.8865272246137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Mélèze hybride</v>
      </c>
      <c r="B9" s="154">
        <f>'Données projet'!D12</f>
        <v>0.70150000000000001</v>
      </c>
      <c r="C9" s="147">
        <f ca="1">IF(OR('Données projet'!B12="",'Données projet'!C12="",'Données projet'!C12=0%),0,Calculateur!CD3)</f>
        <v>248.1486444660062</v>
      </c>
      <c r="D9" s="147">
        <f>IF(OR('Données projet'!B12="",'Données projet'!C12="",'Données projet'!C12=0%),0,Calculateur!CE3)</f>
        <v>293.34458072322127</v>
      </c>
      <c r="E9" s="147">
        <f t="shared" ca="1" si="0"/>
        <v>248.1486444660062</v>
      </c>
      <c r="F9" s="147">
        <f t="shared" ca="1" si="1"/>
        <v>174.07627409290336</v>
      </c>
      <c r="G9" s="147">
        <f ca="1">F9*(100%-'Données projet'!$C$24)*(100%-'Données projet'!$C$25)*(100%-'Données projet'!$C$26)*(100%-'Données projet'!$C$27)</f>
        <v>156.66864668361302</v>
      </c>
      <c r="H9" s="155">
        <f>IF(OR('Données projet'!B12="",'Données projet'!C12="",'Données projet'!C12=0%),0,AVERAGE(Calculateur!$CN$3:$CN$33)*B9)</f>
        <v>8.8510473387407274</v>
      </c>
      <c r="I9" s="149">
        <f>H9*(100%-'Données projet'!$C$24)*(100%-'Données projet'!$C$25)*(100%-'Données projet'!$C$26)*(100%-'Données projet'!$C$27)</f>
        <v>7.9659426048666546</v>
      </c>
      <c r="J9" s="150">
        <f>IF(OR('Données projet'!B12="",'Données projet'!C12="",'Données projet'!C12=0%),0,SUM(Calculateur!$CG$3:$CG$33)*VLOOKUP('Données projet'!$B$12,Paramètres!$A$1:$I$89,9,0)*B9)</f>
        <v>61.535580000000003</v>
      </c>
      <c r="K9" s="151">
        <f>J9*(100%-'Données projet'!$C$24)*(100%-'Données projet'!$C$25)*(100%-'Données projet'!$C$26)*(100%-'Données projet'!$C$27)</f>
        <v>55.382022000000006</v>
      </c>
      <c r="L9" s="152">
        <f t="shared" ca="1" si="2"/>
        <v>220.01661128847968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Erable sycomore</v>
      </c>
      <c r="B10" s="154">
        <f>'Données projet'!D13</f>
        <v>0.42089999999999994</v>
      </c>
      <c r="C10" s="147">
        <f ca="1">IF(OR('Données projet'!B13="",'Données projet'!C13="",'Données projet'!C13=0%),0,Calculateur!CY3)</f>
        <v>314.94704727988847</v>
      </c>
      <c r="D10" s="147">
        <f>IF(OR('Données projet'!B13="",'Données projet'!C13="",'Données projet'!C13=0%),0,Calculateur!CZ3)</f>
        <v>366.49199094166454</v>
      </c>
      <c r="E10" s="147">
        <f t="shared" ca="1" si="0"/>
        <v>314.94704727988847</v>
      </c>
      <c r="F10" s="147">
        <f t="shared" ca="1" si="1"/>
        <v>132.56121220010505</v>
      </c>
      <c r="G10" s="147">
        <f ca="1">F10*(100%-'Données projet'!$C$24)*(100%-'Données projet'!$C$25)*(100%-'Données projet'!$C$26)*(100%-'Données projet'!$C$27)</f>
        <v>119.30509098009455</v>
      </c>
      <c r="H10" s="155">
        <f>IF(OR('Données projet'!B13="",'Données projet'!C13="",'Données projet'!C13=0%),0,AVERAGE(Calculateur!$DI$3:$DI$33)*B10)</f>
        <v>2.9028634582402479</v>
      </c>
      <c r="I10" s="149">
        <f>H10*(100%-'Données projet'!$C$24)*(100%-'Données projet'!$C$25)*(100%-'Données projet'!$C$26)*(100%-'Données projet'!$C$27)</f>
        <v>2.6125771124162234</v>
      </c>
      <c r="J10" s="150">
        <f>IF(OR('Données projet'!B13="",'Données projet'!C13="",'Données projet'!C13=0%),0,SUM(Calculateur!$DB$3:$DB$33)*VLOOKUP('Données projet'!$B$13,Paramètres!$A$1:$I$89,9,0)*B10)</f>
        <v>18.414374999999996</v>
      </c>
      <c r="K10" s="151">
        <f>J10*(100%-'Données projet'!$C$24)*(100%-'Données projet'!$C$25)*(100%-'Données projet'!$C$26)*(100%-'Données projet'!$C$27)</f>
        <v>16.572937499999998</v>
      </c>
      <c r="L10" s="152">
        <f t="shared" ca="1" si="2"/>
        <v>138.49060559251078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5376.2236488680319</v>
      </c>
      <c r="G16" s="166">
        <f t="shared" ca="1" si="3"/>
        <v>4838.6012839812292</v>
      </c>
      <c r="H16" s="167">
        <f t="shared" si="3"/>
        <v>136.56020884263134</v>
      </c>
      <c r="I16" s="167">
        <f t="shared" si="3"/>
        <v>122.90418795836818</v>
      </c>
      <c r="J16" s="168">
        <f t="shared" si="3"/>
        <v>1264.9321729999999</v>
      </c>
      <c r="K16" s="168">
        <f t="shared" si="3"/>
        <v>1138.4389557</v>
      </c>
      <c r="L16" s="169">
        <f t="shared" ca="1" si="3"/>
        <v>6099.9444276395989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Sapin méditerranéen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Mélèze hybride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Erable sycomore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C10" zoomScale="80" zoomScaleNormal="80" workbookViewId="0">
      <selection activeCell="L42" sqref="L4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4702.1512497135946</v>
      </c>
      <c r="U10" s="178">
        <f>'Données projet'!D9</f>
        <v>8.5582999999999991</v>
      </c>
      <c r="V10" s="177">
        <f>U10*T10</f>
        <v>40242.421040423855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1201.1421744512741</v>
      </c>
      <c r="U11" s="178">
        <f>'Données projet'!D10</f>
        <v>1.6835999999999998</v>
      </c>
      <c r="V11" s="177">
        <f t="shared" ref="V11" si="0">U11*T11</f>
        <v>2022.2429649061646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Sapin méditerranéen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1896.4726080370435</v>
      </c>
      <c r="U12" s="178">
        <f>'Données projet'!D11</f>
        <v>2.6656999999999997</v>
      </c>
      <c r="V12" s="177">
        <f t="shared" ref="V12:V19" si="1">U12*T12</f>
        <v>5055.4270312443468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Mélèze hybride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2070.2935908800387</v>
      </c>
      <c r="U13" s="178">
        <f>'Données projet'!D12</f>
        <v>0.70150000000000001</v>
      </c>
      <c r="V13" s="177">
        <f t="shared" si="1"/>
        <v>1452.3109540023472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Erable sycomore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593.72720311623561</v>
      </c>
      <c r="U14" s="178">
        <f>'Données projet'!D13</f>
        <v>0.42089999999999994</v>
      </c>
      <c r="V14" s="177">
        <f t="shared" si="1"/>
        <v>249.89977979162353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1385.76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25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2000.0000000000027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900+700+60</f>
        <v>1660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f>470+60</f>
        <v>530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f>470+60</f>
        <v>530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f>470+60</f>
        <v>530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-8671.6778240270942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20</v>
      </c>
      <c r="B24" s="181">
        <f>'Données projet'!D37</f>
        <v>104</v>
      </c>
      <c r="C24" s="193">
        <v>12</v>
      </c>
      <c r="D24" s="182">
        <f t="shared" ref="D24:D42" si="2">B24*C24</f>
        <v>1248</v>
      </c>
      <c r="E24" s="193"/>
      <c r="F24" s="233"/>
      <c r="H24" s="190">
        <v>4</v>
      </c>
      <c r="I24" s="191">
        <v>60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829.4389599083695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30</v>
      </c>
      <c r="B25" s="181">
        <f>'Données projet'!D38</f>
        <v>140</v>
      </c>
      <c r="C25" s="193">
        <v>35</v>
      </c>
      <c r="D25" s="182">
        <f t="shared" si="2"/>
        <v>4900</v>
      </c>
      <c r="E25" s="193"/>
      <c r="F25" s="233"/>
      <c r="H25" s="190">
        <v>5</v>
      </c>
      <c r="I25" s="191">
        <v>60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-9501.1167839354639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40</v>
      </c>
      <c r="B26" s="181">
        <f>'Données projet'!D39</f>
        <v>140</v>
      </c>
      <c r="C26" s="193">
        <v>45</v>
      </c>
      <c r="D26" s="182">
        <f t="shared" si="2"/>
        <v>6300</v>
      </c>
      <c r="E26" s="193"/>
      <c r="F26" s="233"/>
      <c r="G26" s="229"/>
      <c r="H26" s="190">
        <v>6</v>
      </c>
      <c r="I26" s="191">
        <v>60</v>
      </c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50</v>
      </c>
      <c r="B27" s="181">
        <f>'Données projet'!D40</f>
        <v>129</v>
      </c>
      <c r="C27" s="193">
        <v>50</v>
      </c>
      <c r="D27" s="182">
        <f t="shared" si="2"/>
        <v>6450</v>
      </c>
      <c r="E27" s="193"/>
      <c r="F27" s="233"/>
      <c r="G27" s="229"/>
      <c r="H27" s="190">
        <v>7</v>
      </c>
      <c r="I27" s="191">
        <v>60</v>
      </c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60</v>
      </c>
      <c r="B28" s="181">
        <f>'Données projet'!D41</f>
        <v>96</v>
      </c>
      <c r="C28" s="193">
        <v>55</v>
      </c>
      <c r="D28" s="182">
        <f t="shared" si="2"/>
        <v>5280</v>
      </c>
      <c r="E28" s="193"/>
      <c r="F28" s="233"/>
      <c r="G28" s="205"/>
      <c r="H28" s="190">
        <v>8</v>
      </c>
      <c r="I28" s="191">
        <v>60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70</v>
      </c>
      <c r="B29" s="181">
        <f>'Données projet'!D42</f>
        <v>80</v>
      </c>
      <c r="C29" s="193">
        <v>60</v>
      </c>
      <c r="D29" s="182">
        <f t="shared" si="2"/>
        <v>4800</v>
      </c>
      <c r="E29" s="193"/>
      <c r="F29" s="233"/>
      <c r="G29" s="203"/>
      <c r="H29" s="190">
        <v>9</v>
      </c>
      <c r="I29" s="191">
        <v>60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80</v>
      </c>
      <c r="B30" s="181">
        <f>'Données projet'!D43</f>
        <v>790</v>
      </c>
      <c r="C30" s="193">
        <v>80</v>
      </c>
      <c r="D30" s="182">
        <f t="shared" si="2"/>
        <v>63200</v>
      </c>
      <c r="E30" s="193"/>
      <c r="F30" s="233"/>
      <c r="G30" s="203"/>
      <c r="H30" s="190">
        <v>10</v>
      </c>
      <c r="I30" s="191">
        <v>60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11</v>
      </c>
      <c r="I31" s="191">
        <v>60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12</v>
      </c>
      <c r="I32" s="191">
        <v>60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13</v>
      </c>
      <c r="I33" s="191">
        <v>60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14</v>
      </c>
      <c r="I34" s="191">
        <v>60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15</v>
      </c>
      <c r="I35" s="191">
        <v>60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16</v>
      </c>
      <c r="I36" s="191">
        <v>60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17</v>
      </c>
      <c r="I37" s="191">
        <v>60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18</v>
      </c>
      <c r="I38" s="191">
        <v>60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19</v>
      </c>
      <c r="I39" s="191">
        <v>60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v>60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21</v>
      </c>
      <c r="I41" s="191">
        <v>60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22</v>
      </c>
      <c r="I42" s="191">
        <v>60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v>60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>
        <v>24</v>
      </c>
      <c r="I44" s="191">
        <v>60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>
        <v>25</v>
      </c>
      <c r="I45" s="191">
        <v>60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>
        <v>26</v>
      </c>
      <c r="I46" s="191">
        <v>60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v>60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1137.1199999999999</v>
      </c>
      <c r="F48" s="231"/>
      <c r="G48" s="203"/>
      <c r="H48" s="190">
        <v>28</v>
      </c>
      <c r="I48" s="191">
        <v>60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29</v>
      </c>
      <c r="I49" s="191">
        <v>60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30</v>
      </c>
      <c r="I50" s="191">
        <v>60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31</v>
      </c>
      <c r="I51" s="191">
        <v>60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32</v>
      </c>
      <c r="I52" s="191">
        <v>60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33</v>
      </c>
      <c r="I53" s="191">
        <v>60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42</v>
      </c>
      <c r="C54" s="191">
        <v>10</v>
      </c>
      <c r="D54" s="179">
        <f>B54*C54</f>
        <v>420</v>
      </c>
      <c r="E54" s="193"/>
      <c r="F54" s="232"/>
      <c r="G54" s="205"/>
      <c r="H54" s="190">
        <v>34</v>
      </c>
      <c r="I54" s="191">
        <v>60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98</v>
      </c>
      <c r="C55" s="191">
        <v>15</v>
      </c>
      <c r="D55" s="179">
        <f t="shared" ref="D55:D73" si="4">B55*C55</f>
        <v>1470</v>
      </c>
      <c r="E55" s="193"/>
      <c r="F55" s="232"/>
      <c r="G55" s="205"/>
      <c r="H55" s="190">
        <v>35</v>
      </c>
      <c r="I55" s="191">
        <v>60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98</v>
      </c>
      <c r="C56" s="191">
        <v>25</v>
      </c>
      <c r="D56" s="179">
        <f t="shared" si="4"/>
        <v>2450</v>
      </c>
      <c r="E56" s="193"/>
      <c r="F56" s="232"/>
      <c r="G56" s="205"/>
      <c r="H56" s="190">
        <v>36</v>
      </c>
      <c r="I56" s="191">
        <v>60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94</v>
      </c>
      <c r="C57" s="191">
        <v>35</v>
      </c>
      <c r="D57" s="179">
        <f t="shared" si="4"/>
        <v>3290</v>
      </c>
      <c r="E57" s="193"/>
      <c r="F57" s="232"/>
      <c r="G57" s="205"/>
      <c r="H57" s="190">
        <v>37</v>
      </c>
      <c r="I57" s="191">
        <v>60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71</v>
      </c>
      <c r="C58" s="191">
        <v>40</v>
      </c>
      <c r="D58" s="179">
        <f t="shared" si="4"/>
        <v>2840</v>
      </c>
      <c r="E58" s="193"/>
      <c r="F58" s="232"/>
      <c r="G58" s="205"/>
      <c r="H58" s="190">
        <v>38</v>
      </c>
      <c r="I58" s="191">
        <v>60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55</v>
      </c>
      <c r="C59" s="191">
        <v>50</v>
      </c>
      <c r="D59" s="179">
        <f t="shared" si="4"/>
        <v>2750</v>
      </c>
      <c r="E59" s="193"/>
      <c r="F59" s="232"/>
      <c r="G59" s="205"/>
      <c r="H59" s="190">
        <v>39</v>
      </c>
      <c r="I59" s="191">
        <v>60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592</v>
      </c>
      <c r="C60" s="191">
        <v>60</v>
      </c>
      <c r="D60" s="179">
        <f t="shared" si="4"/>
        <v>35520</v>
      </c>
      <c r="E60" s="193"/>
      <c r="F60" s="232"/>
      <c r="G60" s="206"/>
      <c r="H60" s="190">
        <v>40</v>
      </c>
      <c r="I60" s="191">
        <v>60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>
        <v>41</v>
      </c>
      <c r="I61" s="191">
        <v>60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>
        <v>42</v>
      </c>
      <c r="I62" s="191">
        <v>60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43</v>
      </c>
      <c r="I63" s="191">
        <v>60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44</v>
      </c>
      <c r="I64" s="191">
        <v>60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45</v>
      </c>
      <c r="I65" s="191">
        <v>60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46</v>
      </c>
      <c r="I66" s="191">
        <v>60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47</v>
      </c>
      <c r="I67" s="191">
        <v>60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48</v>
      </c>
      <c r="I68" s="191">
        <v>60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49</v>
      </c>
      <c r="I69" s="191">
        <v>60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50</v>
      </c>
      <c r="I70" s="191">
        <v>60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51</v>
      </c>
      <c r="I71" s="191">
        <v>60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52</v>
      </c>
      <c r="I72" s="191">
        <v>60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53</v>
      </c>
      <c r="I73" s="191">
        <v>60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>
        <v>54</v>
      </c>
      <c r="I74" s="191">
        <v>60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>
        <v>55</v>
      </c>
      <c r="I75" s="191">
        <v>60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Sapin méditerranéen</v>
      </c>
      <c r="C76" s="4"/>
      <c r="D76" s="4"/>
      <c r="E76" s="4"/>
      <c r="F76" s="230"/>
      <c r="G76" s="206"/>
      <c r="H76" s="190">
        <v>56</v>
      </c>
      <c r="I76" s="191">
        <v>60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>
        <v>57</v>
      </c>
      <c r="I77" s="191">
        <v>60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58</v>
      </c>
      <c r="I78" s="191">
        <v>60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1396.68</v>
      </c>
      <c r="F79" s="231"/>
      <c r="G79" s="206"/>
      <c r="H79" s="190">
        <v>59</v>
      </c>
      <c r="I79" s="191">
        <v>60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>
        <v>60</v>
      </c>
      <c r="I80" s="191">
        <v>60</v>
      </c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>
        <v>61</v>
      </c>
      <c r="I81" s="191">
        <v>60</v>
      </c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>
        <v>62</v>
      </c>
      <c r="I82" s="191">
        <v>60</v>
      </c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>
        <v>63</v>
      </c>
      <c r="I83" s="191">
        <v>60</v>
      </c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>
        <v>64</v>
      </c>
      <c r="I84" s="191">
        <v>60</v>
      </c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22</v>
      </c>
      <c r="C85" s="191">
        <v>5</v>
      </c>
      <c r="D85" s="179">
        <f>B85*C85</f>
        <v>110</v>
      </c>
      <c r="E85" s="193"/>
      <c r="F85" s="232"/>
      <c r="G85" s="205"/>
      <c r="H85" s="190">
        <v>65</v>
      </c>
      <c r="I85" s="191">
        <v>60</v>
      </c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140</v>
      </c>
      <c r="C86" s="191">
        <v>5</v>
      </c>
      <c r="D86" s="179">
        <f t="shared" ref="D86:D104" si="6">B86*C86</f>
        <v>700</v>
      </c>
      <c r="E86" s="193"/>
      <c r="F86" s="232"/>
      <c r="G86" s="205"/>
      <c r="H86" s="190">
        <v>66</v>
      </c>
      <c r="I86" s="191">
        <v>60</v>
      </c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140</v>
      </c>
      <c r="C87" s="191">
        <v>8</v>
      </c>
      <c r="D87" s="179">
        <f t="shared" si="6"/>
        <v>1120</v>
      </c>
      <c r="E87" s="193"/>
      <c r="F87" s="232"/>
      <c r="G87" s="205"/>
      <c r="H87" s="190">
        <v>67</v>
      </c>
      <c r="I87" s="191">
        <v>60</v>
      </c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140</v>
      </c>
      <c r="C88" s="191">
        <v>15</v>
      </c>
      <c r="D88" s="179">
        <f t="shared" si="6"/>
        <v>2100</v>
      </c>
      <c r="E88" s="193"/>
      <c r="F88" s="232"/>
      <c r="G88" s="205"/>
      <c r="H88" s="190">
        <v>68</v>
      </c>
      <c r="I88" s="191">
        <v>60</v>
      </c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128</v>
      </c>
      <c r="C89" s="191">
        <v>30</v>
      </c>
      <c r="D89" s="179">
        <f t="shared" si="6"/>
        <v>3840</v>
      </c>
      <c r="E89" s="193"/>
      <c r="F89" s="232"/>
      <c r="G89" s="205"/>
      <c r="H89" s="190">
        <v>69</v>
      </c>
      <c r="I89" s="191">
        <v>60</v>
      </c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110</v>
      </c>
      <c r="C90" s="191">
        <v>50</v>
      </c>
      <c r="D90" s="179">
        <f t="shared" si="6"/>
        <v>5500</v>
      </c>
      <c r="E90" s="193"/>
      <c r="F90" s="232"/>
      <c r="G90" s="205"/>
      <c r="H90" s="190">
        <v>70</v>
      </c>
      <c r="I90" s="191">
        <v>60</v>
      </c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80</v>
      </c>
      <c r="B91" s="181">
        <f>'Données projet'!D94</f>
        <v>892</v>
      </c>
      <c r="C91" s="191">
        <v>80</v>
      </c>
      <c r="D91" s="179">
        <f t="shared" si="6"/>
        <v>71360</v>
      </c>
      <c r="E91" s="193"/>
      <c r="F91" s="232"/>
      <c r="G91" s="206"/>
      <c r="H91" s="190">
        <v>71</v>
      </c>
      <c r="I91" s="191">
        <v>60</v>
      </c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>
        <v>72</v>
      </c>
      <c r="I92" s="191">
        <v>60</v>
      </c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>
        <v>73</v>
      </c>
      <c r="I93" s="191">
        <v>60</v>
      </c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>
        <v>74</v>
      </c>
      <c r="I94" s="191">
        <v>60</v>
      </c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>
        <v>75</v>
      </c>
      <c r="I95" s="191">
        <v>60</v>
      </c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>
        <v>76</v>
      </c>
      <c r="I96" s="191">
        <v>60</v>
      </c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>
        <v>77</v>
      </c>
      <c r="I97" s="191">
        <v>60</v>
      </c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>
        <v>78</v>
      </c>
      <c r="I98" s="191">
        <v>60</v>
      </c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>
        <v>79</v>
      </c>
      <c r="I99" s="191">
        <v>60</v>
      </c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>
        <v>80</v>
      </c>
      <c r="I100" s="191">
        <v>60</v>
      </c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Mélèze hybride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1891.08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10</v>
      </c>
      <c r="B116" s="181">
        <f>'Données projet'!D114</f>
        <v>8</v>
      </c>
      <c r="C116" s="191">
        <v>10</v>
      </c>
      <c r="D116" s="179">
        <f>B116*C116</f>
        <v>80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20</v>
      </c>
      <c r="B117" s="181">
        <f>'Données projet'!D115</f>
        <v>98</v>
      </c>
      <c r="C117" s="191">
        <v>25</v>
      </c>
      <c r="D117" s="179">
        <f t="shared" ref="D117:D135" si="8">B117*C117</f>
        <v>2450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30</v>
      </c>
      <c r="B118" s="181">
        <f>'Données projet'!D116</f>
        <v>98</v>
      </c>
      <c r="C118" s="191">
        <v>30</v>
      </c>
      <c r="D118" s="179">
        <f t="shared" si="8"/>
        <v>2940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40</v>
      </c>
      <c r="B119" s="181">
        <f>'Données projet'!D117</f>
        <v>92</v>
      </c>
      <c r="C119" s="191">
        <v>35</v>
      </c>
      <c r="D119" s="179">
        <f t="shared" si="8"/>
        <v>3220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50</v>
      </c>
      <c r="B120" s="181">
        <f>'Données projet'!D118</f>
        <v>75</v>
      </c>
      <c r="C120" s="191">
        <v>40</v>
      </c>
      <c r="D120" s="179">
        <f t="shared" si="8"/>
        <v>3000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60</v>
      </c>
      <c r="B121" s="181">
        <f>'Données projet'!D119</f>
        <v>67</v>
      </c>
      <c r="C121" s="191">
        <v>45</v>
      </c>
      <c r="D121" s="179">
        <f t="shared" si="8"/>
        <v>3015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70</v>
      </c>
      <c r="B122" s="181">
        <f>'Données projet'!D120</f>
        <v>63</v>
      </c>
      <c r="C122" s="191">
        <v>50</v>
      </c>
      <c r="D122" s="179">
        <f t="shared" si="8"/>
        <v>3150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80</v>
      </c>
      <c r="B123" s="181">
        <f>'Données projet'!D121</f>
        <v>487</v>
      </c>
      <c r="C123" s="191">
        <v>60</v>
      </c>
      <c r="D123" s="179">
        <f t="shared" si="8"/>
        <v>29220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Erable sycomore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1520.28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10</v>
      </c>
      <c r="B147" s="175">
        <f>'Données projet'!D140</f>
        <v>7</v>
      </c>
      <c r="C147" s="191">
        <v>5</v>
      </c>
      <c r="D147" s="182">
        <f>B147*C147</f>
        <v>35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20</v>
      </c>
      <c r="B148" s="175">
        <f>'Données projet'!D141</f>
        <v>84</v>
      </c>
      <c r="C148" s="191">
        <v>10</v>
      </c>
      <c r="D148" s="182">
        <f t="shared" ref="D148:D166" si="10">B148*C148</f>
        <v>840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30</v>
      </c>
      <c r="B149" s="175">
        <f>'Données projet'!D142</f>
        <v>84</v>
      </c>
      <c r="C149" s="191">
        <v>15</v>
      </c>
      <c r="D149" s="182">
        <f t="shared" si="10"/>
        <v>1260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40</v>
      </c>
      <c r="B150" s="175">
        <f>'Données projet'!D143</f>
        <v>82</v>
      </c>
      <c r="C150" s="191">
        <v>20</v>
      </c>
      <c r="D150" s="182">
        <f t="shared" si="10"/>
        <v>1640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50</v>
      </c>
      <c r="B151" s="175">
        <f>'Données projet'!D144</f>
        <v>47</v>
      </c>
      <c r="C151" s="191">
        <v>30</v>
      </c>
      <c r="D151" s="182">
        <f t="shared" si="10"/>
        <v>1410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60</v>
      </c>
      <c r="B152" s="175">
        <f>'Données projet'!D145</f>
        <v>35</v>
      </c>
      <c r="C152" s="191">
        <v>35</v>
      </c>
      <c r="D152" s="182">
        <f t="shared" si="10"/>
        <v>1225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70</v>
      </c>
      <c r="B153" s="175">
        <f>'Données projet'!D146</f>
        <v>31</v>
      </c>
      <c r="C153" s="191">
        <v>45</v>
      </c>
      <c r="D153" s="182">
        <f t="shared" si="10"/>
        <v>1395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80</v>
      </c>
      <c r="B154" s="175">
        <f>'Données projet'!D147</f>
        <v>395</v>
      </c>
      <c r="C154" s="191">
        <v>70</v>
      </c>
      <c r="D154" s="182">
        <f t="shared" si="10"/>
        <v>27650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30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30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30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Constance MORISE</cp:lastModifiedBy>
  <dcterms:created xsi:type="dcterms:W3CDTF">2021-02-01T08:22:39Z</dcterms:created>
  <dcterms:modified xsi:type="dcterms:W3CDTF">2024-06-13T09:28:00Z</dcterms:modified>
</cp:coreProperties>
</file>