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Auclair\"/>
    </mc:Choice>
  </mc:AlternateContent>
  <xr:revisionPtr revIDLastSave="0" documentId="13_ncr:1_{F14E1387-386E-4C54-B051-456ED5020A56}" xr6:coauthVersionLast="47" xr6:coauthVersionMax="47" xr10:uidLastSave="{00000000-0000-0000-0000-000000000000}"/>
  <bookViews>
    <workbookView xWindow="14625" yWindow="390" windowWidth="13830" windowHeight="154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<sst xmlns="http://schemas.openxmlformats.org/spreadsheetml/2006/main" count="1172" uniqueCount="324">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</sst>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2.4066842309537311</c:v>
                </c:pt>
                <c:pt idx="2">
                  <c:v>3.501867248558705</c:v>
                </c:pt>
                <c:pt idx="3">
                  <c:v>5.097648830502731</c:v>
                </c:pt>
                <c:pt idx="4">
                  <c:v>7.4238032765026665</c:v>
                </c:pt>
                <c:pt idx="5">
                  <c:v>10.815979083652698</c:v>
                </c:pt>
                <c:pt idx="6">
                  <c:v>22.920523499835085</c:v>
                </c:pt>
                <c:pt idx="7">
                  <c:v>34.834017928157813</c:v>
                </c:pt>
                <c:pt idx="8">
                  <c:v>46.633954947939209</c:v>
                </c:pt>
                <c:pt idx="9">
                  <c:v>58.353632961758883</c:v>
                </c:pt>
                <c:pt idx="10">
                  <c:v>70.011590909010508</c:v>
                </c:pt>
                <c:pt idx="11">
                  <c:v>90.368299531904825</c:v>
                </c:pt>
                <c:pt idx="12">
                  <c:v>110.60954503100669</c:v>
                </c:pt>
                <c:pt idx="13">
                  <c:v>130.7595525033976</c:v>
                </c:pt>
                <c:pt idx="14">
                  <c:v>150.83440412130653</c:v>
                </c:pt>
                <c:pt idx="15">
                  <c:v>170.84552734277023</c:v>
                </c:pt>
                <c:pt idx="16">
                  <c:v>196.61250688108245</c:v>
                </c:pt>
                <c:pt idx="17">
                  <c:v>222.30101036978098</c:v>
                </c:pt>
                <c:pt idx="18">
                  <c:v>247.92138431781052</c:v>
                </c:pt>
                <c:pt idx="19">
                  <c:v>273.48165831936427</c:v>
                </c:pt>
                <c:pt idx="20">
                  <c:v>298.98823692337112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7" zoomScaleNormal="100" workbookViewId="0">
      <selection activeCell="C6" sqref="C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3.38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0.6</v>
      </c>
      <c r="D9" s="33">
        <f t="shared" ref="D9:D18" si="0">C9*$C$5</f>
        <v>2.028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23</v>
      </c>
      <c r="C10" s="32">
        <v>0.2</v>
      </c>
      <c r="D10" s="33">
        <f t="shared" si="0"/>
        <v>0.67600000000000005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321</v>
      </c>
      <c r="C11" s="32">
        <v>0.2</v>
      </c>
      <c r="D11" s="33">
        <f t="shared" si="0"/>
        <v>0.67600000000000005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3.3800000000000003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20</v>
      </c>
      <c r="C36" s="60"/>
      <c r="D36" s="60">
        <v>0</v>
      </c>
      <c r="E36" s="51"/>
      <c r="F36" s="51"/>
      <c r="G36" s="51"/>
      <c r="H36" s="51"/>
      <c r="I36" s="49">
        <f>IFERROR(B36/A36,"")</f>
        <v>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195</v>
      </c>
      <c r="C37" s="60">
        <v>1</v>
      </c>
      <c r="D37" s="60">
        <v>84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360</v>
      </c>
      <c r="C38" s="60">
        <v>2</v>
      </c>
      <c r="D38" s="60">
        <v>126</v>
      </c>
      <c r="E38" s="51">
        <v>0.2</v>
      </c>
      <c r="F38" s="51">
        <v>0.4</v>
      </c>
      <c r="G38" s="51">
        <v>0.4</v>
      </c>
      <c r="H38" s="51"/>
      <c r="I38" s="53">
        <f t="shared" si="1"/>
        <v>24.9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477</v>
      </c>
      <c r="C39" s="60">
        <v>3</v>
      </c>
      <c r="D39" s="60">
        <v>126</v>
      </c>
      <c r="E39" s="51"/>
      <c r="F39" s="51"/>
      <c r="G39" s="51"/>
      <c r="H39" s="51"/>
      <c r="I39" s="49">
        <f t="shared" si="1"/>
        <v>24.3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561</v>
      </c>
      <c r="C40" s="60">
        <v>4</v>
      </c>
      <c r="D40" s="60">
        <v>119</v>
      </c>
      <c r="E40" s="51"/>
      <c r="F40" s="51"/>
      <c r="G40" s="51"/>
      <c r="H40" s="51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622</v>
      </c>
      <c r="C41" s="60">
        <v>5</v>
      </c>
      <c r="D41" s="60">
        <v>90</v>
      </c>
      <c r="E41" s="51"/>
      <c r="F41" s="51"/>
      <c r="G41" s="51"/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677</v>
      </c>
      <c r="C42" s="60">
        <v>6</v>
      </c>
      <c r="D42" s="60">
        <v>75</v>
      </c>
      <c r="E42" s="51"/>
      <c r="F42" s="51"/>
      <c r="G42" s="51"/>
      <c r="H42" s="51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v>719</v>
      </c>
      <c r="C43" s="60">
        <v>7</v>
      </c>
      <c r="D43" s="60">
        <v>719</v>
      </c>
      <c r="E43" s="51"/>
      <c r="F43" s="51"/>
      <c r="G43" s="51"/>
      <c r="H43" s="51"/>
      <c r="I43" s="49">
        <f t="shared" si="1"/>
        <v>11.7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sycomore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11</v>
      </c>
      <c r="C62" s="60">
        <v>1</v>
      </c>
      <c r="D62" s="60">
        <v>0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134</v>
      </c>
      <c r="C63" s="60">
        <v>2</v>
      </c>
      <c r="D63" s="60">
        <v>67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212</v>
      </c>
      <c r="C64" s="60">
        <v>3</v>
      </c>
      <c r="D64" s="60">
        <v>70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14.5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263</v>
      </c>
      <c r="C65" s="60">
        <v>4</v>
      </c>
      <c r="D65" s="60">
        <v>70</v>
      </c>
      <c r="E65" s="51"/>
      <c r="F65" s="51"/>
      <c r="G65" s="51"/>
      <c r="H65" s="51"/>
      <c r="I65" s="49">
        <f>IF(A65&lt;&gt;0,(B65-(B64-D64))/(A65-A64),"")</f>
        <v>12.1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285</v>
      </c>
      <c r="C66" s="60">
        <v>5</v>
      </c>
      <c r="D66" s="60">
        <v>43</v>
      </c>
      <c r="E66" s="51"/>
      <c r="F66" s="51"/>
      <c r="G66" s="51"/>
      <c r="H66" s="51"/>
      <c r="I66" s="49">
        <f t="shared" ref="I66:I81" si="2">IF(A66&lt;&gt;0,(B66-(B65-D65))/(A66-A65),"")</f>
        <v>9.1999999999999993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310</v>
      </c>
      <c r="C67" s="60">
        <v>6</v>
      </c>
      <c r="D67" s="60">
        <v>30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329</v>
      </c>
      <c r="C68" s="60">
        <v>7</v>
      </c>
      <c r="D68" s="60">
        <v>26</v>
      </c>
      <c r="E68" s="51"/>
      <c r="F68" s="51"/>
      <c r="G68" s="51"/>
      <c r="H68" s="51"/>
      <c r="I68" s="49">
        <f t="shared" si="2"/>
        <v>4.9000000000000004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v>342</v>
      </c>
      <c r="C69" s="50">
        <v>8</v>
      </c>
      <c r="D69" s="50">
        <v>342</v>
      </c>
      <c r="E69" s="51"/>
      <c r="F69" s="51"/>
      <c r="G69" s="51"/>
      <c r="H69" s="51"/>
      <c r="I69" s="49">
        <f t="shared" si="2"/>
        <v>3.9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Tulipier de Virginie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5</v>
      </c>
      <c r="B88" s="60">
        <v>7</v>
      </c>
      <c r="C88" s="60"/>
      <c r="D88" s="60"/>
      <c r="E88" s="51"/>
      <c r="F88" s="51"/>
      <c r="G88" s="51"/>
      <c r="H88" s="87"/>
      <c r="I88" s="53">
        <f>IFERROR(B88/A88,"")</f>
        <v>1.4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10</v>
      </c>
      <c r="B89" s="60">
        <v>48</v>
      </c>
      <c r="C89" s="60"/>
      <c r="D89" s="60"/>
      <c r="E89" s="51"/>
      <c r="F89" s="51"/>
      <c r="G89" s="51"/>
      <c r="H89" s="87"/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15</v>
      </c>
      <c r="B90" s="60">
        <v>120</v>
      </c>
      <c r="C90" s="60"/>
      <c r="D90" s="60"/>
      <c r="E90" s="87"/>
      <c r="F90" s="87"/>
      <c r="G90" s="87"/>
      <c r="H90" s="87"/>
      <c r="I90" s="53">
        <f t="shared" si="3"/>
        <v>14.4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20</v>
      </c>
      <c r="B91" s="60">
        <v>213</v>
      </c>
      <c r="C91" s="60"/>
      <c r="D91" s="60">
        <v>213</v>
      </c>
      <c r="E91" s="87">
        <v>0.78</v>
      </c>
      <c r="F91" s="87">
        <v>0</v>
      </c>
      <c r="G91" s="87">
        <v>0.22</v>
      </c>
      <c r="H91" s="87"/>
      <c r="I91" s="53">
        <f t="shared" si="3"/>
        <v>18.600000000000001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sycomore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Tulipier de Virginie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370.69652285220093</v>
      </c>
      <c r="T3" s="59">
        <f>IF('Données projet'!E9&gt;30,$R$33-$H$33,LOOKUP('Données projet'!$E$9,$A$3:$A$203,R3:R203)-LOOKUP('Données projet'!$E$9,$A$3:$A$203,$H$3:$H$203))</f>
        <v>376.53494965377718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260.20517190557814</v>
      </c>
      <c r="AO3" s="59">
        <f>IF('Données projet'!E10&gt;30,$AM$33-$H$33,LOOKUP('Données projet'!$E$10,$A$3:$A$203,AM3:AM203)-LOOKUP('Données projet'!$E$10,$A$3:$A$203,$H$3:$H$203))</f>
        <v>307.22009971147133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81.715042525691956</v>
      </c>
      <c r="BJ3" s="59">
        <f>IF('Données projet'!E11&gt;30,$BH$33-$H$33,LOOKUP('Données projet'!$E$11,$A$3:$A$203,BH3:BH203)-LOOKUP('Données projet'!$E$11,$A$3:$A$203,$H$3:$H$203))</f>
        <v>257.80402821394864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</v>
      </c>
      <c r="N4" s="13">
        <f>IF('Données projet'!$A$36&gt;35,N3+M4-V3,IF(A4&lt;'Données projet'!$A$36,$K$205^A4,IF(A4='Données projet'!$A$36,'Données projet'!$B$36,N3+M4-V3)))</f>
        <v>1.3492828476735632</v>
      </c>
      <c r="O4" s="13">
        <f>N4*VLOOKUP('Données projet'!$B$9,Paramètres!$A$1:$I$89,3,0)*VLOOKUP('Données projet'!$B$9,Paramètres!$A$1:$I$89,5,0)</f>
        <v>0.75424911184952181</v>
      </c>
      <c r="P4" s="13">
        <f>EXP(-1.0587+0.8836*LN(O4)+0.284)</f>
        <v>0.3591899268142314</v>
      </c>
      <c r="Q4" s="20">
        <f t="shared" ref="Q4:Q34" si="2">(O4+P4)*0.475*44/12</f>
        <v>1.9392396590060368</v>
      </c>
      <c r="R4" s="59">
        <f t="shared" si="0"/>
        <v>295.27257299233935</v>
      </c>
      <c r="S4" s="59">
        <f ca="1">AVERAGE(OFFSET($R$3,0,0,'Données projet'!$E$9+1,1))-AVERAGE(OFFSET($H$3,0,0,'Données projet'!$E$9+1,1))</f>
        <v>370.69652285220093</v>
      </c>
      <c r="T4" s="59">
        <f>$T$3</f>
        <v>376.53494965377718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1.0111929730611879</v>
      </c>
      <c r="AK4" s="13">
        <f>EXP(-1.0587+0.8836*LN(AJ4)+0.284)</f>
        <v>0.46539683474213156</v>
      </c>
      <c r="AL4" s="20">
        <f t="shared" ref="AL4:AL67" si="4">(AJ4+AK4)*0.475*44/12</f>
        <v>2.5717272485907814</v>
      </c>
      <c r="AM4" s="59">
        <f t="shared" ref="AM4:AM67" si="5">AL4+(AD4+AE4)*44/12</f>
        <v>295.90506058192409</v>
      </c>
      <c r="AN4" s="59">
        <f ca="1">AVERAGE(OFFSET($AM$3,0,0,'Données projet'!$E$10+1,1))-AVERAGE(OFFSET($H$3,0,0,'Données projet'!$E$10+1,1))</f>
        <v>260.20517190557814</v>
      </c>
      <c r="AO4" s="59">
        <f>$AO$3</f>
        <v>307.22009971147133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1.4</v>
      </c>
      <c r="BD4" s="12">
        <f>IF('Données projet'!$A$88&gt;35,BD3+BC4-BL3,IF(A4&lt;'Données projet'!$A$88,$BA$205^A4,IF(A4='Données projet'!$A$88,'Données projet'!$B$88,BD3+BC4-BL3)))</f>
        <v>1.475773161594552</v>
      </c>
      <c r="BE4" s="13">
        <f>BD4*VLOOKUP('Données projet'!$B$11,Paramètres!$A$1:$I$89,3,0)*VLOOKUP('Données projet'!$B$11,Paramètres!$A$1:$I$89,5,0)</f>
        <v>0.9439045141558754</v>
      </c>
      <c r="BF4" s="13">
        <f>EXP(-1.0587+0.8836*LN(BE4)+0.284)</f>
        <v>0.43792375242042975</v>
      </c>
      <c r="BG4" s="20">
        <f t="shared" ref="BG4:BG67" si="7">(BE4+BF4)*0.475*44/12</f>
        <v>2.4066842309537311</v>
      </c>
      <c r="BH4" s="59">
        <f t="shared" ref="BH4:BH67" si="8">BG4+(AY4+AZ4)*44/12</f>
        <v>295.74001756428703</v>
      </c>
      <c r="BI4" s="59">
        <f ca="1">AVERAGE(OFFSET($BH$3,0,0,'Données projet'!$E$11+1,1))-AVERAGE(OFFSET($H$3,0,0,'Données projet'!$E$11+1,1))</f>
        <v>81.715042525691956</v>
      </c>
      <c r="BJ4" s="59">
        <f>$BJ$3</f>
        <v>257.80402821394864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</v>
      </c>
      <c r="N5" s="13">
        <f>IF('Données projet'!$A$36&gt;35,N4+M5-V4,IF(A5&lt;'Données projet'!$A$36,$K$205^A5,IF(A5='Données projet'!$A$36,'Données projet'!$B$36,N4+M5-V4)))</f>
        <v>1.82056420302608</v>
      </c>
      <c r="O5" s="13">
        <f>N5*VLOOKUP('Données projet'!$B$9,Paramètres!$A$1:$I$89,3,0)*VLOOKUP('Données projet'!$B$9,Paramètres!$A$1:$I$89,5,0)</f>
        <v>1.0176953894915788</v>
      </c>
      <c r="P5" s="13">
        <f t="shared" ref="P5:P68" si="33">EXP(-1.0587+0.8836*LN(O5)+0.284)</f>
        <v>0.46804020312241645</v>
      </c>
      <c r="Q5" s="20">
        <f t="shared" si="2"/>
        <v>2.5876561571360415</v>
      </c>
      <c r="R5" s="59">
        <f t="shared" si="0"/>
        <v>295.92098949046937</v>
      </c>
      <c r="S5" s="59">
        <f ca="1">AVERAGE(OFFSET($R$3,0,0,'Données projet'!$E$9+1,1))-AVERAGE(OFFSET($H$3,0,0,'Données projet'!$E$9+1,1))</f>
        <v>370.69652285220093</v>
      </c>
      <c r="T5" s="59">
        <f t="shared" ref="T5:T68" si="34">$T$3</f>
        <v>376.53494965377718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1.2852076781904531</v>
      </c>
      <c r="AK5" s="13">
        <f t="shared" ref="AK5:AK68" si="35">EXP(-1.0587+0.8836*LN(AJ5)+0.284)</f>
        <v>0.57522914588482876</v>
      </c>
      <c r="AL5" s="20">
        <f t="shared" si="4"/>
        <v>3.2402608019311159</v>
      </c>
      <c r="AM5" s="59">
        <f t="shared" si="5"/>
        <v>296.57359413526444</v>
      </c>
      <c r="AN5" s="59">
        <f ca="1">AVERAGE(OFFSET($AM$3,0,0,'Données projet'!$E$10+1,1))-AVERAGE(OFFSET($H$3,0,0,'Données projet'!$E$10+1,1))</f>
        <v>260.20517190557814</v>
      </c>
      <c r="AO5" s="59">
        <f t="shared" ref="AO5:AO68" si="36">$AO$3</f>
        <v>307.22009971147133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1.4</v>
      </c>
      <c r="BD5" s="12">
        <f>IF('Données projet'!$A$88&gt;35,BD4+BC5-BL4,IF(A5&lt;'Données projet'!$A$88,$BA$205^A5,IF(A5='Données projet'!$A$88,'Données projet'!$B$88,BD4+BC5-BL4)))</f>
        <v>2.1779064244827797</v>
      </c>
      <c r="BE5" s="13">
        <f>BD5*VLOOKUP('Données projet'!$B$11,Paramètres!$A$1:$I$89,3,0)*VLOOKUP('Données projet'!$B$11,Paramètres!$A$1:$I$89,5,0)</f>
        <v>1.3929889490991858</v>
      </c>
      <c r="BF5" s="13">
        <f t="shared" ref="BF5:BF68" si="37">EXP(-1.0587+0.8836*LN(BE5)+0.284)</f>
        <v>0.61765253332686498</v>
      </c>
      <c r="BG5" s="20">
        <f t="shared" si="7"/>
        <v>3.501867248558705</v>
      </c>
      <c r="BH5" s="59">
        <f t="shared" si="8"/>
        <v>296.83520058189202</v>
      </c>
      <c r="BI5" s="59">
        <f ca="1">AVERAGE(OFFSET($BH$3,0,0,'Données projet'!$E$11+1,1))-AVERAGE(OFFSET($H$3,0,0,'Données projet'!$E$11+1,1))</f>
        <v>81.715042525691956</v>
      </c>
      <c r="BJ5" s="59">
        <f t="shared" ref="BJ5:BJ68" si="38">$BJ$3</f>
        <v>257.80402821394864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</v>
      </c>
      <c r="N6" s="13">
        <f>IF('Données projet'!$A$36&gt;35,N5+M6-V5,IF(A6&lt;'Données projet'!$A$36,$K$205^A6,IF(A6='Données projet'!$A$36,'Données projet'!$B$36,N5+M6-V5)))</f>
        <v>2.4564560522315801</v>
      </c>
      <c r="O6" s="13">
        <f>N6*VLOOKUP('Données projet'!$B$9,Paramètres!$A$1:$I$89,3,0)*VLOOKUP('Données projet'!$B$9,Paramètres!$A$1:$I$89,5,0)</f>
        <v>1.3731589331974534</v>
      </c>
      <c r="P6" s="13">
        <f t="shared" si="33"/>
        <v>0.60987687957120462</v>
      </c>
      <c r="Q6" s="20">
        <f t="shared" si="2"/>
        <v>3.453787373905413</v>
      </c>
      <c r="R6" s="59">
        <f t="shared" si="0"/>
        <v>296.78712070723873</v>
      </c>
      <c r="S6" s="59">
        <f ca="1">AVERAGE(OFFSET($R$3,0,0,'Données projet'!$E$9+1,1))-AVERAGE(OFFSET($H$3,0,0,'Données projet'!$E$9+1,1))</f>
        <v>370.69652285220093</v>
      </c>
      <c r="T6" s="59">
        <f t="shared" si="34"/>
        <v>376.53494965377718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1.6334753307069771</v>
      </c>
      <c r="AK6" s="13">
        <f t="shared" si="35"/>
        <v>0.71098156578295024</v>
      </c>
      <c r="AL6" s="20">
        <f t="shared" si="4"/>
        <v>4.0832624280532892</v>
      </c>
      <c r="AM6" s="59">
        <f t="shared" si="5"/>
        <v>297.41659576138659</v>
      </c>
      <c r="AN6" s="59">
        <f ca="1">AVERAGE(OFFSET($AM$3,0,0,'Données projet'!$E$10+1,1))-AVERAGE(OFFSET($H$3,0,0,'Données projet'!$E$10+1,1))</f>
        <v>260.20517190557814</v>
      </c>
      <c r="AO6" s="59">
        <f t="shared" si="36"/>
        <v>307.22009971147133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1.4</v>
      </c>
      <c r="BD6" s="12">
        <f>IF('Données projet'!$A$88&gt;35,BD5+BC6-BL5,IF(A6&lt;'Données projet'!$A$88,$BA$205^A6,IF(A6='Données projet'!$A$88,'Données projet'!$B$88,BD5+BC6-BL5)))</f>
        <v>3.2140958497160383</v>
      </c>
      <c r="BE6" s="13">
        <f>BD6*VLOOKUP('Données projet'!$B$11,Paramètres!$A$1:$I$89,3,0)*VLOOKUP('Données projet'!$B$11,Paramètres!$A$1:$I$89,5,0)</f>
        <v>2.0557357054783783</v>
      </c>
      <c r="BF6" s="13">
        <f t="shared" si="37"/>
        <v>0.87114400581505613</v>
      </c>
      <c r="BG6" s="20">
        <f t="shared" si="7"/>
        <v>5.097648830502731</v>
      </c>
      <c r="BH6" s="59">
        <f t="shared" si="8"/>
        <v>298.43098216383606</v>
      </c>
      <c r="BI6" s="59">
        <f ca="1">AVERAGE(OFFSET($BH$3,0,0,'Données projet'!$E$11+1,1))-AVERAGE(OFFSET($H$3,0,0,'Données projet'!$E$11+1,1))</f>
        <v>81.715042525691956</v>
      </c>
      <c r="BJ6" s="59">
        <f t="shared" si="38"/>
        <v>257.80402821394864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</v>
      </c>
      <c r="N7" s="13">
        <f>IF('Données projet'!$A$36&gt;35,N6+M7-V6,IF(A7&lt;'Données projet'!$A$36,$K$205^A7,IF(A7='Données projet'!$A$36,'Données projet'!$B$36,N6+M7-V6)))</f>
        <v>3.3144540173399859</v>
      </c>
      <c r="O7" s="13">
        <f>N7*VLOOKUP('Données projet'!$B$9,Paramètres!$A$1:$I$89,3,0)*VLOOKUP('Données projet'!$B$9,Paramètres!$A$1:$I$89,5,0)</f>
        <v>1.8527797956930523</v>
      </c>
      <c r="P7" s="13">
        <f t="shared" si="33"/>
        <v>0.79469627983693913</v>
      </c>
      <c r="Q7" s="20">
        <f t="shared" si="2"/>
        <v>4.6110208315480676</v>
      </c>
      <c r="R7" s="59">
        <f t="shared" si="0"/>
        <v>297.94435416488136</v>
      </c>
      <c r="S7" s="59">
        <f ca="1">AVERAGE(OFFSET($R$3,0,0,'Données projet'!$E$9+1,1))-AVERAGE(OFFSET($H$3,0,0,'Données projet'!$E$9+1,1))</f>
        <v>370.69652285220093</v>
      </c>
      <c r="T7" s="59">
        <f t="shared" si="34"/>
        <v>376.53494965377718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2.0761171142278725</v>
      </c>
      <c r="AK7" s="13">
        <f t="shared" si="35"/>
        <v>0.87877116536856548</v>
      </c>
      <c r="AL7" s="20">
        <f t="shared" si="4"/>
        <v>5.14643042029713</v>
      </c>
      <c r="AM7" s="59">
        <f t="shared" si="5"/>
        <v>298.47976375363044</v>
      </c>
      <c r="AN7" s="59">
        <f ca="1">AVERAGE(OFFSET($AM$3,0,0,'Données projet'!$E$10+1,1))-AVERAGE(OFFSET($H$3,0,0,'Données projet'!$E$10+1,1))</f>
        <v>260.20517190557814</v>
      </c>
      <c r="AO7" s="59">
        <f t="shared" si="36"/>
        <v>307.22009971147133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1.4</v>
      </c>
      <c r="BD7" s="12">
        <f>IF('Données projet'!$A$88&gt;35,BD6+BC7-BL6,IF(A7&lt;'Données projet'!$A$88,$BA$205^A7,IF(A7='Données projet'!$A$88,'Données projet'!$B$88,BD6+BC7-BL6)))</f>
        <v>4.7432763938033657</v>
      </c>
      <c r="BE7" s="13">
        <f>BD7*VLOOKUP('Données projet'!$B$11,Paramètres!$A$1:$I$89,3,0)*VLOOKUP('Données projet'!$B$11,Paramètres!$A$1:$I$89,5,0)</f>
        <v>3.0337995814766328</v>
      </c>
      <c r="BF7" s="13">
        <f t="shared" si="37"/>
        <v>1.2286711992904478</v>
      </c>
      <c r="BG7" s="20">
        <f t="shared" si="7"/>
        <v>7.4238032765026665</v>
      </c>
      <c r="BH7" s="59">
        <f t="shared" si="8"/>
        <v>300.75713660983598</v>
      </c>
      <c r="BI7" s="59">
        <f ca="1">AVERAGE(OFFSET($BH$3,0,0,'Données projet'!$E$11+1,1))-AVERAGE(OFFSET($H$3,0,0,'Données projet'!$E$11+1,1))</f>
        <v>81.715042525691956</v>
      </c>
      <c r="BJ7" s="59">
        <f t="shared" si="38"/>
        <v>257.80402821394864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</v>
      </c>
      <c r="N8" s="13">
        <f>IF('Données projet'!$A$36&gt;35,N7+M8-V7,IF(A8&lt;'Données projet'!$A$36,$K$205^A8,IF(A8='Données projet'!$A$36,'Données projet'!$B$36,N7+M8-V7)))</f>
        <v>4.4721359549995778</v>
      </c>
      <c r="O8" s="13">
        <f>N8*VLOOKUP('Données projet'!$B$9,Paramètres!$A$1:$I$89,3,0)*VLOOKUP('Données projet'!$B$9,Paramètres!$A$1:$I$89,5,0)</f>
        <v>2.4999239988447641</v>
      </c>
      <c r="P8" s="13">
        <f t="shared" si="33"/>
        <v>1.035524051396568</v>
      </c>
      <c r="Q8" s="20">
        <f t="shared" si="2"/>
        <v>6.1575720208369864</v>
      </c>
      <c r="R8" s="59">
        <f t="shared" si="0"/>
        <v>299.49090535417031</v>
      </c>
      <c r="S8" s="59">
        <f ca="1">AVERAGE(OFFSET($R$3,0,0,'Données projet'!$E$9+1,1))-AVERAGE(OFFSET($H$3,0,0,'Données projet'!$E$9+1,1))</f>
        <v>370.69652285220093</v>
      </c>
      <c r="T8" s="59">
        <f t="shared" si="34"/>
        <v>376.53494965377718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2.6387066832067574</v>
      </c>
      <c r="AK8" s="13">
        <f t="shared" si="35"/>
        <v>1.0861586266766543</v>
      </c>
      <c r="AL8" s="20">
        <f t="shared" si="4"/>
        <v>6.4874737480469413</v>
      </c>
      <c r="AM8" s="59">
        <f t="shared" si="5"/>
        <v>299.82080708138028</v>
      </c>
      <c r="AN8" s="59">
        <f ca="1">AVERAGE(OFFSET($AM$3,0,0,'Données projet'!$E$10+1,1))-AVERAGE(OFFSET($H$3,0,0,'Données projet'!$E$10+1,1))</f>
        <v>260.20517190557814</v>
      </c>
      <c r="AO8" s="59">
        <f t="shared" si="36"/>
        <v>307.22009971147133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>
        <f>VLOOKUP(A8,'Données projet'!$A$87:$I$107,2,0)</f>
        <v>7</v>
      </c>
      <c r="BB8" s="12">
        <f>VLOOKUP(A8,'Données projet'!$A$87:$I$107,9,0)</f>
        <v>1.4</v>
      </c>
      <c r="BC8" s="12">
        <f t="array" ref="BC8">INDEX(BB:BB,MIN(IF(ISNUMBER(BB8:BB204),ROW(BB8:BB204),"")))</f>
        <v>1.4</v>
      </c>
      <c r="BD8" s="12">
        <f>IF('Données projet'!$A$88&gt;35,BD7+BC8-BL7,IF(A8&lt;'Données projet'!$A$88,$BA$205^A8,IF(A8='Données projet'!$A$88,'Données projet'!$B$88,BD7+BC8-BL7)))</f>
        <v>7</v>
      </c>
      <c r="BE8" s="13">
        <f>BD8*VLOOKUP('Données projet'!$B$11,Paramètres!$A$1:$I$89,3,0)*VLOOKUP('Données projet'!$B$11,Paramètres!$A$1:$I$89,5,0)</f>
        <v>4.4771999999999998</v>
      </c>
      <c r="BF8" s="13">
        <f t="shared" si="37"/>
        <v>1.7329315312838449</v>
      </c>
      <c r="BG8" s="20">
        <f t="shared" si="7"/>
        <v>10.815979083652698</v>
      </c>
      <c r="BH8" s="59">
        <f t="shared" si="8"/>
        <v>304.14931241698599</v>
      </c>
      <c r="BI8" s="59">
        <f ca="1">AVERAGE(OFFSET($BH$3,0,0,'Données projet'!$E$11+1,1))-AVERAGE(OFFSET($H$3,0,0,'Données projet'!$E$11+1,1))</f>
        <v>81.715042525691956</v>
      </c>
      <c r="BJ8" s="59">
        <f t="shared" si="38"/>
        <v>257.80402821394864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</v>
      </c>
      <c r="N9" s="13">
        <f>IF('Données projet'!$A$36&gt;35,N8+M9-V8,IF(A9&lt;'Données projet'!$A$36,$K$205^A9,IF(A9='Données projet'!$A$36,'Données projet'!$B$36,N8+M9-V8)))</f>
        <v>6.0341763365451611</v>
      </c>
      <c r="O9" s="13">
        <f>N9*VLOOKUP('Données projet'!$B$9,Paramètres!$A$1:$I$89,3,0)*VLOOKUP('Données projet'!$B$9,Paramètres!$A$1:$I$89,5,0)</f>
        <v>3.3731045721287449</v>
      </c>
      <c r="P9" s="13">
        <f t="shared" si="33"/>
        <v>1.3493331832895774</v>
      </c>
      <c r="Q9" s="20">
        <f t="shared" si="2"/>
        <v>8.2249124240202445</v>
      </c>
      <c r="R9" s="59">
        <f t="shared" si="0"/>
        <v>301.55824575735357</v>
      </c>
      <c r="S9" s="59">
        <f ca="1">AVERAGE(OFFSET($R$3,0,0,'Données projet'!$E$9+1,1))-AVERAGE(OFFSET($H$3,0,0,'Données projet'!$E$9+1,1))</f>
        <v>370.69652285220093</v>
      </c>
      <c r="T9" s="59">
        <f t="shared" si="34"/>
        <v>376.53494965377718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3.353747682287918</v>
      </c>
      <c r="AK9" s="13">
        <f t="shared" si="35"/>
        <v>1.3424889309030987</v>
      </c>
      <c r="AL9" s="20">
        <f t="shared" si="4"/>
        <v>8.1792787679743544</v>
      </c>
      <c r="AM9" s="59">
        <f t="shared" si="5"/>
        <v>301.5126121013077</v>
      </c>
      <c r="AN9" s="59">
        <f ca="1">AVERAGE(OFFSET($AM$3,0,0,'Données projet'!$E$10+1,1))-AVERAGE(OFFSET($H$3,0,0,'Données projet'!$E$10+1,1))</f>
        <v>260.20517190557814</v>
      </c>
      <c r="AO9" s="59">
        <f t="shared" si="36"/>
        <v>307.22009971147133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8.1999999999999993</v>
      </c>
      <c r="BD9" s="12">
        <f>IF('Données projet'!$A$88&gt;35,BD8+BC9-BL8,IF(A9&lt;'Données projet'!$A$88,$BA$205^A9,IF(A9='Données projet'!$A$88,'Données projet'!$B$88,BD8+BC9-BL8)))</f>
        <v>15.2</v>
      </c>
      <c r="BE9" s="13">
        <f>BD9*VLOOKUP('Données projet'!$B$11,Paramètres!$A$1:$I$89,3,0)*VLOOKUP('Données projet'!$B$11,Paramètres!$A$1:$I$89,5,0)</f>
        <v>9.721919999999999</v>
      </c>
      <c r="BF9" s="13">
        <f t="shared" si="37"/>
        <v>3.4381891865081835</v>
      </c>
      <c r="BG9" s="20">
        <f t="shared" si="7"/>
        <v>22.920523499835085</v>
      </c>
      <c r="BH9" s="59">
        <f t="shared" si="8"/>
        <v>316.25385683316841</v>
      </c>
      <c r="BI9" s="59">
        <f ca="1">AVERAGE(OFFSET($BH$3,0,0,'Données projet'!$E$11+1,1))-AVERAGE(OFFSET($H$3,0,0,'Données projet'!$E$11+1,1))</f>
        <v>81.715042525691956</v>
      </c>
      <c r="BJ9" s="59">
        <f t="shared" si="38"/>
        <v>257.80402821394864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</v>
      </c>
      <c r="N10" s="13">
        <f>IF('Données projet'!$A$36&gt;35,N9+M10-V9,IF(A10&lt;'Données projet'!$A$36,$K$205^A10,IF(A10='Données projet'!$A$36,'Données projet'!$B$36,N9+M10-V9)))</f>
        <v>8.1418106307380835</v>
      </c>
      <c r="O10" s="13">
        <f>N10*VLOOKUP('Données projet'!$B$9,Paramètres!$A$1:$I$89,3,0)*VLOOKUP('Données projet'!$B$9,Paramètres!$A$1:$I$89,5,0)</f>
        <v>4.5512721425825893</v>
      </c>
      <c r="P10" s="13">
        <f t="shared" si="33"/>
        <v>1.7582402234606553</v>
      </c>
      <c r="Q10" s="20">
        <f t="shared" si="2"/>
        <v>10.989067370858649</v>
      </c>
      <c r="R10" s="59">
        <f t="shared" si="0"/>
        <v>304.32240070419198</v>
      </c>
      <c r="S10" s="59">
        <f ca="1">AVERAGE(OFFSET($R$3,0,0,'Données projet'!$E$9+1,1))-AVERAGE(OFFSET($H$3,0,0,'Données projet'!$E$9+1,1))</f>
        <v>370.69652285220093</v>
      </c>
      <c r="T10" s="59">
        <f t="shared" si="34"/>
        <v>376.53494965377718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4.2625516462415645</v>
      </c>
      <c r="AK10" s="13">
        <f t="shared" si="35"/>
        <v>1.6593124478620722</v>
      </c>
      <c r="AL10" s="20">
        <f t="shared" si="4"/>
        <v>10.313913297230501</v>
      </c>
      <c r="AM10" s="59">
        <f t="shared" si="5"/>
        <v>303.64724663056381</v>
      </c>
      <c r="AN10" s="59">
        <f ca="1">AVERAGE(OFFSET($AM$3,0,0,'Données projet'!$E$10+1,1))-AVERAGE(OFFSET($H$3,0,0,'Données projet'!$E$10+1,1))</f>
        <v>260.20517190557814</v>
      </c>
      <c r="AO10" s="59">
        <f t="shared" si="36"/>
        <v>307.22009971147133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8.1999999999999993</v>
      </c>
      <c r="BD10" s="12">
        <f>IF('Données projet'!$A$88&gt;35,BD9+BC10-BL9,IF(A10&lt;'Données projet'!$A$88,$BA$205^A10,IF(A10='Données projet'!$A$88,'Données projet'!$B$88,BD9+BC10-BL9)))</f>
        <v>23.4</v>
      </c>
      <c r="BE10" s="13">
        <f>BD10*VLOOKUP('Données projet'!$B$11,Paramètres!$A$1:$I$89,3,0)*VLOOKUP('Données projet'!$B$11,Paramètres!$A$1:$I$89,5,0)</f>
        <v>14.96664</v>
      </c>
      <c r="BF10" s="13">
        <f t="shared" si="37"/>
        <v>5.0337530687987444</v>
      </c>
      <c r="BG10" s="20">
        <f t="shared" si="7"/>
        <v>34.834017928157813</v>
      </c>
      <c r="BH10" s="59">
        <f t="shared" si="8"/>
        <v>328.16735126149115</v>
      </c>
      <c r="BI10" s="59">
        <f ca="1">AVERAGE(OFFSET($BH$3,0,0,'Données projet'!$E$11+1,1))-AVERAGE(OFFSET($H$3,0,0,'Données projet'!$E$11+1,1))</f>
        <v>81.715042525691956</v>
      </c>
      <c r="BJ10" s="59">
        <f t="shared" si="38"/>
        <v>257.80402821394864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</v>
      </c>
      <c r="N11" s="13">
        <f>IF('Données projet'!$A$36&gt;35,N10+M11-V10,IF(A11&lt;'Données projet'!$A$36,$K$205^A11,IF(A11='Données projet'!$A$36,'Données projet'!$B$36,N10+M11-V10)))</f>
        <v>10.985605433061172</v>
      </c>
      <c r="O11" s="13">
        <f>N11*VLOOKUP('Données projet'!$B$9,Paramètres!$A$1:$I$89,3,0)*VLOOKUP('Données projet'!$B$9,Paramètres!$A$1:$I$89,5,0)</f>
        <v>6.1409534370811958</v>
      </c>
      <c r="P11" s="13">
        <f t="shared" si="33"/>
        <v>2.29106400233806</v>
      </c>
      <c r="Q11" s="20">
        <f t="shared" si="2"/>
        <v>14.685763706988537</v>
      </c>
      <c r="R11" s="59">
        <f t="shared" si="0"/>
        <v>308.01909704032187</v>
      </c>
      <c r="S11" s="59">
        <f ca="1">AVERAGE(OFFSET($R$3,0,0,'Données projet'!$E$9+1,1))-AVERAGE(OFFSET($H$3,0,0,'Données projet'!$E$9+1,1))</f>
        <v>370.69652285220093</v>
      </c>
      <c r="T11" s="59">
        <f t="shared" si="34"/>
        <v>376.53494965377718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5.4176247762567487</v>
      </c>
      <c r="AK11" s="13">
        <f t="shared" si="35"/>
        <v>2.0509054013412618</v>
      </c>
      <c r="AL11" s="20">
        <f t="shared" si="4"/>
        <v>13.007690059316532</v>
      </c>
      <c r="AM11" s="59">
        <f t="shared" si="5"/>
        <v>306.34102339264984</v>
      </c>
      <c r="AN11" s="59">
        <f ca="1">AVERAGE(OFFSET($AM$3,0,0,'Données projet'!$E$10+1,1))-AVERAGE(OFFSET($H$3,0,0,'Données projet'!$E$10+1,1))</f>
        <v>260.20517190557814</v>
      </c>
      <c r="AO11" s="59">
        <f t="shared" si="36"/>
        <v>307.22009971147133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8.1999999999999993</v>
      </c>
      <c r="BD11" s="12">
        <f>IF('Données projet'!$A$88&gt;35,BD10+BC11-BL10,IF(A11&lt;'Données projet'!$A$88,$BA$205^A11,IF(A11='Données projet'!$A$88,'Données projet'!$B$88,BD10+BC11-BL10)))</f>
        <v>31.599999999999998</v>
      </c>
      <c r="BE11" s="13">
        <f>BD11*VLOOKUP('Données projet'!$B$11,Paramètres!$A$1:$I$89,3,0)*VLOOKUP('Données projet'!$B$11,Paramètres!$A$1:$I$89,5,0)</f>
        <v>20.211359999999996</v>
      </c>
      <c r="BF11" s="13">
        <f t="shared" si="37"/>
        <v>6.5641165251325679</v>
      </c>
      <c r="BG11" s="20">
        <f t="shared" si="7"/>
        <v>46.633954947939209</v>
      </c>
      <c r="BH11" s="59">
        <f t="shared" si="8"/>
        <v>339.96728828127254</v>
      </c>
      <c r="BI11" s="59">
        <f ca="1">AVERAGE(OFFSET($BH$3,0,0,'Données projet'!$E$11+1,1))-AVERAGE(OFFSET($H$3,0,0,'Données projet'!$E$11+1,1))</f>
        <v>81.715042525691956</v>
      </c>
      <c r="BJ11" s="59">
        <f t="shared" si="38"/>
        <v>257.80402821394864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</v>
      </c>
      <c r="N12" s="13">
        <f>IF('Données projet'!$A$36&gt;35,N11+M12-V11,IF(A12&lt;'Données projet'!$A$36,$K$205^A12,IF(A12='Données projet'!$A$36,'Données projet'!$B$36,N11+M12-V11)))</f>
        <v>14.822688982138946</v>
      </c>
      <c r="O12" s="13">
        <f>N12*VLOOKUP('Données projet'!$B$9,Paramètres!$A$1:$I$89,3,0)*VLOOKUP('Données projet'!$B$9,Paramètres!$A$1:$I$89,5,0)</f>
        <v>8.2858831410156704</v>
      </c>
      <c r="P12" s="13">
        <f t="shared" si="33"/>
        <v>2.9853567179108209</v>
      </c>
      <c r="Q12" s="20">
        <f t="shared" si="2"/>
        <v>19.630742754296975</v>
      </c>
      <c r="R12" s="59">
        <f t="shared" si="0"/>
        <v>312.9640760876303</v>
      </c>
      <c r="S12" s="59">
        <f ca="1">AVERAGE(OFFSET($R$3,0,0,'Données projet'!$E$9+1,1))-AVERAGE(OFFSET($H$3,0,0,'Données projet'!$E$9+1,1))</f>
        <v>370.69652285220093</v>
      </c>
      <c r="T12" s="59">
        <f t="shared" si="34"/>
        <v>376.53494965377718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6.8857014887292793</v>
      </c>
      <c r="AK12" s="13">
        <f t="shared" si="35"/>
        <v>2.5349131627802968</v>
      </c>
      <c r="AL12" s="20">
        <f t="shared" si="4"/>
        <v>16.407570518045844</v>
      </c>
      <c r="AM12" s="59">
        <f t="shared" si="5"/>
        <v>309.74090385137913</v>
      </c>
      <c r="AN12" s="59">
        <f ca="1">AVERAGE(OFFSET($AM$3,0,0,'Données projet'!$E$10+1,1))-AVERAGE(OFFSET($H$3,0,0,'Données projet'!$E$10+1,1))</f>
        <v>260.20517190557814</v>
      </c>
      <c r="AO12" s="59">
        <f t="shared" si="36"/>
        <v>307.22009971147133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8.1999999999999993</v>
      </c>
      <c r="BD12" s="12">
        <f>IF('Données projet'!$A$88&gt;35,BD11+BC12-BL11,IF(A12&lt;'Données projet'!$A$88,$BA$205^A12,IF(A12='Données projet'!$A$88,'Données projet'!$B$88,BD11+BC12-BL11)))</f>
        <v>39.799999999999997</v>
      </c>
      <c r="BE12" s="13">
        <f>BD12*VLOOKUP('Données projet'!$B$11,Paramètres!$A$1:$I$89,3,0)*VLOOKUP('Données projet'!$B$11,Paramètres!$A$1:$I$89,5,0)</f>
        <v>25.456079999999996</v>
      </c>
      <c r="BF12" s="13">
        <f t="shared" si="37"/>
        <v>8.0483982555553446</v>
      </c>
      <c r="BG12" s="20">
        <f t="shared" si="7"/>
        <v>58.353632961758883</v>
      </c>
      <c r="BH12" s="59">
        <f t="shared" si="8"/>
        <v>351.68696629509219</v>
      </c>
      <c r="BI12" s="59">
        <f ca="1">AVERAGE(OFFSET($BH$3,0,0,'Données projet'!$E$11+1,1))-AVERAGE(OFFSET($H$3,0,0,'Données projet'!$E$11+1,1))</f>
        <v>81.715042525691956</v>
      </c>
      <c r="BJ12" s="59">
        <f t="shared" si="38"/>
        <v>257.80402821394864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20</v>
      </c>
      <c r="L13" s="12">
        <f>VLOOKUP(A13,'Données projet'!$A$35:$I$55,9,0)</f>
        <v>2</v>
      </c>
      <c r="M13" s="12">
        <f t="array" ref="M13">INDEX(L:L,MIN(IF(ISNUMBER(L13:L209),ROW(L13:L209),"")))</f>
        <v>2</v>
      </c>
      <c r="N13" s="13">
        <f>IF('Données projet'!$A$36&gt;35,N12+M13-V12,IF(A13&lt;'Données projet'!$A$36,$K$205^A13,IF(A13='Données projet'!$A$36,'Données projet'!$B$36,N12+M13-V12)))</f>
        <v>20</v>
      </c>
      <c r="O13" s="13">
        <f>N13*VLOOKUP('Données projet'!$B$9,Paramètres!$A$1:$I$89,3,0)*VLOOKUP('Données projet'!$B$9,Paramètres!$A$1:$I$89,5,0)</f>
        <v>11.18</v>
      </c>
      <c r="P13" s="13">
        <f t="shared" si="33"/>
        <v>3.8900505285230369</v>
      </c>
      <c r="Q13" s="20">
        <f t="shared" si="2"/>
        <v>26.247004670510957</v>
      </c>
      <c r="R13" s="59">
        <f t="shared" si="0"/>
        <v>319.58033800384425</v>
      </c>
      <c r="S13" s="59">
        <f ca="1">AVERAGE(OFFSET($R$3,0,0,'Données projet'!$E$9+1,1))-AVERAGE(OFFSET($H$3,0,0,'Données projet'!$E$9+1,1))</f>
        <v>370.69652285220093</v>
      </c>
      <c r="T13" s="59">
        <f t="shared" si="34"/>
        <v>376.53494965377718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8.7516000000000016</v>
      </c>
      <c r="AK13" s="13">
        <f t="shared" si="35"/>
        <v>3.1331453604025001</v>
      </c>
      <c r="AL13" s="20">
        <f t="shared" si="4"/>
        <v>20.699264836034356</v>
      </c>
      <c r="AM13" s="59">
        <f t="shared" si="5"/>
        <v>314.03259816936765</v>
      </c>
      <c r="AN13" s="59">
        <f ca="1">AVERAGE(OFFSET($AM$3,0,0,'Données projet'!$E$10+1,1))-AVERAGE(OFFSET($H$3,0,0,'Données projet'!$E$10+1,1))</f>
        <v>260.20517190557814</v>
      </c>
      <c r="AO13" s="59">
        <f t="shared" si="36"/>
        <v>307.22009971147133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0.13250000000000001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48</v>
      </c>
      <c r="BB13" s="12">
        <f>VLOOKUP(A13,'Données projet'!$A$87:$I$107,9,0)</f>
        <v>8.1999999999999993</v>
      </c>
      <c r="BC13" s="12">
        <f t="array" ref="BC13">INDEX(BB:BB,MIN(IF(ISNUMBER(BB13:BB209),ROW(BB13:BB209),"")))</f>
        <v>8.1999999999999993</v>
      </c>
      <c r="BD13" s="12">
        <f>IF('Données projet'!$A$88&gt;35,BD12+BC13-BL12,IF(A13&lt;'Données projet'!$A$88,$BA$205^A13,IF(A13='Données projet'!$A$88,'Données projet'!$B$88,BD12+BC13-BL12)))</f>
        <v>48</v>
      </c>
      <c r="BE13" s="13">
        <f>BD13*VLOOKUP('Données projet'!$B$11,Paramètres!$A$1:$I$89,3,0)*VLOOKUP('Données projet'!$B$11,Paramètres!$A$1:$I$89,5,0)</f>
        <v>30.700800000000001</v>
      </c>
      <c r="BF13" s="13">
        <f t="shared" si="37"/>
        <v>9.4972426271830681</v>
      </c>
      <c r="BG13" s="20">
        <f t="shared" si="7"/>
        <v>70.011590909010508</v>
      </c>
      <c r="BH13" s="59">
        <f t="shared" si="8"/>
        <v>363.34492424234384</v>
      </c>
      <c r="BI13" s="59">
        <f ca="1">AVERAGE(OFFSET($BH$3,0,0,'Données projet'!$E$11+1,1))-AVERAGE(OFFSET($H$3,0,0,'Données projet'!$E$11+1,1))</f>
        <v>81.715042525691956</v>
      </c>
      <c r="BJ13" s="59">
        <f t="shared" si="38"/>
        <v>257.80402821394864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17.5</v>
      </c>
      <c r="N14" s="13">
        <f>IF('Données projet'!$A$36&gt;35,N13+M14-V13,IF(A14&lt;'Données projet'!$A$36,$K$205^A14,IF(A14='Données projet'!$A$36,'Données projet'!$B$36,N13+M14-V13)))</f>
        <v>37.5</v>
      </c>
      <c r="O14" s="13">
        <f>N14*VLOOKUP('Données projet'!$B$9,Paramètres!$A$1:$I$89,3,0)*VLOOKUP('Données projet'!$B$9,Paramètres!$A$1:$I$89,5,0)</f>
        <v>20.962500000000002</v>
      </c>
      <c r="P14" s="13">
        <f t="shared" si="33"/>
        <v>6.7792112362552857</v>
      </c>
      <c r="Q14" s="20">
        <f t="shared" si="2"/>
        <v>48.316813736477961</v>
      </c>
      <c r="R14" s="59">
        <f t="shared" si="0"/>
        <v>341.65014706981128</v>
      </c>
      <c r="S14" s="59">
        <f ca="1">AVERAGE(OFFSET($R$3,0,0,'Données projet'!$E$9+1,1))-AVERAGE(OFFSET($H$3,0,0,'Données projet'!$E$9+1,1))</f>
        <v>370.69652285220093</v>
      </c>
      <c r="T14" s="59">
        <f t="shared" si="34"/>
        <v>376.53494965377718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12.3</v>
      </c>
      <c r="AI14" s="13">
        <f>IF('Données projet'!$A$62&gt;35,AI13+AH14-AQ13,IF(A14&lt;'Données projet'!$A$62,$AF$205^A14,IF(A14='Données projet'!$A$62,'Données projet'!$B$62,AI13+AH14-AQ13)))</f>
        <v>23.3</v>
      </c>
      <c r="AJ14" s="13">
        <f>AI14*VLOOKUP('Données projet'!$B$10,Paramètres!$A$1:$I$89,3,0)*VLOOKUP('Données projet'!$B$10,Paramètres!$A$1:$I$89,5,0)</f>
        <v>18.537480000000002</v>
      </c>
      <c r="AK14" s="13">
        <f t="shared" si="35"/>
        <v>6.0813732490407499</v>
      </c>
      <c r="AL14" s="20">
        <f t="shared" si="4"/>
        <v>42.877836075412638</v>
      </c>
      <c r="AM14" s="59">
        <f t="shared" si="5"/>
        <v>336.21116940874595</v>
      </c>
      <c r="AN14" s="59">
        <f ca="1">AVERAGE(OFFSET($AM$3,0,0,'Données projet'!$E$10+1,1))-AVERAGE(OFFSET($H$3,0,0,'Données projet'!$E$10+1,1))</f>
        <v>260.20517190557814</v>
      </c>
      <c r="AO14" s="59">
        <f t="shared" si="36"/>
        <v>307.22009971147133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14.4</v>
      </c>
      <c r="BD14" s="12">
        <f>IF('Données projet'!$A$88&gt;35,BD13+BC14-BL13,IF(A14&lt;'Données projet'!$A$88,$BA$205^A14,IF(A14='Données projet'!$A$88,'Données projet'!$B$88,BD13+BC14-BL13)))</f>
        <v>62.4</v>
      </c>
      <c r="BE14" s="13">
        <f>BD14*VLOOKUP('Données projet'!$B$11,Paramètres!$A$1:$I$89,3,0)*VLOOKUP('Données projet'!$B$11,Paramètres!$A$1:$I$89,5,0)</f>
        <v>39.91104</v>
      </c>
      <c r="BF14" s="13">
        <f t="shared" si="37"/>
        <v>11.975064994395121</v>
      </c>
      <c r="BG14" s="20">
        <f t="shared" si="7"/>
        <v>90.368299531904825</v>
      </c>
      <c r="BH14" s="59">
        <f t="shared" si="8"/>
        <v>383.70163286523814</v>
      </c>
      <c r="BI14" s="59">
        <f ca="1">AVERAGE(OFFSET($BH$3,0,0,'Données projet'!$E$11+1,1))-AVERAGE(OFFSET($H$3,0,0,'Données projet'!$E$11+1,1))</f>
        <v>81.715042525691956</v>
      </c>
      <c r="BJ14" s="59">
        <f t="shared" si="38"/>
        <v>257.80402821394864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17.5</v>
      </c>
      <c r="N15" s="13">
        <f>IF('Données projet'!$A$36&gt;35,N14+M15-V14,IF(A15&lt;'Données projet'!$A$36,$K$205^A15,IF(A15='Données projet'!$A$36,'Données projet'!$B$36,N14+M15-V14)))</f>
        <v>55</v>
      </c>
      <c r="O15" s="13">
        <f>N15*VLOOKUP('Données projet'!$B$9,Paramètres!$A$1:$I$89,3,0)*VLOOKUP('Données projet'!$B$9,Paramètres!$A$1:$I$89,5,0)</f>
        <v>30.744999999999997</v>
      </c>
      <c r="P15" s="13">
        <f t="shared" si="33"/>
        <v>9.5093232533499226</v>
      </c>
      <c r="Q15" s="20">
        <f t="shared" si="2"/>
        <v>70.109612999584456</v>
      </c>
      <c r="R15" s="59">
        <f t="shared" si="0"/>
        <v>363.44294633291776</v>
      </c>
      <c r="S15" s="59">
        <f ca="1">AVERAGE(OFFSET($R$3,0,0,'Données projet'!$E$9+1,1))-AVERAGE(OFFSET($H$3,0,0,'Données projet'!$E$9+1,1))</f>
        <v>370.69652285220093</v>
      </c>
      <c r="T15" s="59">
        <f t="shared" si="34"/>
        <v>376.53494965377718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12.3</v>
      </c>
      <c r="AI15" s="13">
        <f>IF('Données projet'!$A$62&gt;35,AI14+AH15-AQ14,IF(A15&lt;'Données projet'!$A$62,$AF$205^A15,IF(A15='Données projet'!$A$62,'Données projet'!$B$62,AI14+AH15-AQ14)))</f>
        <v>35.6</v>
      </c>
      <c r="AJ15" s="13">
        <f>AI15*VLOOKUP('Données projet'!$B$10,Paramètres!$A$1:$I$89,3,0)*VLOOKUP('Données projet'!$B$10,Paramètres!$A$1:$I$89,5,0)</f>
        <v>28.323360000000005</v>
      </c>
      <c r="AK15" s="13">
        <f t="shared" si="35"/>
        <v>8.8443757631773217</v>
      </c>
      <c r="AL15" s="20">
        <f t="shared" si="4"/>
        <v>64.733806454200504</v>
      </c>
      <c r="AM15" s="59">
        <f t="shared" si="5"/>
        <v>358.06713978753385</v>
      </c>
      <c r="AN15" s="59">
        <f ca="1">AVERAGE(OFFSET($AM$3,0,0,'Données projet'!$E$10+1,1))-AVERAGE(OFFSET($H$3,0,0,'Données projet'!$E$10+1,1))</f>
        <v>260.20517190557814</v>
      </c>
      <c r="AO15" s="59">
        <f t="shared" si="36"/>
        <v>307.22009971147133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14.4</v>
      </c>
      <c r="BD15" s="12">
        <f>IF('Données projet'!$A$88&gt;35,BD14+BC15-BL14,IF(A15&lt;'Données projet'!$A$88,$BA$205^A15,IF(A15='Données projet'!$A$88,'Données projet'!$B$88,BD14+BC15-BL14)))</f>
        <v>76.8</v>
      </c>
      <c r="BE15" s="13">
        <f>BD15*VLOOKUP('Données projet'!$B$11,Paramètres!$A$1:$I$89,3,0)*VLOOKUP('Données projet'!$B$11,Paramètres!$A$1:$I$89,5,0)</f>
        <v>49.121279999999999</v>
      </c>
      <c r="BF15" s="13">
        <f t="shared" si="37"/>
        <v>14.386592745075614</v>
      </c>
      <c r="BG15" s="20">
        <f t="shared" si="7"/>
        <v>110.60954503100669</v>
      </c>
      <c r="BH15" s="59">
        <f t="shared" si="8"/>
        <v>403.94287836434</v>
      </c>
      <c r="BI15" s="59">
        <f ca="1">AVERAGE(OFFSET($BH$3,0,0,'Données projet'!$E$11+1,1))-AVERAGE(OFFSET($H$3,0,0,'Données projet'!$E$11+1,1))</f>
        <v>81.715042525691956</v>
      </c>
      <c r="BJ15" s="59">
        <f t="shared" si="38"/>
        <v>257.80402821394864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17.5</v>
      </c>
      <c r="N16" s="13">
        <f>IF('Données projet'!$A$36&gt;35,N15+M16-V15,IF(A16&lt;'Données projet'!$A$36,$K$205^A16,IF(A16='Données projet'!$A$36,'Données projet'!$B$36,N15+M16-V15)))</f>
        <v>72.5</v>
      </c>
      <c r="O16" s="13">
        <f>N16*VLOOKUP('Données projet'!$B$9,Paramètres!$A$1:$I$89,3,0)*VLOOKUP('Données projet'!$B$9,Paramètres!$A$1:$I$89,5,0)</f>
        <v>40.527500000000003</v>
      </c>
      <c r="P16" s="13">
        <f t="shared" si="33"/>
        <v>12.13835405384425</v>
      </c>
      <c r="Q16" s="20">
        <f t="shared" si="2"/>
        <v>91.726362477112062</v>
      </c>
      <c r="R16" s="59">
        <f t="shared" si="0"/>
        <v>385.05969581044536</v>
      </c>
      <c r="S16" s="59">
        <f ca="1">AVERAGE(OFFSET($R$3,0,0,'Données projet'!$E$9+1,1))-AVERAGE(OFFSET($H$3,0,0,'Données projet'!$E$9+1,1))</f>
        <v>370.69652285220093</v>
      </c>
      <c r="T16" s="59">
        <f t="shared" si="34"/>
        <v>376.53494965377718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12.3</v>
      </c>
      <c r="AI16" s="13">
        <f>IF('Données projet'!$A$62&gt;35,AI15+AH16-AQ15,IF(A16&lt;'Données projet'!$A$62,$AF$205^A16,IF(A16='Données projet'!$A$62,'Données projet'!$B$62,AI15+AH16-AQ15)))</f>
        <v>47.900000000000006</v>
      </c>
      <c r="AJ16" s="13">
        <f>AI16*VLOOKUP('Données projet'!$B$10,Paramètres!$A$1:$I$89,3,0)*VLOOKUP('Données projet'!$B$10,Paramètres!$A$1:$I$89,5,0)</f>
        <v>38.109240000000007</v>
      </c>
      <c r="AK16" s="13">
        <f t="shared" si="35"/>
        <v>11.496097202870512</v>
      </c>
      <c r="AL16" s="20">
        <f t="shared" si="4"/>
        <v>86.395962294999478</v>
      </c>
      <c r="AM16" s="59">
        <f t="shared" si="5"/>
        <v>379.72929562833281</v>
      </c>
      <c r="AN16" s="59">
        <f ca="1">AVERAGE(OFFSET($AM$3,0,0,'Données projet'!$E$10+1,1))-AVERAGE(OFFSET($H$3,0,0,'Données projet'!$E$10+1,1))</f>
        <v>260.20517190557814</v>
      </c>
      <c r="AO16" s="59">
        <f t="shared" si="36"/>
        <v>307.22009971147133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14.4</v>
      </c>
      <c r="BD16" s="12">
        <f>IF('Données projet'!$A$88&gt;35,BD15+BC16-BL15,IF(A16&lt;'Données projet'!$A$88,$BA$205^A16,IF(A16='Données projet'!$A$88,'Données projet'!$B$88,BD15+BC16-BL15)))</f>
        <v>91.2</v>
      </c>
      <c r="BE16" s="13">
        <f>BD16*VLOOKUP('Données projet'!$B$11,Paramètres!$A$1:$I$89,3,0)*VLOOKUP('Données projet'!$B$11,Paramètres!$A$1:$I$89,5,0)</f>
        <v>58.331519999999998</v>
      </c>
      <c r="BF16" s="13">
        <f t="shared" si="37"/>
        <v>16.745735025874218</v>
      </c>
      <c r="BG16" s="20">
        <f t="shared" si="7"/>
        <v>130.7595525033976</v>
      </c>
      <c r="BH16" s="59">
        <f t="shared" si="8"/>
        <v>424.09288583673094</v>
      </c>
      <c r="BI16" s="59">
        <f ca="1">AVERAGE(OFFSET($BH$3,0,0,'Données projet'!$E$11+1,1))-AVERAGE(OFFSET($H$3,0,0,'Données projet'!$E$11+1,1))</f>
        <v>81.715042525691956</v>
      </c>
      <c r="BJ16" s="59">
        <f t="shared" si="38"/>
        <v>257.80402821394864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17.5</v>
      </c>
      <c r="N17" s="13">
        <f>IF('Données projet'!$A$36&gt;35,N16+M17-V16,IF(A17&lt;'Données projet'!$A$36,$K$205^A17,IF(A17='Données projet'!$A$36,'Données projet'!$B$36,N16+M17-V16)))</f>
        <v>90</v>
      </c>
      <c r="O17" s="13">
        <f>N17*VLOOKUP('Données projet'!$B$9,Paramètres!$A$1:$I$89,3,0)*VLOOKUP('Données projet'!$B$9,Paramètres!$A$1:$I$89,5,0)</f>
        <v>50.31</v>
      </c>
      <c r="P17" s="13">
        <f t="shared" si="33"/>
        <v>14.693789693291551</v>
      </c>
      <c r="Q17" s="20">
        <f t="shared" si="2"/>
        <v>113.21493371581612</v>
      </c>
      <c r="R17" s="59">
        <f t="shared" si="0"/>
        <v>406.54826704914944</v>
      </c>
      <c r="S17" s="59">
        <f ca="1">AVERAGE(OFFSET($R$3,0,0,'Données projet'!$E$9+1,1))-AVERAGE(OFFSET($H$3,0,0,'Données projet'!$E$9+1,1))</f>
        <v>370.69652285220093</v>
      </c>
      <c r="T17" s="59">
        <f t="shared" si="34"/>
        <v>376.53494965377718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12.3</v>
      </c>
      <c r="AI17" s="13">
        <f>IF('Données projet'!$A$62&gt;35,AI16+AH17-AQ16,IF(A17&lt;'Données projet'!$A$62,$AF$205^A17,IF(A17='Données projet'!$A$62,'Données projet'!$B$62,AI16+AH17-AQ16)))</f>
        <v>60.2</v>
      </c>
      <c r="AJ17" s="13">
        <f>AI17*VLOOKUP('Données projet'!$B$10,Paramètres!$A$1:$I$89,3,0)*VLOOKUP('Données projet'!$B$10,Paramètres!$A$1:$I$89,5,0)</f>
        <v>47.895120000000006</v>
      </c>
      <c r="AK17" s="13">
        <f t="shared" si="35"/>
        <v>14.068812032564205</v>
      </c>
      <c r="AL17" s="20">
        <f t="shared" si="4"/>
        <v>107.92051495671599</v>
      </c>
      <c r="AM17" s="59">
        <f t="shared" si="5"/>
        <v>401.25384829004929</v>
      </c>
      <c r="AN17" s="59">
        <f ca="1">AVERAGE(OFFSET($AM$3,0,0,'Données projet'!$E$10+1,1))-AVERAGE(OFFSET($H$3,0,0,'Données projet'!$E$10+1,1))</f>
        <v>260.20517190557814</v>
      </c>
      <c r="AO17" s="59">
        <f t="shared" si="36"/>
        <v>307.22009971147133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14.4</v>
      </c>
      <c r="BD17" s="12">
        <f>IF('Données projet'!$A$88&gt;35,BD16+BC17-BL16,IF(A17&lt;'Données projet'!$A$88,$BA$205^A17,IF(A17='Données projet'!$A$88,'Données projet'!$B$88,BD16+BC17-BL16)))</f>
        <v>105.60000000000001</v>
      </c>
      <c r="BE17" s="13">
        <f>BD17*VLOOKUP('Données projet'!$B$11,Paramètres!$A$1:$I$89,3,0)*VLOOKUP('Données projet'!$B$11,Paramètres!$A$1:$I$89,5,0)</f>
        <v>67.541759999999996</v>
      </c>
      <c r="BF17" s="13">
        <f t="shared" si="37"/>
        <v>19.061725619888932</v>
      </c>
      <c r="BG17" s="20">
        <f t="shared" si="7"/>
        <v>150.83440412130653</v>
      </c>
      <c r="BH17" s="59">
        <f t="shared" si="8"/>
        <v>444.16773745463985</v>
      </c>
      <c r="BI17" s="59">
        <f ca="1">AVERAGE(OFFSET($BH$3,0,0,'Données projet'!$E$11+1,1))-AVERAGE(OFFSET($H$3,0,0,'Données projet'!$E$11+1,1))</f>
        <v>81.715042525691956</v>
      </c>
      <c r="BJ17" s="59">
        <f t="shared" si="38"/>
        <v>257.80402821394864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60.092500000000001</v>
      </c>
      <c r="P18" s="13">
        <f t="shared" si="33"/>
        <v>17.191653817497027</v>
      </c>
      <c r="Q18" s="20">
        <f t="shared" si="2"/>
        <v>134.603234565474</v>
      </c>
      <c r="R18" s="59">
        <f t="shared" si="0"/>
        <v>427.93656789880731</v>
      </c>
      <c r="S18" s="59">
        <f ca="1">AVERAGE(OFFSET($R$3,0,0,'Données projet'!$E$9+1,1))-AVERAGE(OFFSET($H$3,0,0,'Données projet'!$E$9+1,1))</f>
        <v>370.69652285220093</v>
      </c>
      <c r="T18" s="59">
        <f t="shared" si="34"/>
        <v>376.53494965377718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12.3</v>
      </c>
      <c r="AI18" s="13">
        <f>IF('Données projet'!$A$62&gt;35,AI17+AH18-AQ17,IF(A18&lt;'Données projet'!$A$62,$AF$205^A18,IF(A18='Données projet'!$A$62,'Données projet'!$B$62,AI17+AH18-AQ17)))</f>
        <v>72.5</v>
      </c>
      <c r="AJ18" s="13">
        <f>AI18*VLOOKUP('Données projet'!$B$10,Paramètres!$A$1:$I$89,3,0)*VLOOKUP('Données projet'!$B$10,Paramètres!$A$1:$I$89,5,0)</f>
        <v>57.681000000000004</v>
      </c>
      <c r="AK18" s="13">
        <f t="shared" si="35"/>
        <v>16.580614810327479</v>
      </c>
      <c r="AL18" s="20">
        <f t="shared" si="4"/>
        <v>129.33897912798705</v>
      </c>
      <c r="AM18" s="59">
        <f t="shared" si="5"/>
        <v>422.67231246132036</v>
      </c>
      <c r="AN18" s="59">
        <f ca="1">AVERAGE(OFFSET($AM$3,0,0,'Données projet'!$E$10+1,1))-AVERAGE(OFFSET($H$3,0,0,'Données projet'!$E$10+1,1))</f>
        <v>260.20517190557814</v>
      </c>
      <c r="AO18" s="59">
        <f t="shared" si="36"/>
        <v>307.22009971147133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120</v>
      </c>
      <c r="BB18" s="12">
        <f>VLOOKUP(A18,'Données projet'!$A$87:$I$107,9,0)</f>
        <v>14.4</v>
      </c>
      <c r="BC18" s="12">
        <f t="array" ref="BC18">INDEX(BB:BB,MIN(IF(ISNUMBER(BB18:BB214),ROW(BB18:BB214),"")))</f>
        <v>14.4</v>
      </c>
      <c r="BD18" s="12">
        <f>IF('Données projet'!$A$88&gt;35,BD17+BC18-BL17,IF(A18&lt;'Données projet'!$A$88,$BA$205^A18,IF(A18='Données projet'!$A$88,'Données projet'!$B$88,BD17+BC18-BL17)))</f>
        <v>120.00000000000001</v>
      </c>
      <c r="BE18" s="13">
        <f>BD18*VLOOKUP('Données projet'!$B$11,Paramètres!$A$1:$I$89,3,0)*VLOOKUP('Données projet'!$B$11,Paramètres!$A$1:$I$89,5,0)</f>
        <v>76.75200000000001</v>
      </c>
      <c r="BF18" s="13">
        <f t="shared" si="37"/>
        <v>21.341125747045119</v>
      </c>
      <c r="BG18" s="20">
        <f t="shared" si="7"/>
        <v>170.84552734277023</v>
      </c>
      <c r="BH18" s="59">
        <f t="shared" si="8"/>
        <v>464.17886067610357</v>
      </c>
      <c r="BI18" s="59">
        <f ca="1">AVERAGE(OFFSET($BH$3,0,0,'Données projet'!$E$11+1,1))-AVERAGE(OFFSET($H$3,0,0,'Données projet'!$E$11+1,1))</f>
        <v>81.715042525691956</v>
      </c>
      <c r="BJ18" s="59">
        <f t="shared" si="38"/>
        <v>257.80402821394864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17.5</v>
      </c>
      <c r="N19" s="13">
        <f>IF('Données projet'!$A$36&gt;35,N18+M19-V18,IF(A19&lt;'Données projet'!$A$36,$K$205^A19,IF(A19='Données projet'!$A$36,'Données projet'!$B$36,N18+M19-V18)))</f>
        <v>125</v>
      </c>
      <c r="O19" s="13">
        <f>N19*VLOOKUP('Données projet'!$B$9,Paramètres!$A$1:$I$89,3,0)*VLOOKUP('Données projet'!$B$9,Paramètres!$A$1:$I$89,5,0)</f>
        <v>69.875</v>
      </c>
      <c r="P19" s="13">
        <f t="shared" si="33"/>
        <v>19.64241243753855</v>
      </c>
      <c r="Q19" s="20">
        <f t="shared" si="2"/>
        <v>155.90949332871295</v>
      </c>
      <c r="R19" s="59">
        <f t="shared" si="0"/>
        <v>449.24282666204624</v>
      </c>
      <c r="S19" s="59">
        <f ca="1">AVERAGE(OFFSET($R$3,0,0,'Données projet'!$E$9+1,1))-AVERAGE(OFFSET($H$3,0,0,'Données projet'!$E$9+1,1))</f>
        <v>370.69652285220093</v>
      </c>
      <c r="T19" s="59">
        <f t="shared" si="34"/>
        <v>376.53494965377718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12.3</v>
      </c>
      <c r="AI19" s="13">
        <f>IF('Données projet'!$A$62&gt;35,AI18+AH19-AQ18,IF(A19&lt;'Données projet'!$A$62,$AF$205^A19,IF(A19='Données projet'!$A$62,'Données projet'!$B$62,AI18+AH19-AQ18)))</f>
        <v>84.8</v>
      </c>
      <c r="AJ19" s="13">
        <f>AI19*VLOOKUP('Données projet'!$B$10,Paramètres!$A$1:$I$89,3,0)*VLOOKUP('Données projet'!$B$10,Paramètres!$A$1:$I$89,5,0)</f>
        <v>67.466880000000003</v>
      </c>
      <c r="AK19" s="13">
        <f t="shared" si="35"/>
        <v>19.043051531232432</v>
      </c>
      <c r="AL19" s="20">
        <f t="shared" si="4"/>
        <v>150.67146408356317</v>
      </c>
      <c r="AM19" s="59">
        <f t="shared" si="5"/>
        <v>444.00479741689651</v>
      </c>
      <c r="AN19" s="59">
        <f ca="1">AVERAGE(OFFSET($AM$3,0,0,'Données projet'!$E$10+1,1))-AVERAGE(OFFSET($H$3,0,0,'Données projet'!$E$10+1,1))</f>
        <v>260.20517190557814</v>
      </c>
      <c r="AO19" s="59">
        <f t="shared" si="36"/>
        <v>307.22009971147133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18.600000000000001</v>
      </c>
      <c r="BD19" s="12">
        <f>IF('Données projet'!$A$88&gt;35,BD18+BC19-BL18,IF(A19&lt;'Données projet'!$A$88,$BA$205^A19,IF(A19='Données projet'!$A$88,'Données projet'!$B$88,BD18+BC19-BL18)))</f>
        <v>138.60000000000002</v>
      </c>
      <c r="BE19" s="13">
        <f>BD19*VLOOKUP('Données projet'!$B$11,Paramètres!$A$1:$I$89,3,0)*VLOOKUP('Données projet'!$B$11,Paramètres!$A$1:$I$89,5,0)</f>
        <v>88.648560000000018</v>
      </c>
      <c r="BF19" s="13">
        <f t="shared" si="37"/>
        <v>24.239003759473157</v>
      </c>
      <c r="BG19" s="20">
        <f t="shared" si="7"/>
        <v>196.61250688108245</v>
      </c>
      <c r="BH19" s="59">
        <f t="shared" si="8"/>
        <v>489.94584021441574</v>
      </c>
      <c r="BI19" s="59">
        <f ca="1">AVERAGE(OFFSET($BH$3,0,0,'Données projet'!$E$11+1,1))-AVERAGE(OFFSET($H$3,0,0,'Données projet'!$E$11+1,1))</f>
        <v>81.715042525691956</v>
      </c>
      <c r="BJ19" s="59">
        <f t="shared" si="38"/>
        <v>257.80402821394864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17.5</v>
      </c>
      <c r="N20" s="13">
        <f>IF('Données projet'!$A$36&gt;35,N19+M20-V19,IF(A20&lt;'Données projet'!$A$36,$K$205^A20,IF(A20='Données projet'!$A$36,'Données projet'!$B$36,N19+M20-V19)))</f>
        <v>142.5</v>
      </c>
      <c r="O20" s="13">
        <f>N20*VLOOKUP('Données projet'!$B$9,Paramètres!$A$1:$I$89,3,0)*VLOOKUP('Données projet'!$B$9,Paramètres!$A$1:$I$89,5,0)</f>
        <v>79.657499999999999</v>
      </c>
      <c r="P20" s="13">
        <f t="shared" si="33"/>
        <v>22.05342019864063</v>
      </c>
      <c r="Q20" s="20">
        <f t="shared" si="2"/>
        <v>177.14651934596574</v>
      </c>
      <c r="R20" s="59">
        <f t="shared" si="0"/>
        <v>470.47985267929903</v>
      </c>
      <c r="S20" s="59">
        <f ca="1">AVERAGE(OFFSET($R$3,0,0,'Données projet'!$E$9+1,1))-AVERAGE(OFFSET($H$3,0,0,'Données projet'!$E$9+1,1))</f>
        <v>370.69652285220093</v>
      </c>
      <c r="T20" s="59">
        <f t="shared" si="34"/>
        <v>376.53494965377718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12.3</v>
      </c>
      <c r="AI20" s="13">
        <f>IF('Données projet'!$A$62&gt;35,AI19+AH20-AQ19,IF(A20&lt;'Données projet'!$A$62,$AF$205^A20,IF(A20='Données projet'!$A$62,'Données projet'!$B$62,AI19+AH20-AQ19)))</f>
        <v>97.1</v>
      </c>
      <c r="AJ20" s="13">
        <f>AI20*VLOOKUP('Données projet'!$B$10,Paramètres!$A$1:$I$89,3,0)*VLOOKUP('Données projet'!$B$10,Paramètres!$A$1:$I$89,5,0)</f>
        <v>77.252760000000009</v>
      </c>
      <c r="AK20" s="13">
        <f t="shared" si="35"/>
        <v>21.4641096918828</v>
      </c>
      <c r="AL20" s="20">
        <f t="shared" si="4"/>
        <v>171.93188138002924</v>
      </c>
      <c r="AM20" s="59">
        <f t="shared" si="5"/>
        <v>465.26521471336252</v>
      </c>
      <c r="AN20" s="59">
        <f ca="1">AVERAGE(OFFSET($AM$3,0,0,'Données projet'!$E$10+1,1))-AVERAGE(OFFSET($H$3,0,0,'Données projet'!$E$10+1,1))</f>
        <v>260.20517190557814</v>
      </c>
      <c r="AO20" s="59">
        <f t="shared" si="36"/>
        <v>307.22009971147133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18.600000000000001</v>
      </c>
      <c r="BD20" s="12">
        <f>IF('Données projet'!$A$88&gt;35,BD19+BC20-BL19,IF(A20&lt;'Données projet'!$A$88,$BA$205^A20,IF(A20='Données projet'!$A$88,'Données projet'!$B$88,BD19+BC20-BL19)))</f>
        <v>157.20000000000002</v>
      </c>
      <c r="BE20" s="13">
        <f>BD20*VLOOKUP('Données projet'!$B$11,Paramètres!$A$1:$I$89,3,0)*VLOOKUP('Données projet'!$B$11,Paramètres!$A$1:$I$89,5,0)</f>
        <v>100.54512</v>
      </c>
      <c r="BF20" s="13">
        <f t="shared" si="37"/>
        <v>27.0918237529843</v>
      </c>
      <c r="BG20" s="20">
        <f t="shared" si="7"/>
        <v>222.30101036978098</v>
      </c>
      <c r="BH20" s="59">
        <f t="shared" si="8"/>
        <v>515.63434370311427</v>
      </c>
      <c r="BI20" s="59">
        <f ca="1">AVERAGE(OFFSET($BH$3,0,0,'Données projet'!$E$11+1,1))-AVERAGE(OFFSET($H$3,0,0,'Données projet'!$E$11+1,1))</f>
        <v>81.715042525691956</v>
      </c>
      <c r="BJ20" s="59">
        <f t="shared" si="38"/>
        <v>257.80402821394864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17.5</v>
      </c>
      <c r="N21" s="13">
        <f>IF('Données projet'!$A$36&gt;35,N20+M21-V20,IF(A21&lt;'Données projet'!$A$36,$K$205^A21,IF(A21='Données projet'!$A$36,'Données projet'!$B$36,N20+M21-V20)))</f>
        <v>160</v>
      </c>
      <c r="O21" s="13">
        <f>N21*VLOOKUP('Données projet'!$B$9,Paramètres!$A$1:$I$89,3,0)*VLOOKUP('Données projet'!$B$9,Paramètres!$A$1:$I$89,5,0)</f>
        <v>89.44</v>
      </c>
      <c r="P21" s="13">
        <f t="shared" si="33"/>
        <v>24.430117455867048</v>
      </c>
      <c r="Q21" s="20">
        <f t="shared" si="2"/>
        <v>198.32378790230177</v>
      </c>
      <c r="R21" s="59">
        <f t="shared" si="0"/>
        <v>491.65712123563509</v>
      </c>
      <c r="S21" s="59">
        <f ca="1">AVERAGE(OFFSET($R$3,0,0,'Données projet'!$E$9+1,1))-AVERAGE(OFFSET($H$3,0,0,'Données projet'!$E$9+1,1))</f>
        <v>370.69652285220093</v>
      </c>
      <c r="T21" s="59">
        <f t="shared" si="34"/>
        <v>376.53494965377718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12.3</v>
      </c>
      <c r="AI21" s="13">
        <f>IF('Données projet'!$A$62&gt;35,AI20+AH21-AQ20,IF(A21&lt;'Données projet'!$A$62,$AF$205^A21,IF(A21='Données projet'!$A$62,'Données projet'!$B$62,AI20+AH21-AQ20)))</f>
        <v>109.39999999999999</v>
      </c>
      <c r="AJ21" s="13">
        <f>AI21*VLOOKUP('Données projet'!$B$10,Paramètres!$A$1:$I$89,3,0)*VLOOKUP('Données projet'!$B$10,Paramètres!$A$1:$I$89,5,0)</f>
        <v>87.038640000000001</v>
      </c>
      <c r="AK21" s="13">
        <f t="shared" si="35"/>
        <v>23.849631507508057</v>
      </c>
      <c r="AL21" s="20">
        <f t="shared" si="4"/>
        <v>193.13040620890987</v>
      </c>
      <c r="AM21" s="59">
        <f t="shared" si="5"/>
        <v>486.46373954224316</v>
      </c>
      <c r="AN21" s="59">
        <f ca="1">AVERAGE(OFFSET($AM$3,0,0,'Données projet'!$E$10+1,1))-AVERAGE(OFFSET($H$3,0,0,'Données projet'!$E$10+1,1))</f>
        <v>260.20517190557814</v>
      </c>
      <c r="AO21" s="59">
        <f t="shared" si="36"/>
        <v>307.22009971147133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18.600000000000001</v>
      </c>
      <c r="BD21" s="12">
        <f>IF('Données projet'!$A$88&gt;35,BD20+BC21-BL20,IF(A21&lt;'Données projet'!$A$88,$BA$205^A21,IF(A21='Données projet'!$A$88,'Données projet'!$B$88,BD20+BC21-BL20)))</f>
        <v>175.8</v>
      </c>
      <c r="BE21" s="13">
        <f>BD21*VLOOKUP('Données projet'!$B$11,Paramètres!$A$1:$I$89,3,0)*VLOOKUP('Données projet'!$B$11,Paramètres!$A$1:$I$89,5,0)</f>
        <v>112.44168000000001</v>
      </c>
      <c r="BF21" s="13">
        <f t="shared" si="37"/>
        <v>29.905526306876869</v>
      </c>
      <c r="BG21" s="20">
        <f t="shared" si="7"/>
        <v>247.92138431781052</v>
      </c>
      <c r="BH21" s="59">
        <f t="shared" si="8"/>
        <v>541.25471765114389</v>
      </c>
      <c r="BI21" s="59">
        <f ca="1">AVERAGE(OFFSET($BH$3,0,0,'Données projet'!$E$11+1,1))-AVERAGE(OFFSET($H$3,0,0,'Données projet'!$E$11+1,1))</f>
        <v>81.715042525691956</v>
      </c>
      <c r="BJ21" s="59">
        <f t="shared" si="38"/>
        <v>257.80402821394864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17.5</v>
      </c>
      <c r="N22" s="13">
        <f>IF('Données projet'!$A$36&gt;35,N21+M22-V21,IF(A22&lt;'Données projet'!$A$36,$K$205^A22,IF(A22='Données projet'!$A$36,'Données projet'!$B$36,N21+M22-V21)))</f>
        <v>177.5</v>
      </c>
      <c r="O22" s="13">
        <f>N22*VLOOKUP('Données projet'!$B$9,Paramètres!$A$1:$I$89,3,0)*VLOOKUP('Données projet'!$B$9,Paramètres!$A$1:$I$89,5,0)</f>
        <v>99.222500000000011</v>
      </c>
      <c r="P22" s="13">
        <f t="shared" si="33"/>
        <v>26.776684834408954</v>
      </c>
      <c r="Q22" s="20">
        <f t="shared" si="2"/>
        <v>219.44858025326224</v>
      </c>
      <c r="R22" s="59">
        <f t="shared" si="0"/>
        <v>512.78191358659558</v>
      </c>
      <c r="S22" s="59">
        <f ca="1">AVERAGE(OFFSET($R$3,0,0,'Données projet'!$E$9+1,1))-AVERAGE(OFFSET($H$3,0,0,'Données projet'!$E$9+1,1))</f>
        <v>370.69652285220093</v>
      </c>
      <c r="T22" s="59">
        <f t="shared" si="34"/>
        <v>376.53494965377718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12.3</v>
      </c>
      <c r="AI22" s="13">
        <f>IF('Données projet'!$A$62&gt;35,AI21+AH22-AQ21,IF(A22&lt;'Données projet'!$A$62,$AF$205^A22,IF(A22='Données projet'!$A$62,'Données projet'!$B$62,AI21+AH22-AQ21)))</f>
        <v>121.69999999999999</v>
      </c>
      <c r="AJ22" s="13">
        <f>AI22*VLOOKUP('Données projet'!$B$10,Paramètres!$A$1:$I$89,3,0)*VLOOKUP('Données projet'!$B$10,Paramètres!$A$1:$I$89,5,0)</f>
        <v>96.824519999999993</v>
      </c>
      <c r="AK22" s="13">
        <f t="shared" si="35"/>
        <v>26.20406828580953</v>
      </c>
      <c r="AL22" s="20">
        <f t="shared" si="4"/>
        <v>214.27479126445158</v>
      </c>
      <c r="AM22" s="59">
        <f t="shared" si="5"/>
        <v>507.60812459778492</v>
      </c>
      <c r="AN22" s="59">
        <f ca="1">AVERAGE(OFFSET($AM$3,0,0,'Données projet'!$E$10+1,1))-AVERAGE(OFFSET($H$3,0,0,'Données projet'!$E$10+1,1))</f>
        <v>260.20517190557814</v>
      </c>
      <c r="AO22" s="59">
        <f t="shared" si="36"/>
        <v>307.22009971147133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18.600000000000001</v>
      </c>
      <c r="BD22" s="12">
        <f>IF('Données projet'!$A$88&gt;35,BD21+BC22-BL21,IF(A22&lt;'Données projet'!$A$88,$BA$205^A22,IF(A22='Données projet'!$A$88,'Données projet'!$B$88,BD21+BC22-BL21)))</f>
        <v>194.4</v>
      </c>
      <c r="BE22" s="13">
        <f>BD22*VLOOKUP('Données projet'!$B$11,Paramètres!$A$1:$I$89,3,0)*VLOOKUP('Données projet'!$B$11,Paramètres!$A$1:$I$89,5,0)</f>
        <v>124.33824</v>
      </c>
      <c r="BF22" s="13">
        <f t="shared" si="37"/>
        <v>32.68472171446755</v>
      </c>
      <c r="BG22" s="20">
        <f t="shared" si="7"/>
        <v>273.48165831936427</v>
      </c>
      <c r="BH22" s="59">
        <f t="shared" si="8"/>
        <v>566.81499165269759</v>
      </c>
      <c r="BI22" s="59">
        <f ca="1">AVERAGE(OFFSET($BH$3,0,0,'Données projet'!$E$11+1,1))-AVERAGE(OFFSET($H$3,0,0,'Données projet'!$E$11+1,1))</f>
        <v>81.715042525691956</v>
      </c>
      <c r="BJ22" s="59">
        <f t="shared" si="38"/>
        <v>257.80402821394864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17.5</v>
      </c>
      <c r="M23" s="12">
        <f t="array" ref="M23">INDEX(L:L,MIN(IF(ISNUMBER(L23:L219),ROW(L23:L219),"")))</f>
        <v>17.5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370.69652285220093</v>
      </c>
      <c r="T23" s="59">
        <f t="shared" si="34"/>
        <v>376.53494965377718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134</v>
      </c>
      <c r="AG23" s="12">
        <f>VLOOKUP(A23,'Données projet'!$A$61:$I$81,9,0)</f>
        <v>12.3</v>
      </c>
      <c r="AH23" s="12">
        <f t="array" ref="AH23">INDEX(AG:AG,MIN(IF(ISNUMBER(AG23:AG219),ROW(AG23:AG219),"")))</f>
        <v>12.3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106.61040000000001</v>
      </c>
      <c r="AK23" s="13">
        <f t="shared" si="35"/>
        <v>28.530919434405451</v>
      </c>
      <c r="AL23" s="20">
        <f t="shared" si="4"/>
        <v>235.3711313482562</v>
      </c>
      <c r="AM23" s="59">
        <f t="shared" si="5"/>
        <v>528.70446468158957</v>
      </c>
      <c r="AN23" s="59">
        <f ca="1">AVERAGE(OFFSET($AM$3,0,0,'Données projet'!$E$10+1,1))-AVERAGE(OFFSET($H$3,0,0,'Données projet'!$E$10+1,1))</f>
        <v>260.20517190557814</v>
      </c>
      <c r="AO23" s="59">
        <f t="shared" si="36"/>
        <v>307.22009971147133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67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7.7771272982896171</v>
      </c>
      <c r="AW23" s="21">
        <f>EXP(-LN(2)/2)*AW22+(1-EXP(-LN(2)/2))/(LN(2)/2)*AQ23*AT23*VLOOKUP('Données projet'!$B$10,Paramètres!$A$1:$I$89,3,0)*0.475*44/12</f>
        <v>12.573722722105785</v>
      </c>
      <c r="AX23" s="21">
        <f t="shared" si="6"/>
        <v>20.350850020395402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213</v>
      </c>
      <c r="BB23" s="12">
        <f>VLOOKUP(A23,'Données projet'!$A$87:$I$107,9,0)</f>
        <v>18.600000000000001</v>
      </c>
      <c r="BC23" s="12">
        <f t="array" ref="BC23">INDEX(BB:BB,MIN(IF(ISNUMBER(BB23:BB219),ROW(BB23:BB219),"")))</f>
        <v>18.600000000000001</v>
      </c>
      <c r="BD23" s="12">
        <f>IF('Données projet'!$A$88&gt;35,BD22+BC23-BL22,IF(A23&lt;'Données projet'!$A$88,$BA$205^A23,IF(A23='Données projet'!$A$88,'Données projet'!$B$88,BD22+BC23-BL22)))</f>
        <v>213</v>
      </c>
      <c r="BE23" s="13">
        <f>BD23*VLOOKUP('Données projet'!$B$11,Paramètres!$A$1:$I$89,3,0)*VLOOKUP('Données projet'!$B$11,Paramètres!$A$1:$I$89,5,0)</f>
        <v>136.23480000000001</v>
      </c>
      <c r="BF23" s="13">
        <f t="shared" si="37"/>
        <v>35.433087228729818</v>
      </c>
      <c r="BG23" s="20">
        <f t="shared" si="7"/>
        <v>298.98823692337112</v>
      </c>
      <c r="BH23" s="59">
        <f t="shared" si="8"/>
        <v>592.32157025670449</v>
      </c>
      <c r="BI23" s="59">
        <f ca="1">AVERAGE(OFFSET($BH$3,0,0,'Données projet'!$E$11+1,1))-AVERAGE(OFFSET($H$3,0,0,'Données projet'!$E$11+1,1))</f>
        <v>81.715042525691956</v>
      </c>
      <c r="BJ23" s="59">
        <f t="shared" si="38"/>
        <v>257.80402821394864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213</v>
      </c>
      <c r="BM23" s="16">
        <f>IF(ISNA(VLOOKUP(A23,'Données projet'!$A$87:$I$107,5,0)),0%,VLOOKUP(A23,'Données projet'!$A$87:$I$107,5,0)*VLOOKUP('Données projet'!$B$11,Paramètres!$A$1:$I$89,7,0))</f>
        <v>0.33540000000000003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0.22</v>
      </c>
      <c r="BP23" s="21">
        <f>EXP(-LN(2)/35)*BP22+(1-EXP(-LN(2)/35))/(LN(2)/35)*BL23*BM23*VLOOKUP('Données projet'!$B$11,Paramètres!$A$1:$I$89,3,0)*0.475*44/12</f>
        <v>50.512425995059147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28.279064111294065</v>
      </c>
      <c r="BS23" s="22">
        <f t="shared" si="9"/>
        <v>78.791490106353208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370.69652285220093</v>
      </c>
      <c r="T24" s="59">
        <f t="shared" si="34"/>
        <v>376.53494965377718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14.5</v>
      </c>
      <c r="AI24" s="13">
        <f>IF('Données projet'!$A$62&gt;35,AI23+AH24-AQ23,IF(A24&lt;'Données projet'!$A$62,$AF$205^A24,IF(A24='Données projet'!$A$62,'Données projet'!$B$62,AI23+AH24-AQ23)))</f>
        <v>81.5</v>
      </c>
      <c r="AJ24" s="13">
        <f>AI24*VLOOKUP('Données projet'!$B$10,Paramètres!$A$1:$I$89,3,0)*VLOOKUP('Données projet'!$B$10,Paramètres!$A$1:$I$89,5,0)</f>
        <v>64.841399999999993</v>
      </c>
      <c r="AK24" s="13">
        <f t="shared" si="35"/>
        <v>18.386744053291277</v>
      </c>
      <c r="AL24" s="20">
        <f t="shared" si="4"/>
        <v>144.95568422614897</v>
      </c>
      <c r="AM24" s="59">
        <f t="shared" si="5"/>
        <v>438.28901755948232</v>
      </c>
      <c r="AN24" s="59">
        <f ca="1">AVERAGE(OFFSET($AM$3,0,0,'Données projet'!$E$10+1,1))-AVERAGE(OFFSET($H$3,0,0,'Données projet'!$E$10+1,1))</f>
        <v>260.20517190557814</v>
      </c>
      <c r="AO24" s="59">
        <f t="shared" si="36"/>
        <v>307.22009971147133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7.5644613433365375</v>
      </c>
      <c r="AW24" s="21">
        <f>EXP(-LN(2)/2)*AW23+(1-EXP(-LN(2)/2))/(LN(2)/2)*AQ24*AT24*VLOOKUP('Données projet'!$B$10,Paramètres!$A$1:$I$89,3,0)*0.475*44/12</f>
        <v>8.8909646015603769</v>
      </c>
      <c r="AX24" s="21">
        <f t="shared" si="6"/>
        <v>16.455425944896916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81.715042525691956</v>
      </c>
      <c r="BJ24" s="59">
        <f t="shared" si="38"/>
        <v>257.80402821394864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49.521908130833701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19.996317998705162</v>
      </c>
      <c r="BS24" s="22">
        <f t="shared" si="9"/>
        <v>69.51822612953886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370.69652285220093</v>
      </c>
      <c r="T25" s="59">
        <f t="shared" si="34"/>
        <v>376.53494965377718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14.5</v>
      </c>
      <c r="AI25" s="13">
        <f>IF('Données projet'!$A$62&gt;35,AI24+AH25-AQ24,IF(A25&lt;'Données projet'!$A$62,$AF$205^A25,IF(A25='Données projet'!$A$62,'Données projet'!$B$62,AI24+AH25-AQ24)))</f>
        <v>96</v>
      </c>
      <c r="AJ25" s="13">
        <f>AI25*VLOOKUP('Données projet'!$B$10,Paramètres!$A$1:$I$89,3,0)*VLOOKUP('Données projet'!$B$10,Paramètres!$A$1:$I$89,5,0)</f>
        <v>76.377600000000001</v>
      </c>
      <c r="AK25" s="13">
        <f t="shared" si="35"/>
        <v>21.249114127498419</v>
      </c>
      <c r="AL25" s="20">
        <f t="shared" si="4"/>
        <v>170.03319377205972</v>
      </c>
      <c r="AM25" s="59">
        <f t="shared" si="5"/>
        <v>463.36652710539306</v>
      </c>
      <c r="AN25" s="59">
        <f ca="1">AVERAGE(OFFSET($AM$3,0,0,'Données projet'!$E$10+1,1))-AVERAGE(OFFSET($H$3,0,0,'Données projet'!$E$10+1,1))</f>
        <v>260.20517190557814</v>
      </c>
      <c r="AO25" s="59">
        <f t="shared" si="36"/>
        <v>307.22009971147133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7.357610750105267</v>
      </c>
      <c r="AW25" s="21">
        <f>EXP(-LN(2)/2)*AW24+(1-EXP(-LN(2)/2))/(LN(2)/2)*AQ25*AT25*VLOOKUP('Données projet'!$B$10,Paramètres!$A$1:$I$89,3,0)*0.475*44/12</f>
        <v>6.2868613610528934</v>
      </c>
      <c r="AX25" s="21">
        <f t="shared" si="6"/>
        <v>13.64447211115816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81.715042525691956</v>
      </c>
      <c r="BJ25" s="59">
        <f t="shared" si="38"/>
        <v>257.80402821394864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48.550813717769479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14.139532055647035</v>
      </c>
      <c r="BS25" s="22">
        <f t="shared" si="9"/>
        <v>62.69034577341651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370.69652285220093</v>
      </c>
      <c r="T26" s="59">
        <f t="shared" si="34"/>
        <v>376.53494965377718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14.5</v>
      </c>
      <c r="AI26" s="13">
        <f>IF('Données projet'!$A$62&gt;35,AI25+AH26-AQ25,IF(A26&lt;'Données projet'!$A$62,$AF$205^A26,IF(A26='Données projet'!$A$62,'Données projet'!$B$62,AI25+AH26-AQ25)))</f>
        <v>110.5</v>
      </c>
      <c r="AJ26" s="13">
        <f>AI26*VLOOKUP('Données projet'!$B$10,Paramètres!$A$1:$I$89,3,0)*VLOOKUP('Données projet'!$B$10,Paramètres!$A$1:$I$89,5,0)</f>
        <v>87.913800000000009</v>
      </c>
      <c r="AK26" s="13">
        <f t="shared" si="35"/>
        <v>24.061399085756083</v>
      </c>
      <c r="AL26" s="20">
        <f t="shared" si="4"/>
        <v>195.02347174102519</v>
      </c>
      <c r="AM26" s="59">
        <f t="shared" si="5"/>
        <v>488.35680507435848</v>
      </c>
      <c r="AN26" s="59">
        <f ca="1">AVERAGE(OFFSET($AM$3,0,0,'Données projet'!$E$10+1,1))-AVERAGE(OFFSET($H$3,0,0,'Données projet'!$E$10+1,1))</f>
        <v>260.20517190557814</v>
      </c>
      <c r="AO26" s="59">
        <f t="shared" si="36"/>
        <v>307.22009971147133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7.156416497223705</v>
      </c>
      <c r="AW26" s="21">
        <f>EXP(-LN(2)/2)*AW25+(1-EXP(-LN(2)/2))/(LN(2)/2)*AQ26*AT26*VLOOKUP('Données projet'!$B$10,Paramètres!$A$1:$I$89,3,0)*0.475*44/12</f>
        <v>4.4454823007801894</v>
      </c>
      <c r="AX26" s="21">
        <f t="shared" si="6"/>
        <v>11.601898798003894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81.715042525691956</v>
      </c>
      <c r="BJ26" s="59">
        <f t="shared" si="38"/>
        <v>257.80402821394864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47.598761873836338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9.998158999352583</v>
      </c>
      <c r="BS26" s="22">
        <f t="shared" si="9"/>
        <v>57.596920873188921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370.69652285220093</v>
      </c>
      <c r="T27" s="59">
        <f t="shared" si="34"/>
        <v>376.53494965377718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14.5</v>
      </c>
      <c r="AI27" s="13">
        <f>IF('Données projet'!$A$62&gt;35,AI26+AH27-AQ26,IF(A27&lt;'Données projet'!$A$62,$AF$205^A27,IF(A27='Données projet'!$A$62,'Données projet'!$B$62,AI26+AH27-AQ26)))</f>
        <v>125</v>
      </c>
      <c r="AJ27" s="13">
        <f>AI27*VLOOKUP('Données projet'!$B$10,Paramètres!$A$1:$I$89,3,0)*VLOOKUP('Données projet'!$B$10,Paramètres!$A$1:$I$89,5,0)</f>
        <v>99.45</v>
      </c>
      <c r="AK27" s="13">
        <f t="shared" si="35"/>
        <v>26.830925603893352</v>
      </c>
      <c r="AL27" s="20">
        <f t="shared" si="4"/>
        <v>219.93927876011423</v>
      </c>
      <c r="AM27" s="59">
        <f t="shared" si="5"/>
        <v>513.27261209344761</v>
      </c>
      <c r="AN27" s="59">
        <f ca="1">AVERAGE(OFFSET($AM$3,0,0,'Données projet'!$E$10+1,1))-AVERAGE(OFFSET($H$3,0,0,'Données projet'!$E$10+1,1))</f>
        <v>260.20517190557814</v>
      </c>
      <c r="AO27" s="59">
        <f t="shared" si="36"/>
        <v>307.22009971147133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6.960723911767535</v>
      </c>
      <c r="AW27" s="21">
        <f>EXP(-LN(2)/2)*AW26+(1-EXP(-LN(2)/2))/(LN(2)/2)*AQ27*AT27*VLOOKUP('Données projet'!$B$10,Paramètres!$A$1:$I$89,3,0)*0.475*44/12</f>
        <v>3.1434306805264476</v>
      </c>
      <c r="AX27" s="21">
        <f t="shared" si="6"/>
        <v>10.104154592293982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81.715042525691956</v>
      </c>
      <c r="BJ27" s="59">
        <f t="shared" si="38"/>
        <v>257.80402821394864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46.665379185868439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7.0697660278235182</v>
      </c>
      <c r="BS27" s="22">
        <f t="shared" si="9"/>
        <v>53.735145213691958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370.69652285220093</v>
      </c>
      <c r="T28" s="59">
        <f t="shared" si="34"/>
        <v>376.53494965377718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14.5</v>
      </c>
      <c r="AI28" s="13">
        <f>IF('Données projet'!$A$62&gt;35,AI27+AH28-AQ27,IF(A28&lt;'Données projet'!$A$62,$AF$205^A28,IF(A28='Données projet'!$A$62,'Données projet'!$B$62,AI27+AH28-AQ27)))</f>
        <v>139.5</v>
      </c>
      <c r="AJ28" s="13">
        <f>AI28*VLOOKUP('Données projet'!$B$10,Paramètres!$A$1:$I$89,3,0)*VLOOKUP('Données projet'!$B$10,Paramètres!$A$1:$I$89,5,0)</f>
        <v>110.9862</v>
      </c>
      <c r="AK28" s="13">
        <f t="shared" si="35"/>
        <v>29.563220146103436</v>
      </c>
      <c r="AL28" s="20">
        <f t="shared" si="4"/>
        <v>244.79024008779683</v>
      </c>
      <c r="AM28" s="59">
        <f t="shared" si="5"/>
        <v>538.12357342113012</v>
      </c>
      <c r="AN28" s="59">
        <f ca="1">AVERAGE(OFFSET($AM$3,0,0,'Données projet'!$E$10+1,1))-AVERAGE(OFFSET($H$3,0,0,'Données projet'!$E$10+1,1))</f>
        <v>260.20517190557814</v>
      </c>
      <c r="AO28" s="59">
        <f t="shared" si="36"/>
        <v>307.22009971147133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6.7703825503516901</v>
      </c>
      <c r="AW28" s="21">
        <f>EXP(-LN(2)/2)*AW27+(1-EXP(-LN(2)/2))/(LN(2)/2)*AQ28*AT28*VLOOKUP('Données projet'!$B$10,Paramètres!$A$1:$I$89,3,0)*0.475*44/12</f>
        <v>2.2227411503900951</v>
      </c>
      <c r="AX28" s="21">
        <f t="shared" si="6"/>
        <v>8.9931237007417852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81.715042525691956</v>
      </c>
      <c r="BJ28" s="59">
        <f t="shared" si="38"/>
        <v>257.80402821394864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45.75029956310437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4.9990794996762924</v>
      </c>
      <c r="BS28" s="22">
        <f t="shared" si="9"/>
        <v>50.749379062780662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370.69652285220093</v>
      </c>
      <c r="T29" s="59">
        <f t="shared" si="34"/>
        <v>376.53494965377718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14.5</v>
      </c>
      <c r="AI29" s="13">
        <f>IF('Données projet'!$A$62&gt;35,AI28+AH29-AQ28,IF(A29&lt;'Données projet'!$A$62,$AF$205^A29,IF(A29='Données projet'!$A$62,'Données projet'!$B$62,AI28+AH29-AQ28)))</f>
        <v>154</v>
      </c>
      <c r="AJ29" s="13">
        <f>AI29*VLOOKUP('Données projet'!$B$10,Paramètres!$A$1:$I$89,3,0)*VLOOKUP('Données projet'!$B$10,Paramètres!$A$1:$I$89,5,0)</f>
        <v>122.52240000000002</v>
      </c>
      <c r="AK29" s="13">
        <f t="shared" si="35"/>
        <v>32.26259352430629</v>
      </c>
      <c r="AL29" s="20">
        <f t="shared" si="4"/>
        <v>269.58386372150017</v>
      </c>
      <c r="AM29" s="59">
        <f t="shared" si="5"/>
        <v>562.91719705483342</v>
      </c>
      <c r="AN29" s="59">
        <f ca="1">AVERAGE(OFFSET($AM$3,0,0,'Données projet'!$E$10+1,1))-AVERAGE(OFFSET($H$3,0,0,'Données projet'!$E$10+1,1))</f>
        <v>260.20517190557814</v>
      </c>
      <c r="AO29" s="59">
        <f t="shared" si="36"/>
        <v>307.22009971147133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6.585246083473379</v>
      </c>
      <c r="AW29" s="21">
        <f>EXP(-LN(2)/2)*AW28+(1-EXP(-LN(2)/2))/(LN(2)/2)*AQ29*AT29*VLOOKUP('Données projet'!$B$10,Paramètres!$A$1:$I$89,3,0)*0.475*44/12</f>
        <v>1.571715340263224</v>
      </c>
      <c r="AX29" s="21">
        <f t="shared" si="6"/>
        <v>8.1569614237366039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81.715042525691956</v>
      </c>
      <c r="BJ29" s="59">
        <f t="shared" si="38"/>
        <v>257.80402821394864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44.853164093599247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3.53488301391176</v>
      </c>
      <c r="BS29" s="22">
        <f t="shared" si="9"/>
        <v>48.388047107511007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370.69652285220093</v>
      </c>
      <c r="T30" s="59">
        <f t="shared" si="34"/>
        <v>376.53494965377718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14.5</v>
      </c>
      <c r="AI30" s="13">
        <f>IF('Données projet'!$A$62&gt;35,AI29+AH30-AQ29,IF(A30&lt;'Données projet'!$A$62,$AF$205^A30,IF(A30='Données projet'!$A$62,'Données projet'!$B$62,AI29+AH30-AQ29)))</f>
        <v>168.5</v>
      </c>
      <c r="AJ30" s="13">
        <f>AI30*VLOOKUP('Données projet'!$B$10,Paramètres!$A$1:$I$89,3,0)*VLOOKUP('Données projet'!$B$10,Paramètres!$A$1:$I$89,5,0)</f>
        <v>134.05860000000001</v>
      </c>
      <c r="AK30" s="13">
        <f t="shared" si="35"/>
        <v>34.932498076856362</v>
      </c>
      <c r="AL30" s="20">
        <f t="shared" si="4"/>
        <v>294.32616248385813</v>
      </c>
      <c r="AM30" s="59">
        <f t="shared" si="5"/>
        <v>587.65949581719144</v>
      </c>
      <c r="AN30" s="59">
        <f ca="1">AVERAGE(OFFSET($AM$3,0,0,'Données projet'!$E$10+1,1))-AVERAGE(OFFSET($H$3,0,0,'Données projet'!$E$10+1,1))</f>
        <v>260.20517190557814</v>
      </c>
      <c r="AO30" s="59">
        <f t="shared" si="36"/>
        <v>307.22009971147133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6.4051721830177586</v>
      </c>
      <c r="AW30" s="21">
        <f>EXP(-LN(2)/2)*AW29+(1-EXP(-LN(2)/2))/(LN(2)/2)*AQ30*AT30*VLOOKUP('Données projet'!$B$10,Paramètres!$A$1:$I$89,3,0)*0.475*44/12</f>
        <v>1.1113705751950478</v>
      </c>
      <c r="AX30" s="21">
        <f t="shared" si="6"/>
        <v>7.5165427582128066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81.715042525691956</v>
      </c>
      <c r="BJ30" s="59">
        <f t="shared" si="38"/>
        <v>257.80402821394864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43.973620903452513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2.4995397498381466</v>
      </c>
      <c r="BS30" s="22">
        <f t="shared" si="9"/>
        <v>46.473160653290662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370.69652285220093</v>
      </c>
      <c r="T31" s="59">
        <f t="shared" si="34"/>
        <v>376.53494965377718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14.5</v>
      </c>
      <c r="AI31" s="13">
        <f>IF('Données projet'!$A$62&gt;35,AI30+AH31-AQ30,IF(A31&lt;'Données projet'!$A$62,$AF$205^A31,IF(A31='Données projet'!$A$62,'Données projet'!$B$62,AI30+AH31-AQ30)))</f>
        <v>183</v>
      </c>
      <c r="AJ31" s="13">
        <f>AI31*VLOOKUP('Données projet'!$B$10,Paramètres!$A$1:$I$89,3,0)*VLOOKUP('Données projet'!$B$10,Paramètres!$A$1:$I$89,5,0)</f>
        <v>145.59479999999999</v>
      </c>
      <c r="AK31" s="13">
        <f t="shared" si="35"/>
        <v>37.575758023691719</v>
      </c>
      <c r="AL31" s="20">
        <f t="shared" si="4"/>
        <v>319.02205522459639</v>
      </c>
      <c r="AM31" s="59">
        <f t="shared" si="5"/>
        <v>612.3553885579297</v>
      </c>
      <c r="AN31" s="59">
        <f ca="1">AVERAGE(OFFSET($AM$3,0,0,'Données projet'!$E$10+1,1))-AVERAGE(OFFSET($H$3,0,0,'Données projet'!$E$10+1,1))</f>
        <v>260.20517190557814</v>
      </c>
      <c r="AO31" s="59">
        <f t="shared" si="36"/>
        <v>307.22009971147133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6.2300224128397721</v>
      </c>
      <c r="AW31" s="21">
        <f>EXP(-LN(2)/2)*AW30+(1-EXP(-LN(2)/2))/(LN(2)/2)*AQ31*AT31*VLOOKUP('Données projet'!$B$10,Paramètres!$A$1:$I$89,3,0)*0.475*44/12</f>
        <v>0.78585767013161212</v>
      </c>
      <c r="AX31" s="21">
        <f t="shared" si="6"/>
        <v>7.0158800829713845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81.715042525691956</v>
      </c>
      <c r="BJ31" s="59">
        <f t="shared" si="38"/>
        <v>257.80402821394864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43.11132501879618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1.7674415069558802</v>
      </c>
      <c r="BS31" s="22">
        <f t="shared" si="9"/>
        <v>44.878766525752063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370.69652285220093</v>
      </c>
      <c r="T32" s="59">
        <f t="shared" si="34"/>
        <v>376.53494965377718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14.5</v>
      </c>
      <c r="AI32" s="13">
        <f>IF('Données projet'!$A$62&gt;35,AI31+AH32-AQ31,IF(A32&lt;'Données projet'!$A$62,$AF$205^A32,IF(A32='Données projet'!$A$62,'Données projet'!$B$62,AI31+AH32-AQ31)))</f>
        <v>197.5</v>
      </c>
      <c r="AJ32" s="13">
        <f>AI32*VLOOKUP('Données projet'!$B$10,Paramètres!$A$1:$I$89,3,0)*VLOOKUP('Données projet'!$B$10,Paramètres!$A$1:$I$89,5,0)</f>
        <v>157.13100000000003</v>
      </c>
      <c r="AK32" s="13">
        <f t="shared" si="35"/>
        <v>40.194724574621844</v>
      </c>
      <c r="AL32" s="20">
        <f t="shared" si="4"/>
        <v>343.67563696746635</v>
      </c>
      <c r="AM32" s="59">
        <f t="shared" si="5"/>
        <v>637.00897030079966</v>
      </c>
      <c r="AN32" s="59">
        <f ca="1">AVERAGE(OFFSET($AM$3,0,0,'Données projet'!$E$10+1,1))-AVERAGE(OFFSET($H$3,0,0,'Données projet'!$E$10+1,1))</f>
        <v>260.20517190557814</v>
      </c>
      <c r="AO32" s="59">
        <f t="shared" si="36"/>
        <v>307.22009971147133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6.0596621223380289</v>
      </c>
      <c r="AW32" s="21">
        <f>EXP(-LN(2)/2)*AW31+(1-EXP(-LN(2)/2))/(LN(2)/2)*AQ32*AT32*VLOOKUP('Données projet'!$B$10,Paramètres!$A$1:$I$89,3,0)*0.475*44/12</f>
        <v>0.55568528759752389</v>
      </c>
      <c r="AX32" s="21">
        <f t="shared" si="6"/>
        <v>6.6153474099355529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81.715042525691956</v>
      </c>
      <c r="BJ32" s="59">
        <f t="shared" si="38"/>
        <v>257.80402821394864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42.265938230489404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1.2497698749190735</v>
      </c>
      <c r="BS32" s="22">
        <f t="shared" si="9"/>
        <v>43.515708105408478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370.69652285220093</v>
      </c>
      <c r="T33" s="59">
        <f t="shared" si="34"/>
        <v>376.53494965377718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212</v>
      </c>
      <c r="AG33" s="12">
        <f>VLOOKUP(A33,'Données projet'!$A$61:$I$81,9,0)</f>
        <v>14.5</v>
      </c>
      <c r="AH33" s="12">
        <f t="array" ref="AH33">INDEX(AG:AG,MIN(IF(ISNUMBER(AG33:AG229),ROW(AG33:AG229),"")))</f>
        <v>14.5</v>
      </c>
      <c r="AI33" s="13">
        <f>IF('Données projet'!$A$62&gt;35,AI32+AH33-AQ32,IF(A33&lt;'Données projet'!$A$62,$AF$205^A33,IF(A33='Données projet'!$A$62,'Données projet'!$B$62,AI32+AH33-AQ32)))</f>
        <v>212</v>
      </c>
      <c r="AJ33" s="13">
        <f>AI33*VLOOKUP('Données projet'!$B$10,Paramètres!$A$1:$I$89,3,0)*VLOOKUP('Données projet'!$B$10,Paramètres!$A$1:$I$89,5,0)</f>
        <v>168.66720000000001</v>
      </c>
      <c r="AK33" s="13">
        <f t="shared" si="35"/>
        <v>42.791384119459089</v>
      </c>
      <c r="AL33" s="20">
        <f t="shared" si="4"/>
        <v>368.29036734139123</v>
      </c>
      <c r="AM33" s="59">
        <f t="shared" si="5"/>
        <v>661.62370067472455</v>
      </c>
      <c r="AN33" s="59">
        <f ca="1">AVERAGE(OFFSET($AM$3,0,0,'Données projet'!$E$10+1,1))-AVERAGE(OFFSET($H$3,0,0,'Données projet'!$E$10+1,1))</f>
        <v>260.20517190557814</v>
      </c>
      <c r="AO33" s="59">
        <f t="shared" si="36"/>
        <v>307.22009971147133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5.3000000000000005E-2</v>
      </c>
      <c r="AS33" s="16">
        <f>IF(ISNA(VLOOKUP(A33,'Données projet'!$A$61:$I$81,6,0)),0%,VLOOKUP(A33,'Données projet'!$A$61:$I$81,6,0)*VLOOKUP('Données projet'!$B$10,Paramètres!$A$1:$I$89,7,0))</f>
        <v>0.23850000000000002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3.2629903879783009</v>
      </c>
      <c r="AV33" s="21">
        <f>EXP(-LN(2)/25)*AV32+(1-EXP(-LN(2)/25))/(LN(2)/25)*Calculateur!AQ33*Calculateur!AS33*VLOOKUP('Données projet'!$B$10,Paramètres!$A$1:$I$89,3,0)*0.475*44/12</f>
        <v>20.519602724797</v>
      </c>
      <c r="AW33" s="21">
        <f>EXP(-LN(2)/2)*AW32+(1-EXP(-LN(2)/2))/(LN(2)/2)*AQ33*AT33*VLOOKUP('Données projet'!$B$10,Paramètres!$A$1:$I$89,3,0)*0.475*44/12</f>
        <v>24.039034252757283</v>
      </c>
      <c r="AX33" s="21">
        <f t="shared" si="6"/>
        <v>47.821627365532585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81.715042525691956</v>
      </c>
      <c r="BJ33" s="59">
        <f t="shared" si="38"/>
        <v>257.80402821394864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41.437128961466293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0.88372075347794021</v>
      </c>
      <c r="BS33" s="22">
        <f t="shared" si="9"/>
        <v>42.320849714944231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370.69652285220093</v>
      </c>
      <c r="T34" s="59">
        <f t="shared" si="34"/>
        <v>376.53494965377718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12.1</v>
      </c>
      <c r="AI34" s="13">
        <f>IF('Données projet'!$A$62&gt;35,AI33+AH34-AQ33,IF(A34&lt;'Données projet'!$A$62,$AF$205^A34,IF(A34='Données projet'!$A$62,'Données projet'!$B$62,AI33+AH34-AQ33)))</f>
        <v>154.1</v>
      </c>
      <c r="AJ34" s="13">
        <f>AI34*VLOOKUP('Données projet'!$B$10,Paramètres!$A$1:$I$89,3,0)*VLOOKUP('Données projet'!$B$10,Paramètres!$A$1:$I$89,5,0)</f>
        <v>122.60195999999999</v>
      </c>
      <c r="AK34" s="13">
        <f t="shared" si="35"/>
        <v>32.281104011674643</v>
      </c>
      <c r="AL34" s="20">
        <f t="shared" si="4"/>
        <v>269.75466982033333</v>
      </c>
      <c r="AM34" s="59">
        <f t="shared" si="5"/>
        <v>563.0880031536667</v>
      </c>
      <c r="AN34" s="59">
        <f ca="1">AVERAGE(OFFSET($AM$3,0,0,'Données projet'!$E$10+1,1))-AVERAGE(OFFSET($H$3,0,0,'Données projet'!$E$10+1,1))</f>
        <v>260.20517190557814</v>
      </c>
      <c r="AO34" s="59">
        <f t="shared" si="36"/>
        <v>307.22009971147133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3.1990051366976644</v>
      </c>
      <c r="AV34" s="21">
        <f>EXP(-LN(2)/25)*AV33+(1-EXP(-LN(2)/25))/(LN(2)/25)*Calculateur!AQ34*Calculateur!AS34*VLOOKUP('Données projet'!$B$10,Paramètres!$A$1:$I$89,3,0)*0.475*44/12</f>
        <v>19.958493109208415</v>
      </c>
      <c r="AW34" s="21">
        <f>EXP(-LN(2)/2)*AW33+(1-EXP(-LN(2)/2))/(LN(2)/2)*AQ34*AT34*VLOOKUP('Données projet'!$B$10,Paramètres!$A$1:$I$89,3,0)*0.475*44/12</f>
        <v>16.998164133300367</v>
      </c>
      <c r="AX34" s="21">
        <f t="shared" si="6"/>
        <v>40.155662379206447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81.715042525691956</v>
      </c>
      <c r="BJ34" s="59">
        <f t="shared" si="38"/>
        <v>257.80402821394864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40.624572136684989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0.62488493745953677</v>
      </c>
      <c r="BS34" s="22">
        <f t="shared" si="9"/>
        <v>41.249457074144523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370.69652285220093</v>
      </c>
      <c r="T35" s="59">
        <f t="shared" si="34"/>
        <v>376.53494965377718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12.1</v>
      </c>
      <c r="AI35" s="13">
        <f>IF('Données projet'!$A$62&gt;35,AI34+AH35-AQ34,IF(A35&lt;'Données projet'!$A$62,$AF$205^A35,IF(A35='Données projet'!$A$62,'Données projet'!$B$62,AI34+AH35-AQ34)))</f>
        <v>166.2</v>
      </c>
      <c r="AJ35" s="13">
        <f>AI35*VLOOKUP('Données projet'!$B$10,Paramètres!$A$1:$I$89,3,0)*VLOOKUP('Données projet'!$B$10,Paramètres!$A$1:$I$89,5,0)</f>
        <v>132.22872000000001</v>
      </c>
      <c r="AK35" s="13">
        <f t="shared" si="35"/>
        <v>34.510840487492601</v>
      </c>
      <c r="AL35" s="20">
        <f t="shared" si="4"/>
        <v>290.40473451571626</v>
      </c>
      <c r="AM35" s="59">
        <f t="shared" si="5"/>
        <v>583.73806784904957</v>
      </c>
      <c r="AN35" s="59">
        <f ca="1">AVERAGE(OFFSET($AM$3,0,0,'Données projet'!$E$10+1,1))-AVERAGE(OFFSET($H$3,0,0,'Données projet'!$E$10+1,1))</f>
        <v>260.20517190557814</v>
      </c>
      <c r="AO35" s="59">
        <f t="shared" si="36"/>
        <v>307.22009971147133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3.1362745971674917</v>
      </c>
      <c r="AV35" s="21">
        <f>EXP(-LN(2)/25)*AV34+(1-EXP(-LN(2)/25))/(LN(2)/25)*Calculateur!AQ35*Calculateur!AS35*VLOOKUP('Données projet'!$B$10,Paramètres!$A$1:$I$89,3,0)*0.475*44/12</f>
        <v>19.412727065565573</v>
      </c>
      <c r="AW35" s="21">
        <f>EXP(-LN(2)/2)*AW34+(1-EXP(-LN(2)/2))/(LN(2)/2)*AQ35*AT35*VLOOKUP('Données projet'!$B$10,Paramètres!$A$1:$I$89,3,0)*0.475*44/12</f>
        <v>12.019517126378643</v>
      </c>
      <c r="AX35" s="21">
        <f t="shared" si="6"/>
        <v>34.568518789111707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81.715042525691956</v>
      </c>
      <c r="BJ35" s="59">
        <f t="shared" si="38"/>
        <v>257.80402821394864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39.827949055626924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0.44186037673897011</v>
      </c>
      <c r="BS35" s="22">
        <f t="shared" si="9"/>
        <v>40.269809432365896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370.69652285220093</v>
      </c>
      <c r="T36" s="59">
        <f t="shared" si="34"/>
        <v>376.53494965377718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12.1</v>
      </c>
      <c r="AI36" s="13">
        <f>IF('Données projet'!$A$62&gt;35,AI35+AH36-AQ35,IF(A36&lt;'Données projet'!$A$62,$AF$205^A36,IF(A36='Données projet'!$A$62,'Données projet'!$B$62,AI35+AH36-AQ35)))</f>
        <v>178.29999999999998</v>
      </c>
      <c r="AJ36" s="13">
        <f>AI36*VLOOKUP('Données projet'!$B$10,Paramètres!$A$1:$I$89,3,0)*VLOOKUP('Données projet'!$B$10,Paramètres!$A$1:$I$89,5,0)</f>
        <v>141.85548</v>
      </c>
      <c r="AK36" s="13">
        <f t="shared" si="35"/>
        <v>36.721743640099248</v>
      </c>
      <c r="AL36" s="20">
        <f t="shared" si="4"/>
        <v>311.02199783983951</v>
      </c>
      <c r="AM36" s="59">
        <f t="shared" si="5"/>
        <v>604.35533117317277</v>
      </c>
      <c r="AN36" s="59">
        <f ca="1">AVERAGE(OFFSET($AM$3,0,0,'Données projet'!$E$10+1,1))-AVERAGE(OFFSET($H$3,0,0,'Données projet'!$E$10+1,1))</f>
        <v>260.20517190557814</v>
      </c>
      <c r="AO36" s="59">
        <f t="shared" si="36"/>
        <v>307.22009971147133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3.0747741652556546</v>
      </c>
      <c r="AV36" s="21">
        <f>EXP(-LN(2)/25)*AV35+(1-EXP(-LN(2)/25))/(LN(2)/25)*Calculateur!AQ36*Calculateur!AS36*VLOOKUP('Données projet'!$B$10,Paramètres!$A$1:$I$89,3,0)*0.475*44/12</f>
        <v>18.881885023086735</v>
      </c>
      <c r="AW36" s="21">
        <f>EXP(-LN(2)/2)*AW35+(1-EXP(-LN(2)/2))/(LN(2)/2)*AQ36*AT36*VLOOKUP('Données projet'!$B$10,Paramètres!$A$1:$I$89,3,0)*0.475*44/12</f>
        <v>8.4990820666501836</v>
      </c>
      <c r="AX36" s="21">
        <f t="shared" si="6"/>
        <v>30.455741254992574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81.715042525691956</v>
      </c>
      <c r="BJ36" s="59">
        <f t="shared" si="38"/>
        <v>257.80402821394864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39.046947267296304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0.31244246872976839</v>
      </c>
      <c r="BS36" s="22">
        <f t="shared" si="9"/>
        <v>39.359389736026074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370.69652285220093</v>
      </c>
      <c r="T37" s="59">
        <f t="shared" si="34"/>
        <v>376.53494965377718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12.1</v>
      </c>
      <c r="AI37" s="13">
        <f>IF('Données projet'!$A$62&gt;35,AI36+AH37-AQ36,IF(A37&lt;'Données projet'!$A$62,$AF$205^A37,IF(A37='Données projet'!$A$62,'Données projet'!$B$62,AI36+AH37-AQ36)))</f>
        <v>190.39999999999998</v>
      </c>
      <c r="AJ37" s="13">
        <f>AI37*VLOOKUP('Données projet'!$B$10,Paramètres!$A$1:$I$89,3,0)*VLOOKUP('Données projet'!$B$10,Paramètres!$A$1:$I$89,5,0)</f>
        <v>151.48223999999999</v>
      </c>
      <c r="AK37" s="13">
        <f t="shared" si="35"/>
        <v>38.915236966075291</v>
      </c>
      <c r="AL37" s="20">
        <f t="shared" si="4"/>
        <v>331.60893904924779</v>
      </c>
      <c r="AM37" s="59">
        <f t="shared" si="5"/>
        <v>624.94227238258111</v>
      </c>
      <c r="AN37" s="59">
        <f ca="1">AVERAGE(OFFSET($AM$3,0,0,'Données projet'!$E$10+1,1))-AVERAGE(OFFSET($H$3,0,0,'Données projet'!$E$10+1,1))</f>
        <v>260.20517190557814</v>
      </c>
      <c r="AO37" s="59">
        <f t="shared" si="36"/>
        <v>307.22009971147133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3.0144797193020492</v>
      </c>
      <c r="AV37" s="21">
        <f>EXP(-LN(2)/25)*AV36+(1-EXP(-LN(2)/25))/(LN(2)/25)*Calculateur!AQ37*Calculateur!AS37*VLOOKUP('Données projet'!$B$10,Paramètres!$A$1:$I$89,3,0)*0.475*44/12</f>
        <v>18.36555888417525</v>
      </c>
      <c r="AW37" s="21">
        <f>EXP(-LN(2)/2)*AW36+(1-EXP(-LN(2)/2))/(LN(2)/2)*AQ37*AT37*VLOOKUP('Données projet'!$B$10,Paramètres!$A$1:$I$89,3,0)*0.475*44/12</f>
        <v>6.0097585631893216</v>
      </c>
      <c r="AX37" s="21">
        <f t="shared" si="6"/>
        <v>27.389797166666622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81.715042525691956</v>
      </c>
      <c r="BJ37" s="59">
        <f t="shared" si="38"/>
        <v>257.80402821394864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38.281260447670796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0.22093018836948505</v>
      </c>
      <c r="BS37" s="22">
        <f t="shared" si="9"/>
        <v>38.502190636040282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370.69652285220093</v>
      </c>
      <c r="T38" s="59">
        <f t="shared" si="34"/>
        <v>376.53494965377718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12.1</v>
      </c>
      <c r="AI38" s="13">
        <f>IF('Données projet'!$A$62&gt;35,AI37+AH38-AQ37,IF(A38&lt;'Données projet'!$A$62,$AF$205^A38,IF(A38='Données projet'!$A$62,'Données projet'!$B$62,AI37+AH38-AQ37)))</f>
        <v>202.49999999999997</v>
      </c>
      <c r="AJ38" s="13">
        <f>AI38*VLOOKUP('Données projet'!$B$10,Paramètres!$A$1:$I$89,3,0)*VLOOKUP('Données projet'!$B$10,Paramètres!$A$1:$I$89,5,0)</f>
        <v>161.10899999999998</v>
      </c>
      <c r="AK38" s="13">
        <f t="shared" si="35"/>
        <v>41.092552806229541</v>
      </c>
      <c r="AL38" s="20">
        <f t="shared" si="4"/>
        <v>352.16770447084974</v>
      </c>
      <c r="AM38" s="59">
        <f t="shared" si="5"/>
        <v>645.50103780418306</v>
      </c>
      <c r="AN38" s="59">
        <f ca="1">AVERAGE(OFFSET($AM$3,0,0,'Données projet'!$E$10+1,1))-AVERAGE(OFFSET($H$3,0,0,'Données projet'!$E$10+1,1))</f>
        <v>260.20517190557814</v>
      </c>
      <c r="AO38" s="59">
        <f t="shared" si="36"/>
        <v>307.22009971147133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2.9553676106576132</v>
      </c>
      <c r="AV38" s="21">
        <f>EXP(-LN(2)/25)*AV37+(1-EXP(-LN(2)/25))/(LN(2)/25)*Calculateur!AQ38*Calculateur!AS38*VLOOKUP('Données projet'!$B$10,Paramètres!$A$1:$I$89,3,0)*0.475*44/12</f>
        <v>17.863351710684711</v>
      </c>
      <c r="AW38" s="21">
        <f>EXP(-LN(2)/2)*AW37+(1-EXP(-LN(2)/2))/(LN(2)/2)*AQ38*AT38*VLOOKUP('Données projet'!$B$10,Paramètres!$A$1:$I$89,3,0)*0.475*44/12</f>
        <v>4.2495410333250918</v>
      </c>
      <c r="AX38" s="21">
        <f t="shared" si="6"/>
        <v>25.068260354667416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81.715042525691956</v>
      </c>
      <c r="BJ38" s="59">
        <f t="shared" si="38"/>
        <v>257.80402821394864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37.530588279555296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0.15622123436488419</v>
      </c>
      <c r="BS38" s="22">
        <f t="shared" si="9"/>
        <v>37.686809513920181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370.69652285220093</v>
      </c>
      <c r="T39" s="59">
        <f t="shared" si="34"/>
        <v>376.53494965377718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12.1</v>
      </c>
      <c r="AI39" s="13">
        <f>IF('Données projet'!$A$62&gt;35,AI38+AH39-AQ38,IF(A39&lt;'Données projet'!$A$62,$AF$205^A39,IF(A39='Données projet'!$A$62,'Données projet'!$B$62,AI38+AH39-AQ38)))</f>
        <v>214.59999999999997</v>
      </c>
      <c r="AJ39" s="13">
        <f>AI39*VLOOKUP('Données projet'!$B$10,Paramètres!$A$1:$I$89,3,0)*VLOOKUP('Données projet'!$B$10,Paramètres!$A$1:$I$89,5,0)</f>
        <v>170.73575999999997</v>
      </c>
      <c r="AK39" s="13">
        <f t="shared" si="35"/>
        <v>43.254767908658785</v>
      </c>
      <c r="AL39" s="20">
        <f t="shared" si="4"/>
        <v>372.70016944091395</v>
      </c>
      <c r="AM39" s="59">
        <f t="shared" si="5"/>
        <v>666.03350277424727</v>
      </c>
      <c r="AN39" s="59">
        <f ca="1">AVERAGE(OFFSET($AM$3,0,0,'Données projet'!$E$10+1,1))-AVERAGE(OFFSET($H$3,0,0,'Données projet'!$E$10+1,1))</f>
        <v>260.20517190557814</v>
      </c>
      <c r="AO39" s="59">
        <f t="shared" si="36"/>
        <v>307.22009971147133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2.8974146544088684</v>
      </c>
      <c r="AV39" s="21">
        <f>EXP(-LN(2)/25)*AV38+(1-EXP(-LN(2)/25))/(LN(2)/25)*Calculateur!AQ39*Calculateur!AS39*VLOOKUP('Données projet'!$B$10,Paramètres!$A$1:$I$89,3,0)*0.475*44/12</f>
        <v>17.374877418763198</v>
      </c>
      <c r="AW39" s="21">
        <f>EXP(-LN(2)/2)*AW38+(1-EXP(-LN(2)/2))/(LN(2)/2)*AQ39*AT39*VLOOKUP('Données projet'!$B$10,Paramètres!$A$1:$I$89,3,0)*0.475*44/12</f>
        <v>3.0048792815946608</v>
      </c>
      <c r="AX39" s="21">
        <f t="shared" si="6"/>
        <v>23.277171354766729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81.715042525691956</v>
      </c>
      <c r="BJ39" s="59">
        <f t="shared" si="38"/>
        <v>257.80402821394864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36.794636334791733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0.11046509418474253</v>
      </c>
      <c r="BS39" s="22">
        <f t="shared" si="9"/>
        <v>36.905101428976472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370.69652285220093</v>
      </c>
      <c r="T40" s="59">
        <f t="shared" si="34"/>
        <v>376.53494965377718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12.1</v>
      </c>
      <c r="AI40" s="13">
        <f>IF('Données projet'!$A$62&gt;35,AI39+AH40-AQ39,IF(A40&lt;'Données projet'!$A$62,$AF$205^A40,IF(A40='Données projet'!$A$62,'Données projet'!$B$62,AI39+AH40-AQ39)))</f>
        <v>226.69999999999996</v>
      </c>
      <c r="AJ40" s="13">
        <f>AI40*VLOOKUP('Données projet'!$B$10,Paramètres!$A$1:$I$89,3,0)*VLOOKUP('Données projet'!$B$10,Paramètres!$A$1:$I$89,5,0)</f>
        <v>180.36251999999996</v>
      </c>
      <c r="AK40" s="13">
        <f t="shared" si="35"/>
        <v>45.402830740762262</v>
      </c>
      <c r="AL40" s="20">
        <f t="shared" si="4"/>
        <v>393.20798587349418</v>
      </c>
      <c r="AM40" s="59">
        <f t="shared" si="5"/>
        <v>686.54131920682744</v>
      </c>
      <c r="AN40" s="59">
        <f ca="1">AVERAGE(OFFSET($AM$3,0,0,'Données projet'!$E$10+1,1))-AVERAGE(OFFSET($H$3,0,0,'Données projet'!$E$10+1,1))</f>
        <v>260.20517190557814</v>
      </c>
      <c r="AO40" s="59">
        <f t="shared" si="36"/>
        <v>307.22009971147133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2.8405981202843482</v>
      </c>
      <c r="AV40" s="21">
        <f>EXP(-LN(2)/25)*AV39+(1-EXP(-LN(2)/25))/(LN(2)/25)*Calculateur!AQ40*Calculateur!AS40*VLOOKUP('Données projet'!$B$10,Paramètres!$A$1:$I$89,3,0)*0.475*44/12</f>
        <v>16.899760482042026</v>
      </c>
      <c r="AW40" s="21">
        <f>EXP(-LN(2)/2)*AW39+(1-EXP(-LN(2)/2))/(LN(2)/2)*AQ40*AT40*VLOOKUP('Données projet'!$B$10,Paramètres!$A$1:$I$89,3,0)*0.475*44/12</f>
        <v>2.1247705166625459</v>
      </c>
      <c r="AX40" s="21">
        <f t="shared" si="6"/>
        <v>21.865129118988921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81.715042525691956</v>
      </c>
      <c r="BJ40" s="59">
        <f t="shared" si="38"/>
        <v>257.80402821394864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36.073115958778615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7.8110617182442096E-2</v>
      </c>
      <c r="BS40" s="22">
        <f t="shared" si="9"/>
        <v>36.151226575961054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370.69652285220093</v>
      </c>
      <c r="T41" s="59">
        <f t="shared" si="34"/>
        <v>376.53494965377718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12.1</v>
      </c>
      <c r="AI41" s="13">
        <f>IF('Données projet'!$A$62&gt;35,AI40+AH41-AQ40,IF(A41&lt;'Données projet'!$A$62,$AF$205^A41,IF(A41='Données projet'!$A$62,'Données projet'!$B$62,AI40+AH41-AQ40)))</f>
        <v>238.79999999999995</v>
      </c>
      <c r="AJ41" s="13">
        <f>AI41*VLOOKUP('Données projet'!$B$10,Paramètres!$A$1:$I$89,3,0)*VLOOKUP('Données projet'!$B$10,Paramètres!$A$1:$I$89,5,0)</f>
        <v>189.98927999999998</v>
      </c>
      <c r="AK41" s="13">
        <f t="shared" si="35"/>
        <v>47.537582803650189</v>
      </c>
      <c r="AL41" s="20">
        <f t="shared" si="4"/>
        <v>413.69261938302407</v>
      </c>
      <c r="AM41" s="59">
        <f t="shared" si="5"/>
        <v>707.02595271635732</v>
      </c>
      <c r="AN41" s="59">
        <f ca="1">AVERAGE(OFFSET($AM$3,0,0,'Données projet'!$E$10+1,1))-AVERAGE(OFFSET($H$3,0,0,'Données projet'!$E$10+1,1))</f>
        <v>260.20517190557814</v>
      </c>
      <c r="AO41" s="59">
        <f t="shared" si="36"/>
        <v>307.22009971147133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2.7848957237393459</v>
      </c>
      <c r="AV41" s="21">
        <f>EXP(-LN(2)/25)*AV40+(1-EXP(-LN(2)/25))/(LN(2)/25)*Calculateur!AQ41*Calculateur!AS41*VLOOKUP('Données projet'!$B$10,Paramètres!$A$1:$I$89,3,0)*0.475*44/12</f>
        <v>16.437635642940808</v>
      </c>
      <c r="AW41" s="21">
        <f>EXP(-LN(2)/2)*AW40+(1-EXP(-LN(2)/2))/(LN(2)/2)*AQ41*AT41*VLOOKUP('Données projet'!$B$10,Paramètres!$A$1:$I$89,3,0)*0.475*44/12</f>
        <v>1.5024396407973304</v>
      </c>
      <c r="AX41" s="21">
        <f t="shared" si="6"/>
        <v>20.724971007477485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81.715042525691956</v>
      </c>
      <c r="BJ41" s="59">
        <f t="shared" si="38"/>
        <v>257.80402821394864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35.365744157255143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5.5232547092371263E-2</v>
      </c>
      <c r="BS41" s="22">
        <f t="shared" si="9"/>
        <v>35.420976704347517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370.69652285220093</v>
      </c>
      <c r="T42" s="59">
        <f t="shared" si="34"/>
        <v>376.53494965377718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12.1</v>
      </c>
      <c r="AI42" s="13">
        <f>IF('Données projet'!$A$62&gt;35,AI41+AH42-AQ41,IF(A42&lt;'Données projet'!$A$62,$AF$205^A42,IF(A42='Données projet'!$A$62,'Données projet'!$B$62,AI41+AH42-AQ41)))</f>
        <v>250.89999999999995</v>
      </c>
      <c r="AJ42" s="13">
        <f>AI42*VLOOKUP('Données projet'!$B$10,Paramètres!$A$1:$I$89,3,0)*VLOOKUP('Données projet'!$B$10,Paramètres!$A$1:$I$89,5,0)</f>
        <v>199.61603999999997</v>
      </c>
      <c r="AK42" s="13">
        <f t="shared" si="35"/>
        <v>49.659775503665841</v>
      </c>
      <c r="AL42" s="20">
        <f t="shared" si="4"/>
        <v>434.15537866888457</v>
      </c>
      <c r="AM42" s="59">
        <f t="shared" si="5"/>
        <v>727.48871200221788</v>
      </c>
      <c r="AN42" s="59">
        <f ca="1">AVERAGE(OFFSET($AM$3,0,0,'Données projet'!$E$10+1,1))-AVERAGE(OFFSET($H$3,0,0,'Données projet'!$E$10+1,1))</f>
        <v>260.20517190557814</v>
      </c>
      <c r="AO42" s="59">
        <f t="shared" si="36"/>
        <v>307.22009971147133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2.7302856172154844</v>
      </c>
      <c r="AV42" s="21">
        <f>EXP(-LN(2)/25)*AV41+(1-EXP(-LN(2)/25))/(LN(2)/25)*Calculateur!AQ42*Calculateur!AS42*VLOOKUP('Données projet'!$B$10,Paramètres!$A$1:$I$89,3,0)*0.475*44/12</f>
        <v>15.988147631866902</v>
      </c>
      <c r="AW42" s="21">
        <f>EXP(-LN(2)/2)*AW41+(1-EXP(-LN(2)/2))/(LN(2)/2)*AQ42*AT42*VLOOKUP('Données projet'!$B$10,Paramètres!$A$1:$I$89,3,0)*0.475*44/12</f>
        <v>1.062385258331273</v>
      </c>
      <c r="AX42" s="21">
        <f t="shared" si="6"/>
        <v>19.78081850741366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81.715042525691956</v>
      </c>
      <c r="BJ42" s="59">
        <f t="shared" si="38"/>
        <v>257.80402821394864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34.672243485305351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3.9055308591221048E-2</v>
      </c>
      <c r="BS42" s="22">
        <f t="shared" si="9"/>
        <v>34.711298793896574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370.69652285220093</v>
      </c>
      <c r="T43" s="59">
        <f t="shared" si="34"/>
        <v>376.53494965377718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12.1</v>
      </c>
      <c r="AH43" s="12">
        <f t="array" ref="AH43">INDEX(AG:AG,MIN(IF(ISNUMBER(AG43:AG239),ROW(AG43:AG239),"")))</f>
        <v>12.1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209.24279999999996</v>
      </c>
      <c r="AK43" s="13">
        <f t="shared" si="35"/>
        <v>51.770083677016814</v>
      </c>
      <c r="AL43" s="20">
        <f t="shared" si="4"/>
        <v>454.59743907080411</v>
      </c>
      <c r="AM43" s="59">
        <f t="shared" si="5"/>
        <v>747.93077240413743</v>
      </c>
      <c r="AN43" s="59">
        <f ca="1">AVERAGE(OFFSET($AM$3,0,0,'Données projet'!$E$10+1,1))-AVERAGE(OFFSET($H$3,0,0,'Données projet'!$E$10+1,1))</f>
        <v>260.20517190557814</v>
      </c>
      <c r="AO43" s="59">
        <f t="shared" si="36"/>
        <v>307.22009971147133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2.6767463815716797</v>
      </c>
      <c r="AV43" s="21">
        <f>EXP(-LN(2)/25)*AV42+(1-EXP(-LN(2)/25))/(LN(2)/25)*Calculateur!AQ43*Calculateur!AS43*VLOOKUP('Données projet'!$B$10,Paramètres!$A$1:$I$89,3,0)*0.475*44/12</f>
        <v>15.550950894093358</v>
      </c>
      <c r="AW43" s="21">
        <f>EXP(-LN(2)/2)*AW42+(1-EXP(-LN(2)/2))/(LN(2)/2)*AQ43*AT43*VLOOKUP('Données projet'!$B$10,Paramètres!$A$1:$I$89,3,0)*0.475*44/12</f>
        <v>0.75121982039866519</v>
      </c>
      <c r="AX43" s="21">
        <f t="shared" si="6"/>
        <v>18.9789170960637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81.715042525691956</v>
      </c>
      <c r="BJ43" s="59">
        <f t="shared" si="38"/>
        <v>257.80402821394864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33.99234193853885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2.7616273546185632E-2</v>
      </c>
      <c r="BS43" s="22">
        <f t="shared" si="9"/>
        <v>34.019958212085037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370.69652285220093</v>
      </c>
      <c r="T44" s="59">
        <f t="shared" si="34"/>
        <v>376.53494965377718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9.1999999999999993</v>
      </c>
      <c r="AI44" s="13">
        <f>IF('Données projet'!$A$62&gt;35,AI43+AH44-AQ43,IF(A44&lt;'Données projet'!$A$62,$AF$205^A44,IF(A44='Données projet'!$A$62,'Données projet'!$B$62,AI43+AH44-AQ43)))</f>
        <v>202.19999999999993</v>
      </c>
      <c r="AJ44" s="13">
        <f>AI44*VLOOKUP('Données projet'!$B$10,Paramètres!$A$1:$I$89,3,0)*VLOOKUP('Données projet'!$B$10,Paramètres!$A$1:$I$89,5,0)</f>
        <v>160.87031999999996</v>
      </c>
      <c r="AK44" s="13">
        <f t="shared" si="35"/>
        <v>41.038756492063129</v>
      </c>
      <c r="AL44" s="20">
        <f t="shared" si="4"/>
        <v>351.65830822367656</v>
      </c>
      <c r="AM44" s="59">
        <f t="shared" si="5"/>
        <v>644.99164155700987</v>
      </c>
      <c r="AN44" s="59">
        <f ca="1">AVERAGE(OFFSET($AM$3,0,0,'Données projet'!$E$10+1,1))-AVERAGE(OFFSET($H$3,0,0,'Données projet'!$E$10+1,1))</f>
        <v>260.20517190557814</v>
      </c>
      <c r="AO44" s="59">
        <f t="shared" si="36"/>
        <v>307.22009971147133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2.6242570176831408</v>
      </c>
      <c r="AV44" s="21">
        <f>EXP(-LN(2)/25)*AV43+(1-EXP(-LN(2)/25))/(LN(2)/25)*Calculateur!AQ44*Calculateur!AS44*VLOOKUP('Données projet'!$B$10,Paramètres!$A$1:$I$89,3,0)*0.475*44/12</f>
        <v>15.12570932410541</v>
      </c>
      <c r="AW44" s="21">
        <f>EXP(-LN(2)/2)*AW43+(1-EXP(-LN(2)/2))/(LN(2)/2)*AQ44*AT44*VLOOKUP('Données projet'!$B$10,Paramètres!$A$1:$I$89,3,0)*0.475*44/12</f>
        <v>0.53119262916563648</v>
      </c>
      <c r="AX44" s="21">
        <f t="shared" si="6"/>
        <v>18.281158970954188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81.715042525691956</v>
      </c>
      <c r="BJ44" s="59">
        <f t="shared" si="38"/>
        <v>257.80402821394864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33.325772846405442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1.9527654295610524E-2</v>
      </c>
      <c r="BS44" s="22">
        <f t="shared" si="9"/>
        <v>33.34530050070105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370.69652285220093</v>
      </c>
      <c r="T45" s="59">
        <f t="shared" si="34"/>
        <v>376.53494965377718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9.1999999999999993</v>
      </c>
      <c r="AI45" s="13">
        <f>IF('Données projet'!$A$62&gt;35,AI44+AH45-AQ44,IF(A45&lt;'Données projet'!$A$62,$AF$205^A45,IF(A45='Données projet'!$A$62,'Données projet'!$B$62,AI44+AH45-AQ44)))</f>
        <v>211.39999999999992</v>
      </c>
      <c r="AJ45" s="13">
        <f>AI45*VLOOKUP('Données projet'!$B$10,Paramètres!$A$1:$I$89,3,0)*VLOOKUP('Données projet'!$B$10,Paramètres!$A$1:$I$89,5,0)</f>
        <v>168.18983999999995</v>
      </c>
      <c r="AK45" s="13">
        <f t="shared" si="35"/>
        <v>42.684355718695357</v>
      </c>
      <c r="AL45" s="20">
        <f t="shared" si="4"/>
        <v>367.27255754339438</v>
      </c>
      <c r="AM45" s="59">
        <f t="shared" si="5"/>
        <v>660.6058908767277</v>
      </c>
      <c r="AN45" s="59">
        <f ca="1">AVERAGE(OFFSET($AM$3,0,0,'Données projet'!$E$10+1,1))-AVERAGE(OFFSET($H$3,0,0,'Données projet'!$E$10+1,1))</f>
        <v>260.20517190557814</v>
      </c>
      <c r="AO45" s="59">
        <f t="shared" si="36"/>
        <v>307.22009971147133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2.572796938205105</v>
      </c>
      <c r="AV45" s="21">
        <f>EXP(-LN(2)/25)*AV44+(1-EXP(-LN(2)/25))/(LN(2)/25)*Calculateur!AQ45*Calculateur!AS45*VLOOKUP('Données projet'!$B$10,Paramètres!$A$1:$I$89,3,0)*0.475*44/12</f>
        <v>14.712096007211263</v>
      </c>
      <c r="AW45" s="21">
        <f>EXP(-LN(2)/2)*AW44+(1-EXP(-LN(2)/2))/(LN(2)/2)*AQ45*AT45*VLOOKUP('Données projet'!$B$10,Paramètres!$A$1:$I$89,3,0)*0.475*44/12</f>
        <v>0.3756099101993326</v>
      </c>
      <c r="AX45" s="21">
        <f t="shared" si="6"/>
        <v>17.6605028556157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81.715042525691956</v>
      </c>
      <c r="BJ45" s="59">
        <f t="shared" si="38"/>
        <v>257.80402821394864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32.67227476760177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1.3808136773092816E-2</v>
      </c>
      <c r="BS45" s="22">
        <f t="shared" si="9"/>
        <v>32.686082904374864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370.69652285220093</v>
      </c>
      <c r="T46" s="59">
        <f t="shared" si="34"/>
        <v>376.53494965377718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9.1999999999999993</v>
      </c>
      <c r="AI46" s="13">
        <f>IF('Données projet'!$A$62&gt;35,AI45+AH46-AQ45,IF(A46&lt;'Données projet'!$A$62,$AF$205^A46,IF(A46='Données projet'!$A$62,'Données projet'!$B$62,AI45+AH46-AQ45)))</f>
        <v>220.59999999999991</v>
      </c>
      <c r="AJ46" s="13">
        <f>AI46*VLOOKUP('Données projet'!$B$10,Paramètres!$A$1:$I$89,3,0)*VLOOKUP('Données projet'!$B$10,Paramètres!$A$1:$I$89,5,0)</f>
        <v>175.50935999999993</v>
      </c>
      <c r="AK46" s="13">
        <f t="shared" si="35"/>
        <v>44.321637208794016</v>
      </c>
      <c r="AL46" s="20">
        <f t="shared" si="4"/>
        <v>382.87232013864946</v>
      </c>
      <c r="AM46" s="59">
        <f t="shared" si="5"/>
        <v>676.20565347198271</v>
      </c>
      <c r="AN46" s="59">
        <f ca="1">AVERAGE(OFFSET($AM$3,0,0,'Données projet'!$E$10+1,1))-AVERAGE(OFFSET($H$3,0,0,'Données projet'!$E$10+1,1))</f>
        <v>260.20517190557814</v>
      </c>
      <c r="AO46" s="59">
        <f t="shared" si="36"/>
        <v>307.22009971147133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2.5223459594980846</v>
      </c>
      <c r="AV46" s="21">
        <f>EXP(-LN(2)/25)*AV45+(1-EXP(-LN(2)/25))/(LN(2)/25)*Calculateur!AQ46*Calculateur!AS46*VLOOKUP('Données projet'!$B$10,Paramètres!$A$1:$I$89,3,0)*0.475*44/12</f>
        <v>14.309792968218567</v>
      </c>
      <c r="AW46" s="21">
        <f>EXP(-LN(2)/2)*AW45+(1-EXP(-LN(2)/2))/(LN(2)/2)*AQ46*AT46*VLOOKUP('Données projet'!$B$10,Paramètres!$A$1:$I$89,3,0)*0.475*44/12</f>
        <v>0.26559631458281824</v>
      </c>
      <c r="AX46" s="21">
        <f t="shared" si="6"/>
        <v>17.097735242299471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81.715042525691956</v>
      </c>
      <c r="BJ46" s="59">
        <f t="shared" si="38"/>
        <v>257.80402821394864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32.03159138752897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9.763827147805262E-3</v>
      </c>
      <c r="BS46" s="22">
        <f t="shared" si="9"/>
        <v>32.041355214676777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370.69652285220093</v>
      </c>
      <c r="T47" s="59">
        <f t="shared" si="34"/>
        <v>376.53494965377718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9.1999999999999993</v>
      </c>
      <c r="AI47" s="13">
        <f>IF('Données projet'!$A$62&gt;35,AI46+AH47-AQ46,IF(A47&lt;'Données projet'!$A$62,$AF$205^A47,IF(A47='Données projet'!$A$62,'Données projet'!$B$62,AI46+AH47-AQ46)))</f>
        <v>229.7999999999999</v>
      </c>
      <c r="AJ47" s="13">
        <f>AI47*VLOOKUP('Données projet'!$B$10,Paramètres!$A$1:$I$89,3,0)*VLOOKUP('Données projet'!$B$10,Paramètres!$A$1:$I$89,5,0)</f>
        <v>182.82887999999994</v>
      </c>
      <c r="AK47" s="13">
        <f t="shared" si="35"/>
        <v>45.950987516613559</v>
      </c>
      <c r="AL47" s="20">
        <f t="shared" si="4"/>
        <v>398.45826925810184</v>
      </c>
      <c r="AM47" s="59">
        <f t="shared" si="5"/>
        <v>691.79160259143509</v>
      </c>
      <c r="AN47" s="59">
        <f ca="1">AVERAGE(OFFSET($AM$3,0,0,'Données projet'!$E$10+1,1))-AVERAGE(OFFSET($H$3,0,0,'Données projet'!$E$10+1,1))</f>
        <v>260.20517190557814</v>
      </c>
      <c r="AO47" s="59">
        <f t="shared" si="36"/>
        <v>307.22009971147133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2.4728842937114504</v>
      </c>
      <c r="AV47" s="21">
        <f>EXP(-LN(2)/25)*AV46+(1-EXP(-LN(2)/25))/(LN(2)/25)*Calculateur!AQ47*Calculateur!AS47*VLOOKUP('Données projet'!$B$10,Paramètres!$A$1:$I$89,3,0)*0.475*44/12</f>
        <v>13.918490926983322</v>
      </c>
      <c r="AW47" s="21">
        <f>EXP(-LN(2)/2)*AW46+(1-EXP(-LN(2)/2))/(LN(2)/2)*AQ47*AT47*VLOOKUP('Données projet'!$B$10,Paramètres!$A$1:$I$89,3,0)*0.475*44/12</f>
        <v>0.1878049550996663</v>
      </c>
      <c r="AX47" s="21">
        <f t="shared" si="6"/>
        <v>16.579180175794438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81.715042525691956</v>
      </c>
      <c r="BJ47" s="59">
        <f t="shared" si="38"/>
        <v>257.80402821394864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31.403471417761121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6.9040683865464079E-3</v>
      </c>
      <c r="BS47" s="22">
        <f t="shared" si="9"/>
        <v>31.410375486147668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370.69652285220093</v>
      </c>
      <c r="T48" s="59">
        <f t="shared" si="34"/>
        <v>376.53494965377718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9.1999999999999993</v>
      </c>
      <c r="AI48" s="13">
        <f>IF('Données projet'!$A$62&gt;35,AI47+AH48-AQ47,IF(A48&lt;'Données projet'!$A$62,$AF$205^A48,IF(A48='Données projet'!$A$62,'Données projet'!$B$62,AI47+AH48-AQ47)))</f>
        <v>238.99999999999989</v>
      </c>
      <c r="AJ48" s="13">
        <f>AI48*VLOOKUP('Données projet'!$B$10,Paramètres!$A$1:$I$89,3,0)*VLOOKUP('Données projet'!$B$10,Paramètres!$A$1:$I$89,5,0)</f>
        <v>190.14839999999992</v>
      </c>
      <c r="AK48" s="13">
        <f t="shared" si="35"/>
        <v>47.572760493232991</v>
      </c>
      <c r="AL48" s="20">
        <f t="shared" si="4"/>
        <v>414.03102119238065</v>
      </c>
      <c r="AM48" s="59">
        <f t="shared" si="5"/>
        <v>707.36435452571391</v>
      </c>
      <c r="AN48" s="59">
        <f ca="1">AVERAGE(OFFSET($AM$3,0,0,'Données projet'!$E$10+1,1))-AVERAGE(OFFSET($H$3,0,0,'Données projet'!$E$10+1,1))</f>
        <v>260.20517190557814</v>
      </c>
      <c r="AO48" s="59">
        <f t="shared" si="36"/>
        <v>307.22009971147133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2.4243925410222547</v>
      </c>
      <c r="AV48" s="21">
        <f>EXP(-LN(2)/25)*AV47+(1-EXP(-LN(2)/25))/(LN(2)/25)*Calculateur!AQ48*Calculateur!AS48*VLOOKUP('Données projet'!$B$10,Paramètres!$A$1:$I$89,3,0)*0.475*44/12</f>
        <v>13.537889060643337</v>
      </c>
      <c r="AW48" s="21">
        <f>EXP(-LN(2)/2)*AW47+(1-EXP(-LN(2)/2))/(LN(2)/2)*AQ48*AT48*VLOOKUP('Données projet'!$B$10,Paramètres!$A$1:$I$89,3,0)*0.475*44/12</f>
        <v>0.13279815729140912</v>
      </c>
      <c r="AX48" s="21">
        <f t="shared" si="6"/>
        <v>16.095079758956999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81.715042525691956</v>
      </c>
      <c r="BJ48" s="59">
        <f t="shared" si="38"/>
        <v>257.80402821394864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30.787668497485068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4.881913573902631E-3</v>
      </c>
      <c r="BS48" s="22">
        <f t="shared" si="9"/>
        <v>30.792550411058972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370.69652285220093</v>
      </c>
      <c r="T49" s="59">
        <f t="shared" si="34"/>
        <v>376.53494965377718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9.1999999999999993</v>
      </c>
      <c r="AI49" s="13">
        <f>IF('Données projet'!$A$62&gt;35,AI48+AH49-AQ48,IF(A49&lt;'Données projet'!$A$62,$AF$205^A49,IF(A49='Données projet'!$A$62,'Données projet'!$B$62,AI48+AH49-AQ48)))</f>
        <v>248.19999999999987</v>
      </c>
      <c r="AJ49" s="13">
        <f>AI49*VLOOKUP('Données projet'!$B$10,Paramètres!$A$1:$I$89,3,0)*VLOOKUP('Données projet'!$B$10,Paramètres!$A$1:$I$89,5,0)</f>
        <v>197.46791999999991</v>
      </c>
      <c r="AK49" s="13">
        <f t="shared" si="35"/>
        <v>49.187281204902298</v>
      </c>
      <c r="AL49" s="20">
        <f t="shared" si="4"/>
        <v>429.591142098538</v>
      </c>
      <c r="AM49" s="59">
        <f t="shared" si="5"/>
        <v>722.92447543187131</v>
      </c>
      <c r="AN49" s="59">
        <f ca="1">AVERAGE(OFFSET($AM$3,0,0,'Données projet'!$E$10+1,1))-AVERAGE(OFFSET($H$3,0,0,'Données projet'!$E$10+1,1))</f>
        <v>260.20517190557814</v>
      </c>
      <c r="AO49" s="59">
        <f t="shared" si="36"/>
        <v>307.22009971147133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2.3768516820262455</v>
      </c>
      <c r="AV49" s="21">
        <f>EXP(-LN(2)/25)*AV48+(1-EXP(-LN(2)/25))/(LN(2)/25)*Calculateur!AQ49*Calculateur!AS49*VLOOKUP('Données projet'!$B$10,Paramètres!$A$1:$I$89,3,0)*0.475*44/12</f>
        <v>13.167694772353402</v>
      </c>
      <c r="AW49" s="21">
        <f>EXP(-LN(2)/2)*AW48+(1-EXP(-LN(2)/2))/(LN(2)/2)*AQ49*AT49*VLOOKUP('Données projet'!$B$10,Paramètres!$A$1:$I$89,3,0)*0.475*44/12</f>
        <v>9.3902477549833149E-2</v>
      </c>
      <c r="AX49" s="21">
        <f t="shared" si="6"/>
        <v>15.63844893192948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81.715042525691956</v>
      </c>
      <c r="BJ49" s="59">
        <f t="shared" si="38"/>
        <v>257.80402821394864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30.183941096872935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3.452034193273204E-3</v>
      </c>
      <c r="BS49" s="22">
        <f t="shared" si="9"/>
        <v>30.187393131066209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370.69652285220093</v>
      </c>
      <c r="T50" s="59">
        <f t="shared" si="34"/>
        <v>376.53494965377718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9.1999999999999993</v>
      </c>
      <c r="AI50" s="13">
        <f>IF('Données projet'!$A$62&gt;35,AI49+AH50-AQ49,IF(A50&lt;'Données projet'!$A$62,$AF$205^A50,IF(A50='Données projet'!$A$62,'Données projet'!$B$62,AI49+AH50-AQ49)))</f>
        <v>257.39999999999986</v>
      </c>
      <c r="AJ50" s="13">
        <f>AI50*VLOOKUP('Données projet'!$B$10,Paramètres!$A$1:$I$89,3,0)*VLOOKUP('Données projet'!$B$10,Paramètres!$A$1:$I$89,5,0)</f>
        <v>204.78743999999992</v>
      </c>
      <c r="AK50" s="13">
        <f t="shared" si="35"/>
        <v>50.794849254094281</v>
      </c>
      <c r="AL50" s="20">
        <f t="shared" si="4"/>
        <v>445.1391537842141</v>
      </c>
      <c r="AM50" s="59">
        <f t="shared" si="5"/>
        <v>738.47248711754742</v>
      </c>
      <c r="AN50" s="59">
        <f ca="1">AVERAGE(OFFSET($AM$3,0,0,'Données projet'!$E$10+1,1))-AVERAGE(OFFSET($H$3,0,0,'Données projet'!$E$10+1,1))</f>
        <v>260.20517190557814</v>
      </c>
      <c r="AO50" s="59">
        <f t="shared" si="36"/>
        <v>307.22009971147133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2.3302430702780872</v>
      </c>
      <c r="AV50" s="21">
        <f>EXP(-LN(2)/25)*AV49+(1-EXP(-LN(2)/25))/(LN(2)/25)*Calculateur!AQ50*Calculateur!AS50*VLOOKUP('Données projet'!$B$10,Paramètres!$A$1:$I$89,3,0)*0.475*44/12</f>
        <v>12.807623466344426</v>
      </c>
      <c r="AW50" s="21">
        <f>EXP(-LN(2)/2)*AW49+(1-EXP(-LN(2)/2))/(LN(2)/2)*AQ50*AT50*VLOOKUP('Données projet'!$B$10,Paramètres!$A$1:$I$89,3,0)*0.475*44/12</f>
        <v>6.639907864570456E-2</v>
      </c>
      <c r="AX50" s="21">
        <f t="shared" si="6"/>
        <v>15.204265615268216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81.715042525691956</v>
      </c>
      <c r="BJ50" s="59">
        <f t="shared" si="38"/>
        <v>257.80402821394864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29.59205242234945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2.4409567869513155E-3</v>
      </c>
      <c r="BS50" s="22">
        <f t="shared" si="9"/>
        <v>29.594493379136402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370.69652285220093</v>
      </c>
      <c r="T51" s="59">
        <f t="shared" si="34"/>
        <v>376.53494965377718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9.1999999999999993</v>
      </c>
      <c r="AI51" s="13">
        <f>IF('Données projet'!$A$62&gt;35,AI50+AH51-AQ50,IF(A51&lt;'Données projet'!$A$62,$AF$205^A51,IF(A51='Données projet'!$A$62,'Données projet'!$B$62,AI50+AH51-AQ50)))</f>
        <v>266.59999999999985</v>
      </c>
      <c r="AJ51" s="13">
        <f>AI51*VLOOKUP('Données projet'!$B$10,Paramètres!$A$1:$I$89,3,0)*VLOOKUP('Données projet'!$B$10,Paramètres!$A$1:$I$89,5,0)</f>
        <v>212.10695999999987</v>
      </c>
      <c r="AK51" s="13">
        <f t="shared" si="35"/>
        <v>52.395741612408194</v>
      </c>
      <c r="AL51" s="20">
        <f t="shared" si="4"/>
        <v>460.67553864161073</v>
      </c>
      <c r="AM51" s="59">
        <f t="shared" si="5"/>
        <v>754.00887197494399</v>
      </c>
      <c r="AN51" s="59">
        <f ca="1">AVERAGE(OFFSET($AM$3,0,0,'Données projet'!$E$10+1,1))-AVERAGE(OFFSET($H$3,0,0,'Données projet'!$E$10+1,1))</f>
        <v>260.20517190557814</v>
      </c>
      <c r="AO51" s="59">
        <f t="shared" si="36"/>
        <v>307.22009971147133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2.2845484249778645</v>
      </c>
      <c r="AV51" s="21">
        <f>EXP(-LN(2)/25)*AV50+(1-EXP(-LN(2)/25))/(LN(2)/25)*Calculateur!AQ51*Calculateur!AS51*VLOOKUP('Données projet'!$B$10,Paramètres!$A$1:$I$89,3,0)*0.475*44/12</f>
        <v>12.457398329133591</v>
      </c>
      <c r="AW51" s="21">
        <f>EXP(-LN(2)/2)*AW50+(1-EXP(-LN(2)/2))/(LN(2)/2)*AQ51*AT51*VLOOKUP('Données projet'!$B$10,Paramètres!$A$1:$I$89,3,0)*0.475*44/12</f>
        <v>4.6951238774916575E-2</v>
      </c>
      <c r="AX51" s="21">
        <f t="shared" si="6"/>
        <v>14.788897992886373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81.715042525691956</v>
      </c>
      <c r="BJ51" s="59">
        <f t="shared" si="38"/>
        <v>257.80402821394864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29.011770323716927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1.726017096636602E-3</v>
      </c>
      <c r="BS51" s="22">
        <f t="shared" si="9"/>
        <v>29.013496340813564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370.69652285220093</v>
      </c>
      <c r="T52" s="59">
        <f t="shared" si="34"/>
        <v>376.53494965377718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9.1999999999999993</v>
      </c>
      <c r="AI52" s="13">
        <f>IF('Données projet'!$A$62&gt;35,AI51+AH52-AQ51,IF(A52&lt;'Données projet'!$A$62,$AF$205^A52,IF(A52='Données projet'!$A$62,'Données projet'!$B$62,AI51+AH52-AQ51)))</f>
        <v>275.79999999999984</v>
      </c>
      <c r="AJ52" s="13">
        <f>AI52*VLOOKUP('Données projet'!$B$10,Paramètres!$A$1:$I$89,3,0)*VLOOKUP('Données projet'!$B$10,Paramètres!$A$1:$I$89,5,0)</f>
        <v>219.42647999999991</v>
      </c>
      <c r="AK52" s="13">
        <f t="shared" si="35"/>
        <v>53.990215051449674</v>
      </c>
      <c r="AL52" s="20">
        <f t="shared" si="4"/>
        <v>476.20074388127472</v>
      </c>
      <c r="AM52" s="59">
        <f t="shared" si="5"/>
        <v>769.53407721460803</v>
      </c>
      <c r="AN52" s="59">
        <f ca="1">AVERAGE(OFFSET($AM$3,0,0,'Données projet'!$E$10+1,1))-AVERAGE(OFFSET($H$3,0,0,'Données projet'!$E$10+1,1))</f>
        <v>260.20517190557814</v>
      </c>
      <c r="AO52" s="59">
        <f t="shared" si="36"/>
        <v>307.22009971147133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2.2397498238009974</v>
      </c>
      <c r="AV52" s="21">
        <f>EXP(-LN(2)/25)*AV51+(1-EXP(-LN(2)/25))/(LN(2)/25)*Calculateur!AQ52*Calculateur!AS52*VLOOKUP('Données projet'!$B$10,Paramètres!$A$1:$I$89,3,0)*0.475*44/12</f>
        <v>12.116750116717327</v>
      </c>
      <c r="AW52" s="21">
        <f>EXP(-LN(2)/2)*AW51+(1-EXP(-LN(2)/2))/(LN(2)/2)*AQ52*AT52*VLOOKUP('Données projet'!$B$10,Paramètres!$A$1:$I$89,3,0)*0.475*44/12</f>
        <v>3.319953932285228E-2</v>
      </c>
      <c r="AX52" s="21">
        <f t="shared" si="6"/>
        <v>14.389699479841177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81.715042525691956</v>
      </c>
      <c r="BJ52" s="59">
        <f t="shared" si="38"/>
        <v>257.80402821394864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28.442867203101457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1.2204783934756578E-3</v>
      </c>
      <c r="BS52" s="22">
        <f t="shared" si="9"/>
        <v>28.444087681494931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370.69652285220093</v>
      </c>
      <c r="T53" s="59">
        <f t="shared" si="34"/>
        <v>376.53494965377718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285</v>
      </c>
      <c r="AG53" s="12">
        <f>VLOOKUP(A53,'Données projet'!$A$61:$I$81,9,0)</f>
        <v>9.1999999999999993</v>
      </c>
      <c r="AH53" s="12">
        <f t="array" ref="AH53">INDEX(AG:AG,MIN(IF(ISNUMBER(AG53:AG249),ROW(AG53:AG249),"")))</f>
        <v>9.1999999999999993</v>
      </c>
      <c r="AI53" s="13">
        <f>IF('Données projet'!$A$62&gt;35,AI52+AH53-AQ52,IF(A53&lt;'Données projet'!$A$62,$AF$205^A53,IF(A53='Données projet'!$A$62,'Données projet'!$B$62,AI52+AH53-AQ52)))</f>
        <v>284.99999999999983</v>
      </c>
      <c r="AJ53" s="13">
        <f>AI53*VLOOKUP('Données projet'!$B$10,Paramètres!$A$1:$I$89,3,0)*VLOOKUP('Données projet'!$B$10,Paramètres!$A$1:$I$89,5,0)</f>
        <v>226.74599999999987</v>
      </c>
      <c r="AK53" s="13">
        <f t="shared" si="35"/>
        <v>55.578508240245917</v>
      </c>
      <c r="AL53" s="20">
        <f t="shared" si="4"/>
        <v>491.71518518509475</v>
      </c>
      <c r="AM53" s="59">
        <f t="shared" si="5"/>
        <v>785.04851851842807</v>
      </c>
      <c r="AN53" s="59">
        <f ca="1">AVERAGE(OFFSET($AM$3,0,0,'Données projet'!$E$10+1,1))-AVERAGE(OFFSET($H$3,0,0,'Données projet'!$E$10+1,1))</f>
        <v>260.20517190557814</v>
      </c>
      <c r="AO53" s="59">
        <f t="shared" si="36"/>
        <v>307.22009971147133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2.1958296958687598</v>
      </c>
      <c r="AV53" s="21">
        <f>EXP(-LN(2)/25)*AV52+(1-EXP(-LN(2)/25))/(LN(2)/25)*Calculateur!AQ53*Calculateur!AS53*VLOOKUP('Données projet'!$B$10,Paramètres!$A$1:$I$89,3,0)*0.475*44/12</f>
        <v>11.785416947583496</v>
      </c>
      <c r="AW53" s="21">
        <f>EXP(-LN(2)/2)*AW52+(1-EXP(-LN(2)/2))/(LN(2)/2)*AQ53*AT53*VLOOKUP('Données projet'!$B$10,Paramètres!$A$1:$I$89,3,0)*0.475*44/12</f>
        <v>2.3475619387458287E-2</v>
      </c>
      <c r="AX53" s="21">
        <f t="shared" si="6"/>
        <v>14.004722262839714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81.715042525691956</v>
      </c>
      <c r="BJ53" s="59">
        <f t="shared" si="38"/>
        <v>257.80402821394864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27.885119925684617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8.6300854831830099E-4</v>
      </c>
      <c r="BS53" s="22">
        <f t="shared" si="9"/>
        <v>27.885982934232935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370.69652285220093</v>
      </c>
      <c r="T54" s="59">
        <f t="shared" si="34"/>
        <v>376.53494965377718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248.79999999999984</v>
      </c>
      <c r="AJ54" s="13">
        <f>AI54*VLOOKUP('Données projet'!$B$10,Paramètres!$A$1:$I$89,3,0)*VLOOKUP('Données projet'!$B$10,Paramètres!$A$1:$I$89,5,0)</f>
        <v>197.94527999999988</v>
      </c>
      <c r="AK54" s="13">
        <f t="shared" si="35"/>
        <v>49.29233142017484</v>
      </c>
      <c r="AL54" s="20">
        <f t="shared" si="4"/>
        <v>430.6055065568043</v>
      </c>
      <c r="AM54" s="59">
        <f t="shared" si="5"/>
        <v>723.93883989013761</v>
      </c>
      <c r="AN54" s="59">
        <f ca="1">AVERAGE(OFFSET($AM$3,0,0,'Données projet'!$E$10+1,1))-AVERAGE(OFFSET($H$3,0,0,'Données projet'!$E$10+1,1))</f>
        <v>260.20517190557814</v>
      </c>
      <c r="AO54" s="59">
        <f t="shared" si="36"/>
        <v>307.22009971147133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2.1527708148566407</v>
      </c>
      <c r="AV54" s="21">
        <f>EXP(-LN(2)/25)*AV53+(1-EXP(-LN(2)/25))/(LN(2)/25)*Calculateur!AQ54*Calculateur!AS54*VLOOKUP('Données projet'!$B$10,Paramètres!$A$1:$I$89,3,0)*0.475*44/12</f>
        <v>11.463144101383683</v>
      </c>
      <c r="AW54" s="21">
        <f>EXP(-LN(2)/2)*AW53+(1-EXP(-LN(2)/2))/(LN(2)/2)*AQ54*AT54*VLOOKUP('Données projet'!$B$10,Paramètres!$A$1:$I$89,3,0)*0.475*44/12</f>
        <v>1.659976966142614E-2</v>
      </c>
      <c r="AX54" s="21">
        <f t="shared" si="6"/>
        <v>13.63251468590175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81.715042525691956</v>
      </c>
      <c r="BJ54" s="59">
        <f t="shared" si="38"/>
        <v>257.80402821394864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27.338309732185671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6.1023919673782888E-4</v>
      </c>
      <c r="BS54" s="22">
        <f t="shared" si="9"/>
        <v>27.33891997138241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370.69652285220093</v>
      </c>
      <c r="T55" s="59">
        <f t="shared" si="34"/>
        <v>376.53494965377718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255.59999999999985</v>
      </c>
      <c r="AJ55" s="13">
        <f>AI55*VLOOKUP('Données projet'!$B$10,Paramètres!$A$1:$I$89,3,0)*VLOOKUP('Données projet'!$B$10,Paramètres!$A$1:$I$89,5,0)</f>
        <v>203.35535999999991</v>
      </c>
      <c r="AK55" s="13">
        <f t="shared" si="35"/>
        <v>50.480858741452501</v>
      </c>
      <c r="AL55" s="20">
        <f t="shared" si="4"/>
        <v>442.09808097469619</v>
      </c>
      <c r="AM55" s="59">
        <f t="shared" si="5"/>
        <v>735.4314143080295</v>
      </c>
      <c r="AN55" s="59">
        <f ca="1">AVERAGE(OFFSET($AM$3,0,0,'Données projet'!$E$10+1,1))-AVERAGE(OFFSET($H$3,0,0,'Données projet'!$E$10+1,1))</f>
        <v>260.20517190557814</v>
      </c>
      <c r="AO55" s="59">
        <f t="shared" si="36"/>
        <v>307.22009971147133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2.1105562922378449</v>
      </c>
      <c r="AV55" s="21">
        <f>EXP(-LN(2)/25)*AV54+(1-EXP(-LN(2)/25))/(LN(2)/25)*Calculateur!AQ55*Calculateur!AS55*VLOOKUP('Données projet'!$B$10,Paramètres!$A$1:$I$89,3,0)*0.475*44/12</f>
        <v>11.149683823110797</v>
      </c>
      <c r="AW55" s="21">
        <f>EXP(-LN(2)/2)*AW54+(1-EXP(-LN(2)/2))/(LN(2)/2)*AQ55*AT55*VLOOKUP('Données projet'!$B$10,Paramètres!$A$1:$I$89,3,0)*0.475*44/12</f>
        <v>1.1737809693729144E-2</v>
      </c>
      <c r="AX55" s="21">
        <f t="shared" si="6"/>
        <v>13.271977925042371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81.715042525691956</v>
      </c>
      <c r="BJ55" s="59">
        <f t="shared" si="38"/>
        <v>257.80402821394864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26.802222153059954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4.3150427415915049E-4</v>
      </c>
      <c r="BS55" s="22">
        <f t="shared" si="9"/>
        <v>26.802653657334112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370.69652285220093</v>
      </c>
      <c r="T56" s="59">
        <f t="shared" si="34"/>
        <v>376.53494965377718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262.39999999999986</v>
      </c>
      <c r="AJ56" s="13">
        <f>AI56*VLOOKUP('Données projet'!$B$10,Paramètres!$A$1:$I$89,3,0)*VLOOKUP('Données projet'!$B$10,Paramètres!$A$1:$I$89,5,0)</f>
        <v>208.7654399999999</v>
      </c>
      <c r="AK56" s="13">
        <f t="shared" si="35"/>
        <v>51.665710768737398</v>
      </c>
      <c r="AL56" s="20">
        <f t="shared" si="4"/>
        <v>453.58425425555083</v>
      </c>
      <c r="AM56" s="59">
        <f t="shared" si="5"/>
        <v>746.91758758888409</v>
      </c>
      <c r="AN56" s="59">
        <f ca="1">AVERAGE(OFFSET($AM$3,0,0,'Données projet'!$E$10+1,1))-AVERAGE(OFFSET($H$3,0,0,'Données projet'!$E$10+1,1))</f>
        <v>260.20517190557814</v>
      </c>
      <c r="AO56" s="59">
        <f t="shared" si="36"/>
        <v>307.22009971147133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2.0691695706592874</v>
      </c>
      <c r="AV56" s="21">
        <f>EXP(-LN(2)/25)*AV55+(1-EXP(-LN(2)/25))/(LN(2)/25)*Calculateur!AQ56*Calculateur!AS56*VLOOKUP('Données projet'!$B$10,Paramètres!$A$1:$I$89,3,0)*0.475*44/12</f>
        <v>10.844795132631443</v>
      </c>
      <c r="AW56" s="21">
        <f>EXP(-LN(2)/2)*AW55+(1-EXP(-LN(2)/2))/(LN(2)/2)*AQ56*AT56*VLOOKUP('Données projet'!$B$10,Paramètres!$A$1:$I$89,3,0)*0.475*44/12</f>
        <v>8.2998848307130699E-3</v>
      </c>
      <c r="AX56" s="21">
        <f t="shared" si="6"/>
        <v>12.922264588121443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81.715042525691956</v>
      </c>
      <c r="BJ56" s="59">
        <f t="shared" si="38"/>
        <v>257.80402821394864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26.276646924379758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3.0511959836891444E-4</v>
      </c>
      <c r="BS56" s="22">
        <f t="shared" si="9"/>
        <v>26.276952043978127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370.69652285220093</v>
      </c>
      <c r="T57" s="59">
        <f t="shared" si="34"/>
        <v>376.53494965377718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269.19999999999987</v>
      </c>
      <c r="AJ57" s="13">
        <f>AI57*VLOOKUP('Données projet'!$B$10,Paramètres!$A$1:$I$89,3,0)*VLOOKUP('Données projet'!$B$10,Paramètres!$A$1:$I$89,5,0)</f>
        <v>214.17551999999992</v>
      </c>
      <c r="AK57" s="13">
        <f t="shared" si="35"/>
        <v>52.846993696165399</v>
      </c>
      <c r="AL57" s="20">
        <f t="shared" si="4"/>
        <v>465.06421135415462</v>
      </c>
      <c r="AM57" s="59">
        <f t="shared" si="5"/>
        <v>758.39754468748788</v>
      </c>
      <c r="AN57" s="59">
        <f ca="1">AVERAGE(OFFSET($AM$3,0,0,'Données projet'!$E$10+1,1))-AVERAGE(OFFSET($H$3,0,0,'Données projet'!$E$10+1,1))</f>
        <v>260.20517190557814</v>
      </c>
      <c r="AO57" s="59">
        <f t="shared" si="36"/>
        <v>307.22009971147133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2.0285944174474779</v>
      </c>
      <c r="AV57" s="21">
        <f>EXP(-LN(2)/25)*AV56+(1-EXP(-LN(2)/25))/(LN(2)/25)*Calculateur!AQ57*Calculateur!AS57*VLOOKUP('Données projet'!$B$10,Paramètres!$A$1:$I$89,3,0)*0.475*44/12</f>
        <v>10.548243639426646</v>
      </c>
      <c r="AW57" s="21">
        <f>EXP(-LN(2)/2)*AW56+(1-EXP(-LN(2)/2))/(LN(2)/2)*AQ57*AT57*VLOOKUP('Données projet'!$B$10,Paramètres!$A$1:$I$89,3,0)*0.475*44/12</f>
        <v>5.8689048468645718E-3</v>
      </c>
      <c r="AX57" s="21">
        <f t="shared" si="6"/>
        <v>12.582706961720989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81.715042525691956</v>
      </c>
      <c r="BJ57" s="59">
        <f t="shared" si="38"/>
        <v>257.80402821394864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25.761377905364743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2.1575213707957525E-4</v>
      </c>
      <c r="BS57" s="22">
        <f t="shared" si="9"/>
        <v>25.761593657501823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370.69652285220093</v>
      </c>
      <c r="T58" s="59">
        <f t="shared" si="34"/>
        <v>376.53494965377718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275.99999999999989</v>
      </c>
      <c r="AJ58" s="13">
        <f>AI58*VLOOKUP('Données projet'!$B$10,Paramètres!$A$1:$I$89,3,0)*VLOOKUP('Données projet'!$B$10,Paramètres!$A$1:$I$89,5,0)</f>
        <v>219.58559999999991</v>
      </c>
      <c r="AK58" s="13">
        <f t="shared" si="35"/>
        <v>54.024808047218549</v>
      </c>
      <c r="AL58" s="20">
        <f t="shared" si="4"/>
        <v>476.53812734890556</v>
      </c>
      <c r="AM58" s="59">
        <f t="shared" si="5"/>
        <v>769.87146068223888</v>
      </c>
      <c r="AN58" s="59">
        <f ca="1">AVERAGE(OFFSET($AM$3,0,0,'Données projet'!$E$10+1,1))-AVERAGE(OFFSET($H$3,0,0,'Données projet'!$E$10+1,1))</f>
        <v>260.20517190557814</v>
      </c>
      <c r="AO58" s="59">
        <f t="shared" si="36"/>
        <v>307.22009971147133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1.9888149182417523</v>
      </c>
      <c r="AV58" s="21">
        <f>EXP(-LN(2)/25)*AV57+(1-EXP(-LN(2)/25))/(LN(2)/25)*Calculateur!AQ58*Calculateur!AS58*VLOOKUP('Données projet'!$B$10,Paramètres!$A$1:$I$89,3,0)*0.475*44/12</f>
        <v>10.2598013623985</v>
      </c>
      <c r="AW58" s="21">
        <f>EXP(-LN(2)/2)*AW57+(1-EXP(-LN(2)/2))/(LN(2)/2)*AQ58*AT58*VLOOKUP('Données projet'!$B$10,Paramètres!$A$1:$I$89,3,0)*0.475*44/12</f>
        <v>4.149942415356535E-3</v>
      </c>
      <c r="AX58" s="21">
        <f t="shared" si="6"/>
        <v>12.252766223055609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81.715042525691956</v>
      </c>
      <c r="BJ58" s="59">
        <f t="shared" si="38"/>
        <v>257.80402821394864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25.256212997529545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1.5255979918445722E-4</v>
      </c>
      <c r="BS58" s="22">
        <f t="shared" si="9"/>
        <v>25.256365557328728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370.69652285220093</v>
      </c>
      <c r="T59" s="59">
        <f t="shared" si="34"/>
        <v>376.53494965377718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</v>
      </c>
      <c r="AI59" s="13">
        <f>IF('Données projet'!$A$62&gt;35,AI58+AH59-AQ58,IF(A59&lt;'Données projet'!$A$62,$AF$205^A59,IF(A59='Données projet'!$A$62,'Données projet'!$B$62,AI58+AH59-AQ58)))</f>
        <v>282.7999999999999</v>
      </c>
      <c r="AJ59" s="13">
        <f>AI59*VLOOKUP('Données projet'!$B$10,Paramètres!$A$1:$I$89,3,0)*VLOOKUP('Données projet'!$B$10,Paramètres!$A$1:$I$89,5,0)</f>
        <v>224.99567999999994</v>
      </c>
      <c r="AK59" s="13">
        <f t="shared" si="35"/>
        <v>55.199249109676629</v>
      </c>
      <c r="AL59" s="20">
        <f t="shared" si="4"/>
        <v>488.00616819935334</v>
      </c>
      <c r="AM59" s="59">
        <f t="shared" si="5"/>
        <v>781.33950153268665</v>
      </c>
      <c r="AN59" s="59">
        <f ca="1">AVERAGE(OFFSET($AM$3,0,0,'Données projet'!$E$10+1,1))-AVERAGE(OFFSET($H$3,0,0,'Données projet'!$E$10+1,1))</f>
        <v>260.20517190557814</v>
      </c>
      <c r="AO59" s="59">
        <f t="shared" si="36"/>
        <v>307.22009971147133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1.9498154707523523</v>
      </c>
      <c r="AV59" s="21">
        <f>EXP(-LN(2)/25)*AV58+(1-EXP(-LN(2)/25))/(LN(2)/25)*Calculateur!AQ59*Calculateur!AS59*VLOOKUP('Données projet'!$B$10,Paramètres!$A$1:$I$89,3,0)*0.475*44/12</f>
        <v>9.9792465546042077</v>
      </c>
      <c r="AW59" s="21">
        <f>EXP(-LN(2)/2)*AW58+(1-EXP(-LN(2)/2))/(LN(2)/2)*AQ59*AT59*VLOOKUP('Données projet'!$B$10,Paramètres!$A$1:$I$89,3,0)*0.475*44/12</f>
        <v>2.9344524234322859E-3</v>
      </c>
      <c r="AX59" s="21">
        <f t="shared" si="6"/>
        <v>11.931996477779991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81.715042525691956</v>
      </c>
      <c r="BJ59" s="59">
        <f t="shared" si="38"/>
        <v>257.80402821394864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24.760954065416826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1.0787606853978762E-4</v>
      </c>
      <c r="BS59" s="22">
        <f t="shared" si="9"/>
        <v>24.761061941485366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370.69652285220093</v>
      </c>
      <c r="T60" s="59">
        <f t="shared" si="34"/>
        <v>376.53494965377718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</v>
      </c>
      <c r="AI60" s="13">
        <f>IF('Données projet'!$A$62&gt;35,AI59+AH60-AQ59,IF(A60&lt;'Données projet'!$A$62,$AF$205^A60,IF(A60='Données projet'!$A$62,'Données projet'!$B$62,AI59+AH60-AQ59)))</f>
        <v>289.59999999999991</v>
      </c>
      <c r="AJ60" s="13">
        <f>AI60*VLOOKUP('Données projet'!$B$10,Paramètres!$A$1:$I$89,3,0)*VLOOKUP('Données projet'!$B$10,Paramètres!$A$1:$I$89,5,0)</f>
        <v>230.40575999999996</v>
      </c>
      <c r="AK60" s="13">
        <f t="shared" si="35"/>
        <v>56.370407327556237</v>
      </c>
      <c r="AL60" s="20">
        <f t="shared" si="4"/>
        <v>499.46849142882706</v>
      </c>
      <c r="AM60" s="59">
        <f t="shared" si="5"/>
        <v>792.80182476216032</v>
      </c>
      <c r="AN60" s="59">
        <f ca="1">AVERAGE(OFFSET($AM$3,0,0,'Données projet'!$E$10+1,1))-AVERAGE(OFFSET($H$3,0,0,'Données projet'!$E$10+1,1))</f>
        <v>260.20517190557814</v>
      </c>
      <c r="AO60" s="59">
        <f t="shared" si="36"/>
        <v>307.22009971147133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1.9115807786409051</v>
      </c>
      <c r="AV60" s="21">
        <f>EXP(-LN(2)/25)*AV59+(1-EXP(-LN(2)/25))/(LN(2)/25)*Calculateur!AQ60*Calculateur!AS60*VLOOKUP('Données projet'!$B$10,Paramètres!$A$1:$I$89,3,0)*0.475*44/12</f>
        <v>9.7063635327827864</v>
      </c>
      <c r="AW60" s="21">
        <f>EXP(-LN(2)/2)*AW59+(1-EXP(-LN(2)/2))/(LN(2)/2)*AQ60*AT60*VLOOKUP('Données projet'!$B$10,Paramètres!$A$1:$I$89,3,0)*0.475*44/12</f>
        <v>2.0749712076782675E-3</v>
      </c>
      <c r="AX60" s="21">
        <f t="shared" si="6"/>
        <v>11.62001928263137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81.715042525691956</v>
      </c>
      <c r="BJ60" s="59">
        <f t="shared" si="38"/>
        <v>257.80402821394864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24.275406858884715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7.627989959222861E-5</v>
      </c>
      <c r="BS60" s="22">
        <f t="shared" si="9"/>
        <v>24.275483138784306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370.69652285220093</v>
      </c>
      <c r="T61" s="59">
        <f t="shared" si="34"/>
        <v>376.53494965377718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</v>
      </c>
      <c r="AI61" s="13">
        <f>IF('Données projet'!$A$62&gt;35,AI60+AH61-AQ60,IF(A61&lt;'Données projet'!$A$62,$AF$205^A61,IF(A61='Données projet'!$A$62,'Données projet'!$B$62,AI60+AH61-AQ60)))</f>
        <v>296.39999999999992</v>
      </c>
      <c r="AJ61" s="13">
        <f>AI61*VLOOKUP('Données projet'!$B$10,Paramètres!$A$1:$I$89,3,0)*VLOOKUP('Données projet'!$B$10,Paramètres!$A$1:$I$89,5,0)</f>
        <v>235.81583999999995</v>
      </c>
      <c r="AK61" s="13">
        <f t="shared" si="35"/>
        <v>57.538368655200898</v>
      </c>
      <c r="AL61" s="20">
        <f t="shared" si="4"/>
        <v>510.92524674114156</v>
      </c>
      <c r="AM61" s="59">
        <f t="shared" si="5"/>
        <v>804.25858007447482</v>
      </c>
      <c r="AN61" s="59">
        <f ca="1">AVERAGE(OFFSET($AM$3,0,0,'Données projet'!$E$10+1,1))-AVERAGE(OFFSET($H$3,0,0,'Données projet'!$E$10+1,1))</f>
        <v>260.20517190557814</v>
      </c>
      <c r="AO61" s="59">
        <f t="shared" si="36"/>
        <v>307.22009971147133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1.874095845520904</v>
      </c>
      <c r="AV61" s="21">
        <f>EXP(-LN(2)/25)*AV60+(1-EXP(-LN(2)/25))/(LN(2)/25)*Calculateur!AQ61*Calculateur!AS61*VLOOKUP('Données projet'!$B$10,Paramètres!$A$1:$I$89,3,0)*0.475*44/12</f>
        <v>9.4409425115433674</v>
      </c>
      <c r="AW61" s="21">
        <f>EXP(-LN(2)/2)*AW60+(1-EXP(-LN(2)/2))/(LN(2)/2)*AQ61*AT61*VLOOKUP('Données projet'!$B$10,Paramètres!$A$1:$I$89,3,0)*0.475*44/12</f>
        <v>1.467226211716143E-3</v>
      </c>
      <c r="AX61" s="21">
        <f t="shared" si="6"/>
        <v>11.316505583275987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81.715042525691956</v>
      </c>
      <c r="BJ61" s="59">
        <f t="shared" si="38"/>
        <v>257.80402821394864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23.799380936918144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5.3938034269893812E-5</v>
      </c>
      <c r="BS61" s="22">
        <f t="shared" si="9"/>
        <v>23.799434874952414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370.69652285220093</v>
      </c>
      <c r="T62" s="59">
        <f t="shared" si="34"/>
        <v>376.53494965377718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</v>
      </c>
      <c r="AI62" s="13">
        <f>IF('Données projet'!$A$62&gt;35,AI61+AH62-AQ61,IF(A62&lt;'Données projet'!$A$62,$AF$205^A62,IF(A62='Données projet'!$A$62,'Données projet'!$B$62,AI61+AH62-AQ61)))</f>
        <v>303.19999999999993</v>
      </c>
      <c r="AJ62" s="13">
        <f>AI62*VLOOKUP('Données projet'!$B$10,Paramètres!$A$1:$I$89,3,0)*VLOOKUP('Données projet'!$B$10,Paramètres!$A$1:$I$89,5,0)</f>
        <v>241.22591999999997</v>
      </c>
      <c r="AK62" s="13">
        <f t="shared" si="35"/>
        <v>58.703214877960853</v>
      </c>
      <c r="AL62" s="20">
        <f t="shared" si="4"/>
        <v>522.37657657911507</v>
      </c>
      <c r="AM62" s="59">
        <f t="shared" si="5"/>
        <v>815.70990991244844</v>
      </c>
      <c r="AN62" s="59">
        <f ca="1">AVERAGE(OFFSET($AM$3,0,0,'Données projet'!$E$10+1,1))-AVERAGE(OFFSET($H$3,0,0,'Données projet'!$E$10+1,1))</f>
        <v>260.20517190557814</v>
      </c>
      <c r="AO62" s="59">
        <f t="shared" si="36"/>
        <v>307.22009971147133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1.8373459690758345</v>
      </c>
      <c r="AV62" s="21">
        <f>EXP(-LN(2)/25)*AV61+(1-EXP(-LN(2)/25))/(LN(2)/25)*Calculateur!AQ62*Calculateur!AS62*VLOOKUP('Données projet'!$B$10,Paramètres!$A$1:$I$89,3,0)*0.475*44/12</f>
        <v>9.1827794420876252</v>
      </c>
      <c r="AW62" s="21">
        <f>EXP(-LN(2)/2)*AW61+(1-EXP(-LN(2)/2))/(LN(2)/2)*AQ62*AT62*VLOOKUP('Données projet'!$B$10,Paramètres!$A$1:$I$89,3,0)*0.475*44/12</f>
        <v>1.0374856038391337E-3</v>
      </c>
      <c r="AX62" s="21">
        <f t="shared" si="6"/>
        <v>11.021162896767299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81.715042525691956</v>
      </c>
      <c r="BJ62" s="59">
        <f t="shared" si="38"/>
        <v>257.80402821394864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23.332689592934198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3.8139949796114305E-5</v>
      </c>
      <c r="BS62" s="22">
        <f t="shared" si="9"/>
        <v>23.332727732883995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370.69652285220093</v>
      </c>
      <c r="T63" s="59">
        <f t="shared" si="34"/>
        <v>376.53494965377718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310</v>
      </c>
      <c r="AG63" s="12">
        <f>VLOOKUP(A63,'Données projet'!$A$61:$I$81,9,0)</f>
        <v>6.8</v>
      </c>
      <c r="AH63" s="12">
        <f t="array" ref="AH63">INDEX(AG:AG,MIN(IF(ISNUMBER(AG63:AG259),ROW(AG63:AG259),"")))</f>
        <v>6.8</v>
      </c>
      <c r="AI63" s="13">
        <f>IF('Données projet'!$A$62&gt;35,AI62+AH63-AQ62,IF(A63&lt;'Données projet'!$A$62,$AF$205^A63,IF(A63='Données projet'!$A$62,'Données projet'!$B$62,AI62+AH63-AQ62)))</f>
        <v>309.99999999999994</v>
      </c>
      <c r="AJ63" s="13">
        <f>AI63*VLOOKUP('Données projet'!$B$10,Paramètres!$A$1:$I$89,3,0)*VLOOKUP('Données projet'!$B$10,Paramètres!$A$1:$I$89,5,0)</f>
        <v>246.63599999999997</v>
      </c>
      <c r="AK63" s="13">
        <f t="shared" si="35"/>
        <v>59.865023903294535</v>
      </c>
      <c r="AL63" s="20">
        <f t="shared" si="4"/>
        <v>533.82261663157112</v>
      </c>
      <c r="AM63" s="59">
        <f t="shared" si="5"/>
        <v>827.15594996490449</v>
      </c>
      <c r="AN63" s="59">
        <f ca="1">AVERAGE(OFFSET($AM$3,0,0,'Données projet'!$E$10+1,1))-AVERAGE(OFFSET($H$3,0,0,'Données projet'!$E$10+1,1))</f>
        <v>260.20517190557814</v>
      </c>
      <c r="AO63" s="59">
        <f t="shared" si="36"/>
        <v>307.22009971147133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30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1.8013167352926416</v>
      </c>
      <c r="AV63" s="21">
        <f>EXP(-LN(2)/25)*AV62+(1-EXP(-LN(2)/25))/(LN(2)/25)*Calculateur!AQ63*Calculateur!AS63*VLOOKUP('Données projet'!$B$10,Paramètres!$A$1:$I$89,3,0)*0.475*44/12</f>
        <v>8.9316758553423554</v>
      </c>
      <c r="AW63" s="21">
        <f>EXP(-LN(2)/2)*AW62+(1-EXP(-LN(2)/2))/(LN(2)/2)*AQ63*AT63*VLOOKUP('Données projet'!$B$10,Paramètres!$A$1:$I$89,3,0)*0.475*44/12</f>
        <v>7.3361310585807148E-4</v>
      </c>
      <c r="AX63" s="21">
        <f t="shared" si="6"/>
        <v>10.733726203740854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81.715042525691956</v>
      </c>
      <c r="BJ63" s="59">
        <f t="shared" si="38"/>
        <v>257.80402821394864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22.875149781552164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2.6969017134946906E-5</v>
      </c>
      <c r="BS63" s="22">
        <f t="shared" si="9"/>
        <v>22.875176750569299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370.69652285220093</v>
      </c>
      <c r="T64" s="59">
        <f t="shared" si="34"/>
        <v>376.53494965377718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4.9000000000000004</v>
      </c>
      <c r="AI64" s="13">
        <f>IF('Données projet'!$A$62&gt;35,AI63+AH64-AQ63,IF(A64&lt;'Données projet'!$A$62,$AF$205^A64,IF(A64='Données projet'!$A$62,'Données projet'!$B$62,AI63+AH64-AQ63)))</f>
        <v>284.89999999999992</v>
      </c>
      <c r="AJ64" s="13">
        <f>AI64*VLOOKUP('Données projet'!$B$10,Paramètres!$A$1:$I$89,3,0)*VLOOKUP('Données projet'!$B$10,Paramètres!$A$1:$I$89,5,0)</f>
        <v>226.66643999999994</v>
      </c>
      <c r="AK64" s="13">
        <f t="shared" si="35"/>
        <v>55.561276600641385</v>
      </c>
      <c r="AL64" s="20">
        <f t="shared" si="4"/>
        <v>491.5466064127836</v>
      </c>
      <c r="AM64" s="59">
        <f t="shared" si="5"/>
        <v>784.87993974611686</v>
      </c>
      <c r="AN64" s="59">
        <f ca="1">AVERAGE(OFFSET($AM$3,0,0,'Données projet'!$E$10+1,1))-AVERAGE(OFFSET($H$3,0,0,'Données projet'!$E$10+1,1))</f>
        <v>260.20517190557814</v>
      </c>
      <c r="AO64" s="59">
        <f t="shared" si="36"/>
        <v>307.22009971147133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1.7659940128082743</v>
      </c>
      <c r="AV64" s="21">
        <f>EXP(-LN(2)/25)*AV63+(1-EXP(-LN(2)/25))/(LN(2)/25)*Calculateur!AQ64*Calculateur!AS64*VLOOKUP('Données projet'!$B$10,Paramètres!$A$1:$I$89,3,0)*0.475*44/12</f>
        <v>8.687438709381599</v>
      </c>
      <c r="AW64" s="21">
        <f>EXP(-LN(2)/2)*AW63+(1-EXP(-LN(2)/2))/(LN(2)/2)*AQ64*AT64*VLOOKUP('Données projet'!$B$10,Paramètres!$A$1:$I$89,3,0)*0.475*44/12</f>
        <v>5.1874280191956687E-4</v>
      </c>
      <c r="AX64" s="21">
        <f t="shared" si="6"/>
        <v>10.453951464991793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81.715042525691956</v>
      </c>
      <c r="BJ64" s="59">
        <f t="shared" si="38"/>
        <v>257.80402821394864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22.426582046799602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1.9069974898057152E-5</v>
      </c>
      <c r="BS64" s="22">
        <f t="shared" si="9"/>
        <v>22.426601116774499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370.69652285220093</v>
      </c>
      <c r="T65" s="59">
        <f t="shared" si="34"/>
        <v>376.53494965377718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4.9000000000000004</v>
      </c>
      <c r="AI65" s="13">
        <f>IF('Données projet'!$A$62&gt;35,AI64+AH65-AQ64,IF(A65&lt;'Données projet'!$A$62,$AF$205^A65,IF(A65='Données projet'!$A$62,'Données projet'!$B$62,AI64+AH65-AQ64)))</f>
        <v>289.7999999999999</v>
      </c>
      <c r="AJ65" s="13">
        <f>AI65*VLOOKUP('Données projet'!$B$10,Paramètres!$A$1:$I$89,3,0)*VLOOKUP('Données projet'!$B$10,Paramètres!$A$1:$I$89,5,0)</f>
        <v>230.56487999999993</v>
      </c>
      <c r="AK65" s="13">
        <f t="shared" si="35"/>
        <v>56.404804351341944</v>
      </c>
      <c r="AL65" s="20">
        <f t="shared" si="4"/>
        <v>499.80553357858707</v>
      </c>
      <c r="AM65" s="59">
        <f t="shared" si="5"/>
        <v>793.13886691192033</v>
      </c>
      <c r="AN65" s="59">
        <f ca="1">AVERAGE(OFFSET($AM$3,0,0,'Données projet'!$E$10+1,1))-AVERAGE(OFFSET($H$3,0,0,'Données projet'!$E$10+1,1))</f>
        <v>260.20517190557814</v>
      </c>
      <c r="AO65" s="59">
        <f t="shared" si="36"/>
        <v>307.22009971147133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1.7313639473670921</v>
      </c>
      <c r="AV65" s="21">
        <f>EXP(-LN(2)/25)*AV64+(1-EXP(-LN(2)/25))/(LN(2)/25)*Calculateur!AQ65*Calculateur!AS65*VLOOKUP('Données projet'!$B$10,Paramètres!$A$1:$I$89,3,0)*0.475*44/12</f>
        <v>8.4498802410210132</v>
      </c>
      <c r="AW65" s="21">
        <f>EXP(-LN(2)/2)*AW64+(1-EXP(-LN(2)/2))/(LN(2)/2)*AQ65*AT65*VLOOKUP('Données projet'!$B$10,Paramètres!$A$1:$I$89,3,0)*0.475*44/12</f>
        <v>3.6680655292903574E-4</v>
      </c>
      <c r="AX65" s="21">
        <f t="shared" si="6"/>
        <v>10.181610994941034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81.715042525691956</v>
      </c>
      <c r="BJ65" s="59">
        <f t="shared" si="38"/>
        <v>257.80402821394864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21.986810451726235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1.3484508567473453E-5</v>
      </c>
      <c r="BS65" s="22">
        <f t="shared" si="9"/>
        <v>21.986823936234803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370.69652285220093</v>
      </c>
      <c r="T66" s="59">
        <f t="shared" si="34"/>
        <v>376.53494965377718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4.9000000000000004</v>
      </c>
      <c r="AI66" s="13">
        <f>IF('Données projet'!$A$62&gt;35,AI65+AH66-AQ65,IF(A66&lt;'Données projet'!$A$62,$AF$205^A66,IF(A66='Données projet'!$A$62,'Données projet'!$B$62,AI65+AH66-AQ65)))</f>
        <v>294.69999999999987</v>
      </c>
      <c r="AJ66" s="13">
        <f>AI66*VLOOKUP('Données projet'!$B$10,Paramètres!$A$1:$I$89,3,0)*VLOOKUP('Données projet'!$B$10,Paramètres!$A$1:$I$89,5,0)</f>
        <v>234.46331999999992</v>
      </c>
      <c r="AK66" s="13">
        <f t="shared" si="35"/>
        <v>57.24667349069928</v>
      </c>
      <c r="AL66" s="20">
        <f t="shared" si="4"/>
        <v>508.06157199630115</v>
      </c>
      <c r="AM66" s="59">
        <f t="shared" si="5"/>
        <v>801.39490532963441</v>
      </c>
      <c r="AN66" s="59">
        <f ca="1">AVERAGE(OFFSET($AM$3,0,0,'Données projet'!$E$10+1,1))-AVERAGE(OFFSET($H$3,0,0,'Données projet'!$E$10+1,1))</f>
        <v>260.20517190557814</v>
      </c>
      <c r="AO66" s="59">
        <f t="shared" si="36"/>
        <v>307.22009971147133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1.6974129563869573</v>
      </c>
      <c r="AV66" s="21">
        <f>EXP(-LN(2)/25)*AV65+(1-EXP(-LN(2)/25))/(LN(2)/25)*Calculateur!AQ66*Calculateur!AS66*VLOOKUP('Données projet'!$B$10,Paramètres!$A$1:$I$89,3,0)*0.475*44/12</f>
        <v>8.2188178214704042</v>
      </c>
      <c r="AW66" s="21">
        <f>EXP(-LN(2)/2)*AW65+(1-EXP(-LN(2)/2))/(LN(2)/2)*AQ66*AT66*VLOOKUP('Données projet'!$B$10,Paramètres!$A$1:$I$89,3,0)*0.475*44/12</f>
        <v>2.5937140095978344E-4</v>
      </c>
      <c r="AX66" s="21">
        <f t="shared" si="6"/>
        <v>9.9164901492583208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81.715042525691956</v>
      </c>
      <c r="BJ66" s="59">
        <f t="shared" si="38"/>
        <v>257.80402821394864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21.555662509398068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9.5349874490285762E-6</v>
      </c>
      <c r="BS66" s="22">
        <f t="shared" si="9"/>
        <v>21.555672044385517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370.69652285220093</v>
      </c>
      <c r="T67" s="59">
        <f t="shared" si="34"/>
        <v>376.53494965377718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4.9000000000000004</v>
      </c>
      <c r="AI67" s="13">
        <f>IF('Données projet'!$A$62&gt;35,AI66+AH67-AQ66,IF(A67&lt;'Données projet'!$A$62,$AF$205^A67,IF(A67='Données projet'!$A$62,'Données projet'!$B$62,AI66+AH67-AQ66)))</f>
        <v>299.59999999999985</v>
      </c>
      <c r="AJ67" s="13">
        <f>AI67*VLOOKUP('Données projet'!$B$10,Paramètres!$A$1:$I$89,3,0)*VLOOKUP('Données projet'!$B$10,Paramètres!$A$1:$I$89,5,0)</f>
        <v>238.36175999999992</v>
      </c>
      <c r="AK67" s="13">
        <f t="shared" si="35"/>
        <v>58.086914779719031</v>
      </c>
      <c r="AL67" s="20">
        <f t="shared" si="4"/>
        <v>516.3147752413438</v>
      </c>
      <c r="AM67" s="59">
        <f t="shared" si="5"/>
        <v>809.64810857467705</v>
      </c>
      <c r="AN67" s="59">
        <f ca="1">AVERAGE(OFFSET($AM$3,0,0,'Données projet'!$E$10+1,1))-AVERAGE(OFFSET($H$3,0,0,'Données projet'!$E$10+1,1))</f>
        <v>260.20517190557814</v>
      </c>
      <c r="AO67" s="59">
        <f t="shared" si="36"/>
        <v>307.22009971147133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1.6641277236318832</v>
      </c>
      <c r="AV67" s="21">
        <f>EXP(-LN(2)/25)*AV66+(1-EXP(-LN(2)/25))/(LN(2)/25)*Calculateur!AQ67*Calculateur!AS67*VLOOKUP('Données projet'!$B$10,Paramètres!$A$1:$I$89,3,0)*0.475*44/12</f>
        <v>7.9940738159334508</v>
      </c>
      <c r="AW67" s="21">
        <f>EXP(-LN(2)/2)*AW66+(1-EXP(-LN(2)/2))/(LN(2)/2)*AQ67*AT67*VLOOKUP('Données projet'!$B$10,Paramètres!$A$1:$I$89,3,0)*0.475*44/12</f>
        <v>1.8340327646451787E-4</v>
      </c>
      <c r="AX67" s="21">
        <f t="shared" si="6"/>
        <v>9.6583849428417992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81.715042525691956</v>
      </c>
      <c r="BJ67" s="59">
        <f t="shared" si="38"/>
        <v>257.80402821394864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21.132969115244681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6.7422542837367265E-6</v>
      </c>
      <c r="BS67" s="22">
        <f t="shared" si="9"/>
        <v>21.132975857498963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370.69652285220093</v>
      </c>
      <c r="T68" s="59">
        <f t="shared" si="34"/>
        <v>376.53494965377718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4.9000000000000004</v>
      </c>
      <c r="AI68" s="13">
        <f>IF('Données projet'!$A$62&gt;35,AI67+AH68-AQ67,IF(A68&lt;'Données projet'!$A$62,$AF$205^A68,IF(A68='Données projet'!$A$62,'Données projet'!$B$62,AI67+AH68-AQ67)))</f>
        <v>304.49999999999983</v>
      </c>
      <c r="AJ68" s="13">
        <f>AI68*VLOOKUP('Données projet'!$B$10,Paramètres!$A$1:$I$89,3,0)*VLOOKUP('Données projet'!$B$10,Paramètres!$A$1:$I$89,5,0)</f>
        <v>242.26019999999986</v>
      </c>
      <c r="AK68" s="13">
        <f t="shared" si="35"/>
        <v>58.925557915516166</v>
      </c>
      <c r="AL68" s="20">
        <f t="shared" ref="AL68:AL131" si="58">(AJ68+AK68)*0.475*44/12</f>
        <v>524.5651950361904</v>
      </c>
      <c r="AM68" s="59">
        <f t="shared" ref="AM68:AM131" si="59">AL68+(AD68+AE68)*44/12</f>
        <v>817.89852836952377</v>
      </c>
      <c r="AN68" s="59">
        <f ca="1">AVERAGE(OFFSET($AM$3,0,0,'Données projet'!$E$10+1,1))-AVERAGE(OFFSET($H$3,0,0,'Données projet'!$E$10+1,1))</f>
        <v>260.20517190557814</v>
      </c>
      <c r="AO68" s="59">
        <f t="shared" si="36"/>
        <v>307.22009971147133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1.6314951939891487</v>
      </c>
      <c r="AV68" s="21">
        <f>EXP(-LN(2)/25)*AV67+(1-EXP(-LN(2)/25))/(LN(2)/25)*Calculateur!AQ68*Calculateur!AS68*VLOOKUP('Données projet'!$B$10,Paramètres!$A$1:$I$89,3,0)*0.475*44/12</f>
        <v>7.7754754470466789</v>
      </c>
      <c r="AW68" s="21">
        <f>EXP(-LN(2)/2)*AW67+(1-EXP(-LN(2)/2))/(LN(2)/2)*AQ68*AT68*VLOOKUP('Données projet'!$B$10,Paramètres!$A$1:$I$89,3,0)*0.475*44/12</f>
        <v>1.2968570047989172E-4</v>
      </c>
      <c r="AX68" s="21">
        <f t="shared" ref="AX68:AX131" si="60">SUM(AU68:AW68)</f>
        <v>9.4071003267363089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81.715042525691956</v>
      </c>
      <c r="BJ68" s="59">
        <f t="shared" si="38"/>
        <v>257.80402821394864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20.718564480733129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4.7674937245142881E-6</v>
      </c>
      <c r="BS68" s="22">
        <f t="shared" ref="BS68:BS131" si="63">SUM(BP68:BR68)</f>
        <v>20.718569248226853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370.69652285220093</v>
      </c>
      <c r="T69" s="59">
        <f t="shared" ref="T69:T132" si="88">$T$3</f>
        <v>376.53494965377718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4.9000000000000004</v>
      </c>
      <c r="AI69" s="13">
        <f>IF('Données projet'!$A$62&gt;35,AI68+AH69-AQ68,IF(A69&lt;'Données projet'!$A$62,$AF$205^A69,IF(A69='Données projet'!$A$62,'Données projet'!$B$62,AI68+AH69-AQ68)))</f>
        <v>309.39999999999981</v>
      </c>
      <c r="AJ69" s="13">
        <f>AI69*VLOOKUP('Données projet'!$B$10,Paramètres!$A$1:$I$89,3,0)*VLOOKUP('Données projet'!$B$10,Paramètres!$A$1:$I$89,5,0)</f>
        <v>246.15863999999985</v>
      </c>
      <c r="AK69" s="13">
        <f t="shared" ref="AK69:AK132" si="89">EXP(-1.0587+0.8836*LN(AJ69)+0.284)</f>
        <v>59.762631584626781</v>
      </c>
      <c r="AL69" s="20">
        <f t="shared" si="58"/>
        <v>532.8128813432246</v>
      </c>
      <c r="AM69" s="59">
        <f t="shared" si="59"/>
        <v>826.14621467655797</v>
      </c>
      <c r="AN69" s="59">
        <f ca="1">AVERAGE(OFFSET($AM$3,0,0,'Données projet'!$E$10+1,1))-AVERAGE(OFFSET($H$3,0,0,'Données projet'!$E$10+1,1))</f>
        <v>260.20517190557814</v>
      </c>
      <c r="AO69" s="59">
        <f t="shared" ref="AO69:AO132" si="90">$AO$3</f>
        <v>307.22009971147133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1.5995025683488304</v>
      </c>
      <c r="AV69" s="21">
        <f>EXP(-LN(2)/25)*AV68+(1-EXP(-LN(2)/25))/(LN(2)/25)*Calculateur!AQ69*Calculateur!AS69*VLOOKUP('Données projet'!$B$10,Paramètres!$A$1:$I$89,3,0)*0.475*44/12</f>
        <v>7.5628546620527048</v>
      </c>
      <c r="AW69" s="21">
        <f>EXP(-LN(2)/2)*AW68+(1-EXP(-LN(2)/2))/(LN(2)/2)*AQ69*AT69*VLOOKUP('Données projet'!$B$10,Paramètres!$A$1:$I$89,3,0)*0.475*44/12</f>
        <v>9.1701638232258935E-5</v>
      </c>
      <c r="AX69" s="21">
        <f t="shared" si="60"/>
        <v>9.1624489320397693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81.715042525691956</v>
      </c>
      <c r="BJ69" s="59">
        <f t="shared" ref="BJ69:BJ132" si="92">$BJ$3</f>
        <v>257.80402821394864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20.312286068342477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3.3711271418683632E-6</v>
      </c>
      <c r="BS69" s="22">
        <f t="shared" si="63"/>
        <v>20.31228943946962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370.69652285220093</v>
      </c>
      <c r="T70" s="59">
        <f t="shared" si="88"/>
        <v>376.53494965377718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4.9000000000000004</v>
      </c>
      <c r="AI70" s="13">
        <f>IF('Données projet'!$A$62&gt;35,AI69+AH70-AQ69,IF(A70&lt;'Données projet'!$A$62,$AF$205^A70,IF(A70='Données projet'!$A$62,'Données projet'!$B$62,AI69+AH70-AQ69)))</f>
        <v>314.29999999999978</v>
      </c>
      <c r="AJ70" s="13">
        <f>AI70*VLOOKUP('Données projet'!$B$10,Paramètres!$A$1:$I$89,3,0)*VLOOKUP('Données projet'!$B$10,Paramètres!$A$1:$I$89,5,0)</f>
        <v>250.05707999999984</v>
      </c>
      <c r="AK70" s="13">
        <f t="shared" si="89"/>
        <v>60.598163512847748</v>
      </c>
      <c r="AL70" s="20">
        <f t="shared" si="58"/>
        <v>541.05788245154292</v>
      </c>
      <c r="AM70" s="59">
        <f t="shared" si="59"/>
        <v>834.39121578487629</v>
      </c>
      <c r="AN70" s="59">
        <f ca="1">AVERAGE(OFFSET($AM$3,0,0,'Données projet'!$E$10+1,1))-AVERAGE(OFFSET($H$3,0,0,'Données projet'!$E$10+1,1))</f>
        <v>260.20517190557814</v>
      </c>
      <c r="AO70" s="59">
        <f t="shared" si="90"/>
        <v>307.22009971147133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1.5681372985837441</v>
      </c>
      <c r="AV70" s="21">
        <f>EXP(-LN(2)/25)*AV69+(1-EXP(-LN(2)/25))/(LN(2)/25)*Calculateur!AQ70*Calculateur!AS70*VLOOKUP('Données projet'!$B$10,Paramètres!$A$1:$I$89,3,0)*0.475*44/12</f>
        <v>7.3560480036056317</v>
      </c>
      <c r="AW70" s="21">
        <f>EXP(-LN(2)/2)*AW69+(1-EXP(-LN(2)/2))/(LN(2)/2)*AQ70*AT70*VLOOKUP('Données projet'!$B$10,Paramètres!$A$1:$I$89,3,0)*0.475*44/12</f>
        <v>6.4842850239945859E-5</v>
      </c>
      <c r="AX70" s="21">
        <f t="shared" si="60"/>
        <v>8.9242501450396148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81.715042525691956</v>
      </c>
      <c r="BJ70" s="59">
        <f t="shared" si="92"/>
        <v>257.80402821394864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19.913974527813444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2.3837468622571441E-6</v>
      </c>
      <c r="BS70" s="22">
        <f t="shared" si="63"/>
        <v>19.913976911560308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370.69652285220093</v>
      </c>
      <c r="T71" s="59">
        <f t="shared" si="88"/>
        <v>376.53494965377718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4.9000000000000004</v>
      </c>
      <c r="AI71" s="13">
        <f>IF('Données projet'!$A$62&gt;35,AI70+AH71-AQ70,IF(A71&lt;'Données projet'!$A$62,$AF$205^A71,IF(A71='Données projet'!$A$62,'Données projet'!$B$62,AI70+AH71-AQ70)))</f>
        <v>319.19999999999976</v>
      </c>
      <c r="AJ71" s="13">
        <f>AI71*VLOOKUP('Données projet'!$B$10,Paramètres!$A$1:$I$89,3,0)*VLOOKUP('Données projet'!$B$10,Paramètres!$A$1:$I$89,5,0)</f>
        <v>253.95551999999984</v>
      </c>
      <c r="AK71" s="13">
        <f t="shared" si="89"/>
        <v>61.432180511879196</v>
      </c>
      <c r="AL71" s="20">
        <f t="shared" si="58"/>
        <v>549.30024505818926</v>
      </c>
      <c r="AM71" s="59">
        <f t="shared" si="59"/>
        <v>842.63357839152263</v>
      </c>
      <c r="AN71" s="59">
        <f ca="1">AVERAGE(OFFSET($AM$3,0,0,'Données projet'!$E$10+1,1))-AVERAGE(OFFSET($H$3,0,0,'Données projet'!$E$10+1,1))</f>
        <v>260.20517190557814</v>
      </c>
      <c r="AO71" s="59">
        <f t="shared" si="90"/>
        <v>307.22009971147133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1.5373870826278255</v>
      </c>
      <c r="AV71" s="21">
        <f>EXP(-LN(2)/25)*AV70+(1-EXP(-LN(2)/25))/(LN(2)/25)*Calculateur!AQ71*Calculateur!AS71*VLOOKUP('Données projet'!$B$10,Paramètres!$A$1:$I$89,3,0)*0.475*44/12</f>
        <v>7.1548964841092833</v>
      </c>
      <c r="AW71" s="21">
        <f>EXP(-LN(2)/2)*AW70+(1-EXP(-LN(2)/2))/(LN(2)/2)*AQ71*AT71*VLOOKUP('Données projet'!$B$10,Paramètres!$A$1:$I$89,3,0)*0.475*44/12</f>
        <v>4.5850819116129467E-5</v>
      </c>
      <c r="AX71" s="21">
        <f t="shared" si="60"/>
        <v>8.6923294175562251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81.715042525691956</v>
      </c>
      <c r="BJ71" s="59">
        <f t="shared" si="92"/>
        <v>257.80402821394864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19.523473633648134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1.6855635709341816E-6</v>
      </c>
      <c r="BS71" s="22">
        <f t="shared" si="63"/>
        <v>19.523475319211705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370.69652285220093</v>
      </c>
      <c r="T72" s="59">
        <f t="shared" si="88"/>
        <v>376.53494965377718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4.9000000000000004</v>
      </c>
      <c r="AI72" s="13">
        <f>IF('Données projet'!$A$62&gt;35,AI71+AH72-AQ71,IF(A72&lt;'Données projet'!$A$62,$AF$205^A72,IF(A72='Données projet'!$A$62,'Données projet'!$B$62,AI71+AH72-AQ71)))</f>
        <v>324.09999999999974</v>
      </c>
      <c r="AJ72" s="13">
        <f>AI72*VLOOKUP('Données projet'!$B$10,Paramètres!$A$1:$I$89,3,0)*VLOOKUP('Données projet'!$B$10,Paramètres!$A$1:$I$89,5,0)</f>
        <v>257.8539599999998</v>
      </c>
      <c r="AK72" s="13">
        <f t="shared" si="89"/>
        <v>62.26470852302274</v>
      </c>
      <c r="AL72" s="20">
        <f t="shared" si="58"/>
        <v>557.54001434426425</v>
      </c>
      <c r="AM72" s="59">
        <f t="shared" si="59"/>
        <v>850.87334767759762</v>
      </c>
      <c r="AN72" s="59">
        <f ca="1">AVERAGE(OFFSET($AM$3,0,0,'Données projet'!$E$10+1,1))-AVERAGE(OFFSET($H$3,0,0,'Données projet'!$E$10+1,1))</f>
        <v>260.20517190557814</v>
      </c>
      <c r="AO72" s="59">
        <f t="shared" si="90"/>
        <v>307.22009971147133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1.5072398596510228</v>
      </c>
      <c r="AV72" s="21">
        <f>EXP(-LN(2)/25)*AV71+(1-EXP(-LN(2)/25))/(LN(2)/25)*Calculateur!AQ72*Calculateur!AS72*VLOOKUP('Données projet'!$B$10,Paramètres!$A$1:$I$89,3,0)*0.475*44/12</f>
        <v>6.9592454634916612</v>
      </c>
      <c r="AW72" s="21">
        <f>EXP(-LN(2)/2)*AW71+(1-EXP(-LN(2)/2))/(LN(2)/2)*AQ72*AT72*VLOOKUP('Données projet'!$B$10,Paramètres!$A$1:$I$89,3,0)*0.475*44/12</f>
        <v>3.2421425119972929E-5</v>
      </c>
      <c r="AX72" s="21">
        <f t="shared" si="60"/>
        <v>8.4665177445678044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81.715042525691956</v>
      </c>
      <c r="BJ72" s="59">
        <f t="shared" si="92"/>
        <v>257.80402821394864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19.14063022383538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1.191873431128572E-6</v>
      </c>
      <c r="BS72" s="22">
        <f t="shared" si="63"/>
        <v>19.14063141570881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370.69652285220093</v>
      </c>
      <c r="T73" s="59">
        <f t="shared" si="88"/>
        <v>376.53494965377718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329</v>
      </c>
      <c r="AG73" s="12">
        <f>VLOOKUP(A73,'Données projet'!$A$61:$I$81,9,0)</f>
        <v>4.9000000000000004</v>
      </c>
      <c r="AH73" s="12">
        <f t="array" ref="AH73">INDEX(AG:AG,MIN(IF(ISNUMBER(AG73:AG269),ROW(AG73:AG269),"")))</f>
        <v>4.9000000000000004</v>
      </c>
      <c r="AI73" s="13">
        <f>IF('Données projet'!$A$62&gt;35,AI72+AH73-AQ72,IF(A73&lt;'Données projet'!$A$62,$AF$205^A73,IF(A73='Données projet'!$A$62,'Données projet'!$B$62,AI72+AH73-AQ72)))</f>
        <v>328.99999999999972</v>
      </c>
      <c r="AJ73" s="13">
        <f>AI73*VLOOKUP('Données projet'!$B$10,Paramètres!$A$1:$I$89,3,0)*VLOOKUP('Données projet'!$B$10,Paramètres!$A$1:$I$89,5,0)</f>
        <v>261.7523999999998</v>
      </c>
      <c r="AK73" s="13">
        <f t="shared" si="89"/>
        <v>63.095772658160975</v>
      </c>
      <c r="AL73" s="20">
        <f t="shared" si="58"/>
        <v>565.7772340462966</v>
      </c>
      <c r="AM73" s="59">
        <f t="shared" si="59"/>
        <v>859.11056737962986</v>
      </c>
      <c r="AN73" s="59">
        <f ca="1">AVERAGE(OFFSET($AM$3,0,0,'Données projet'!$E$10+1,1))-AVERAGE(OFFSET($H$3,0,0,'Données projet'!$E$10+1,1))</f>
        <v>260.20517190557814</v>
      </c>
      <c r="AO73" s="59">
        <f t="shared" si="90"/>
        <v>307.22009971147133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26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1.4776838053288048</v>
      </c>
      <c r="AV73" s="21">
        <f>EXP(-LN(2)/25)*AV72+(1-EXP(-LN(2)/25))/(LN(2)/25)*Calculateur!AQ73*Calculateur!AS73*VLOOKUP('Données projet'!$B$10,Paramètres!$A$1:$I$89,3,0)*0.475*44/12</f>
        <v>6.7689445303216687</v>
      </c>
      <c r="AW73" s="21">
        <f>EXP(-LN(2)/2)*AW72+(1-EXP(-LN(2)/2))/(LN(2)/2)*AQ73*AT73*VLOOKUP('Données projet'!$B$10,Paramètres!$A$1:$I$89,3,0)*0.475*44/12</f>
        <v>2.2925409558064734E-5</v>
      </c>
      <c r="AX73" s="21">
        <f t="shared" si="60"/>
        <v>8.2466512610600322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81.715042525691956</v>
      </c>
      <c r="BJ73" s="59">
        <f t="shared" si="92"/>
        <v>257.80402821394864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18.76529413977763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8.4278178546709081E-7</v>
      </c>
      <c r="BS73" s="22">
        <f t="shared" si="63"/>
        <v>18.765294982559414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370.69652285220093</v>
      </c>
      <c r="T74" s="59">
        <f t="shared" si="88"/>
        <v>376.53494965377718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3.9</v>
      </c>
      <c r="AI74" s="13">
        <f>IF('Données projet'!$A$62&gt;35,AI73+AH74-AQ73,IF(A74&lt;'Données projet'!$A$62,$AF$205^A74,IF(A74='Données projet'!$A$62,'Données projet'!$B$62,AI73+AH74-AQ73)))</f>
        <v>306.89999999999969</v>
      </c>
      <c r="AJ74" s="13">
        <f>AI74*VLOOKUP('Données projet'!$B$10,Paramètres!$A$1:$I$89,3,0)*VLOOKUP('Données projet'!$B$10,Paramètres!$A$1:$I$89,5,0)</f>
        <v>244.16963999999976</v>
      </c>
      <c r="AK74" s="13">
        <f t="shared" si="89"/>
        <v>59.335747541340979</v>
      </c>
      <c r="AL74" s="20">
        <f t="shared" si="58"/>
        <v>528.60521663450174</v>
      </c>
      <c r="AM74" s="59">
        <f t="shared" si="59"/>
        <v>821.93854996783512</v>
      </c>
      <c r="AN74" s="59">
        <f ca="1">AVERAGE(OFFSET($AM$3,0,0,'Données projet'!$E$10+1,1))-AVERAGE(OFFSET($H$3,0,0,'Données projet'!$E$10+1,1))</f>
        <v>260.20517190557814</v>
      </c>
      <c r="AO74" s="59">
        <f t="shared" si="90"/>
        <v>307.22009971147133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1.4487073272044324</v>
      </c>
      <c r="AV74" s="21">
        <f>EXP(-LN(2)/25)*AV73+(1-EXP(-LN(2)/25))/(LN(2)/25)*Calculateur!AQ74*Calculateur!AS74*VLOOKUP('Données projet'!$B$10,Paramètres!$A$1:$I$89,3,0)*0.475*44/12</f>
        <v>6.5838473861767008</v>
      </c>
      <c r="AW74" s="21">
        <f>EXP(-LN(2)/2)*AW73+(1-EXP(-LN(2)/2))/(LN(2)/2)*AQ74*AT74*VLOOKUP('Données projet'!$B$10,Paramètres!$A$1:$I$89,3,0)*0.475*44/12</f>
        <v>1.6210712559986465E-5</v>
      </c>
      <c r="AX74" s="21">
        <f t="shared" si="60"/>
        <v>8.0325709240936938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81.715042525691956</v>
      </c>
      <c r="BJ74" s="59">
        <f t="shared" si="92"/>
        <v>257.80402821394864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18.397318167395849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5.9593671556428601E-7</v>
      </c>
      <c r="BS74" s="22">
        <f t="shared" si="63"/>
        <v>18.397318763332564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370.69652285220093</v>
      </c>
      <c r="T75" s="59">
        <f t="shared" si="88"/>
        <v>376.53494965377718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3.9</v>
      </c>
      <c r="AI75" s="13">
        <f>IF('Données projet'!$A$62&gt;35,AI74+AH75-AQ74,IF(A75&lt;'Données projet'!$A$62,$AF$205^A75,IF(A75='Données projet'!$A$62,'Données projet'!$B$62,AI74+AH75-AQ74)))</f>
        <v>310.79999999999967</v>
      </c>
      <c r="AJ75" s="13">
        <f>AI75*VLOOKUP('Données projet'!$B$10,Paramètres!$A$1:$I$89,3,0)*VLOOKUP('Données projet'!$B$10,Paramètres!$A$1:$I$89,5,0)</f>
        <v>247.27247999999975</v>
      </c>
      <c r="AK75" s="13">
        <f t="shared" si="89"/>
        <v>60.001511123918704</v>
      </c>
      <c r="AL75" s="20">
        <f t="shared" si="58"/>
        <v>535.16886787415797</v>
      </c>
      <c r="AM75" s="59">
        <f t="shared" si="59"/>
        <v>828.50220120749123</v>
      </c>
      <c r="AN75" s="59">
        <f ca="1">AVERAGE(OFFSET($AM$3,0,0,'Données projet'!$E$10+1,1))-AVERAGE(OFFSET($H$3,0,0,'Données projet'!$E$10+1,1))</f>
        <v>260.20517190557814</v>
      </c>
      <c r="AO75" s="59">
        <f t="shared" si="90"/>
        <v>307.22009971147133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1.4202990601421723</v>
      </c>
      <c r="AV75" s="21">
        <f>EXP(-LN(2)/25)*AV74+(1-EXP(-LN(2)/25))/(LN(2)/25)*Calculateur!AQ75*Calculateur!AS75*VLOOKUP('Données projet'!$B$10,Paramètres!$A$1:$I$89,3,0)*0.475*44/12</f>
        <v>6.4038117331722129</v>
      </c>
      <c r="AW75" s="21">
        <f>EXP(-LN(2)/2)*AW74+(1-EXP(-LN(2)/2))/(LN(2)/2)*AQ75*AT75*VLOOKUP('Données projet'!$B$10,Paramètres!$A$1:$I$89,3,0)*0.475*44/12</f>
        <v>1.1462704779032367E-5</v>
      </c>
      <c r="AX75" s="21">
        <f t="shared" si="60"/>
        <v>7.8241222560191641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81.715042525691956</v>
      </c>
      <c r="BJ75" s="59">
        <f t="shared" si="92"/>
        <v>257.80402821394864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18.03655797938929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4.213908927335454E-7</v>
      </c>
      <c r="BS75" s="22">
        <f t="shared" si="63"/>
        <v>18.036558400780184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370.69652285220093</v>
      </c>
      <c r="T76" s="59">
        <f t="shared" si="88"/>
        <v>376.53494965377718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3.9</v>
      </c>
      <c r="AI76" s="13">
        <f>IF('Données projet'!$A$62&gt;35,AI75+AH76-AQ75,IF(A76&lt;'Données projet'!$A$62,$AF$205^A76,IF(A76='Données projet'!$A$62,'Données projet'!$B$62,AI75+AH76-AQ75)))</f>
        <v>314.69999999999965</v>
      </c>
      <c r="AJ76" s="13">
        <f>AI76*VLOOKUP('Données projet'!$B$10,Paramètres!$A$1:$I$89,3,0)*VLOOKUP('Données projet'!$B$10,Paramètres!$A$1:$I$89,5,0)</f>
        <v>250.37531999999973</v>
      </c>
      <c r="AK76" s="13">
        <f t="shared" si="89"/>
        <v>60.666302963242082</v>
      </c>
      <c r="AL76" s="20">
        <f t="shared" si="58"/>
        <v>541.73082666097946</v>
      </c>
      <c r="AM76" s="59">
        <f t="shared" si="59"/>
        <v>835.06415999431283</v>
      </c>
      <c r="AN76" s="59">
        <f ca="1">AVERAGE(OFFSET($AM$3,0,0,'Données projet'!$E$10+1,1))-AVERAGE(OFFSET($H$3,0,0,'Données projet'!$E$10+1,1))</f>
        <v>260.20517190557814</v>
      </c>
      <c r="AO76" s="59">
        <f t="shared" si="90"/>
        <v>307.22009971147133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1.3924478618696714</v>
      </c>
      <c r="AV76" s="21">
        <f>EXP(-LN(2)/25)*AV75+(1-EXP(-LN(2)/25))/(LN(2)/25)*Calculateur!AQ76*Calculateur!AS76*VLOOKUP('Données projet'!$B$10,Paramètres!$A$1:$I$89,3,0)*0.475*44/12</f>
        <v>6.2286991645667955</v>
      </c>
      <c r="AW76" s="21">
        <f>EXP(-LN(2)/2)*AW75+(1-EXP(-LN(2)/2))/(LN(2)/2)*AQ76*AT76*VLOOKUP('Données projet'!$B$10,Paramètres!$A$1:$I$89,3,0)*0.475*44/12</f>
        <v>8.1053562799932324E-6</v>
      </c>
      <c r="AX76" s="21">
        <f t="shared" si="60"/>
        <v>7.6211551317927473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81.715042525691956</v>
      </c>
      <c r="BJ76" s="59">
        <f t="shared" si="92"/>
        <v>257.80402821394864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17.682872078627554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2.9796835778214301E-7</v>
      </c>
      <c r="BS76" s="22">
        <f t="shared" si="63"/>
        <v>17.682872376595913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370.69652285220093</v>
      </c>
      <c r="T77" s="59">
        <f t="shared" si="88"/>
        <v>376.53494965377718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3.9</v>
      </c>
      <c r="AI77" s="13">
        <f>IF('Données projet'!$A$62&gt;35,AI76+AH77-AQ76,IF(A77&lt;'Données projet'!$A$62,$AF$205^A77,IF(A77='Données projet'!$A$62,'Données projet'!$B$62,AI76+AH77-AQ76)))</f>
        <v>318.59999999999962</v>
      </c>
      <c r="AJ77" s="13">
        <f>AI77*VLOOKUP('Données projet'!$B$10,Paramètres!$A$1:$I$89,3,0)*VLOOKUP('Données projet'!$B$10,Paramètres!$A$1:$I$89,5,0)</f>
        <v>253.47815999999972</v>
      </c>
      <c r="AK77" s="13">
        <f t="shared" si="89"/>
        <v>61.330136494642396</v>
      </c>
      <c r="AL77" s="20">
        <f t="shared" si="58"/>
        <v>548.29111639483494</v>
      </c>
      <c r="AM77" s="59">
        <f t="shared" si="59"/>
        <v>841.6244497281682</v>
      </c>
      <c r="AN77" s="59">
        <f ca="1">AVERAGE(OFFSET($AM$3,0,0,'Données projet'!$E$10+1,1))-AVERAGE(OFFSET($H$3,0,0,'Données projet'!$E$10+1,1))</f>
        <v>260.20517190557814</v>
      </c>
      <c r="AO77" s="59">
        <f t="shared" si="90"/>
        <v>307.22009971147133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1.3651428086077406</v>
      </c>
      <c r="AV77" s="21">
        <f>EXP(-LN(2)/25)*AV76+(1-EXP(-LN(2)/25))/(LN(2)/25)*Calculateur!AQ77*Calculateur!AS77*VLOOKUP('Données projet'!$B$10,Paramètres!$A$1:$I$89,3,0)*0.475*44/12</f>
        <v>6.0583750583586635</v>
      </c>
      <c r="AW77" s="21">
        <f>EXP(-LN(2)/2)*AW76+(1-EXP(-LN(2)/2))/(LN(2)/2)*AQ77*AT77*VLOOKUP('Données projet'!$B$10,Paramètres!$A$1:$I$89,3,0)*0.475*44/12</f>
        <v>5.7313523895161834E-6</v>
      </c>
      <c r="AX77" s="21">
        <f t="shared" si="60"/>
        <v>7.423523598318793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81.715042525691956</v>
      </c>
      <c r="BJ77" s="59">
        <f t="shared" si="92"/>
        <v>257.80402821394864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17.336121742652658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2.106954463667727E-7</v>
      </c>
      <c r="BS77" s="22">
        <f t="shared" si="63"/>
        <v>17.336121953348105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370.69652285220093</v>
      </c>
      <c r="T78" s="59">
        <f t="shared" si="88"/>
        <v>376.53494965377718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3.9</v>
      </c>
      <c r="AI78" s="13">
        <f>IF('Données projet'!$A$62&gt;35,AI77+AH78-AQ77,IF(A78&lt;'Données projet'!$A$62,$AF$205^A78,IF(A78='Données projet'!$A$62,'Données projet'!$B$62,AI77+AH78-AQ77)))</f>
        <v>322.4999999999996</v>
      </c>
      <c r="AJ78" s="13">
        <f>AI78*VLOOKUP('Données projet'!$B$10,Paramètres!$A$1:$I$89,3,0)*VLOOKUP('Données projet'!$B$10,Paramètres!$A$1:$I$89,5,0)</f>
        <v>256.58099999999968</v>
      </c>
      <c r="AK78" s="13">
        <f t="shared" si="89"/>
        <v>61.993024805604399</v>
      </c>
      <c r="AL78" s="20">
        <f t="shared" si="58"/>
        <v>554.84975986976053</v>
      </c>
      <c r="AM78" s="59">
        <f t="shared" si="59"/>
        <v>848.1830932030939</v>
      </c>
      <c r="AN78" s="59">
        <f ca="1">AVERAGE(OFFSET($AM$3,0,0,'Données projet'!$E$10+1,1))-AVERAGE(OFFSET($H$3,0,0,'Données projet'!$E$10+1,1))</f>
        <v>260.20517190557814</v>
      </c>
      <c r="AO78" s="59">
        <f t="shared" si="90"/>
        <v>307.22009971147133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1.3383731907858383</v>
      </c>
      <c r="AV78" s="21">
        <f>EXP(-LN(2)/25)*AV77+(1-EXP(-LN(2)/25))/(LN(2)/25)*Calculateur!AQ78*Calculateur!AS78*VLOOKUP('Données projet'!$B$10,Paramètres!$A$1:$I$89,3,0)*0.475*44/12</f>
        <v>5.8927084737917479</v>
      </c>
      <c r="AW78" s="21">
        <f>EXP(-LN(2)/2)*AW77+(1-EXP(-LN(2)/2))/(LN(2)/2)*AQ78*AT78*VLOOKUP('Données projet'!$B$10,Paramètres!$A$1:$I$89,3,0)*0.475*44/12</f>
        <v>4.0526781399966162E-6</v>
      </c>
      <c r="AX78" s="21">
        <f t="shared" si="60"/>
        <v>7.2310857172557261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81.715042525691956</v>
      </c>
      <c r="BJ78" s="59">
        <f t="shared" si="92"/>
        <v>257.80402821394864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16.996170969269407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1.489841788910715E-7</v>
      </c>
      <c r="BS78" s="22">
        <f t="shared" si="63"/>
        <v>16.996171118253585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370.69652285220093</v>
      </c>
      <c r="T79" s="59">
        <f t="shared" si="88"/>
        <v>376.53494965377718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3.9</v>
      </c>
      <c r="AI79" s="13">
        <f>IF('Données projet'!$A$62&gt;35,AI78+AH79-AQ78,IF(A79&lt;'Données projet'!$A$62,$AF$205^A79,IF(A79='Données projet'!$A$62,'Données projet'!$B$62,AI78+AH79-AQ78)))</f>
        <v>326.39999999999958</v>
      </c>
      <c r="AJ79" s="13">
        <f>AI79*VLOOKUP('Données projet'!$B$10,Paramètres!$A$1:$I$89,3,0)*VLOOKUP('Données projet'!$B$10,Paramètres!$A$1:$I$89,5,0)</f>
        <v>259.68383999999969</v>
      </c>
      <c r="AK79" s="13">
        <f t="shared" si="89"/>
        <v>62.654980648867301</v>
      </c>
      <c r="AL79" s="20">
        <f t="shared" si="58"/>
        <v>561.40677929677668</v>
      </c>
      <c r="AM79" s="59">
        <f t="shared" si="59"/>
        <v>854.74011263010993</v>
      </c>
      <c r="AN79" s="59">
        <f ca="1">AVERAGE(OFFSET($AM$3,0,0,'Données projet'!$E$10+1,1))-AVERAGE(OFFSET($H$3,0,0,'Données projet'!$E$10+1,1))</f>
        <v>260.20517190557814</v>
      </c>
      <c r="AO79" s="59">
        <f t="shared" si="90"/>
        <v>307.22009971147133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1.3121285088415688</v>
      </c>
      <c r="AV79" s="21">
        <f>EXP(-LN(2)/25)*AV78+(1-EXP(-LN(2)/25))/(LN(2)/25)*Calculateur!AQ79*Calculateur!AS79*VLOOKUP('Données projet'!$B$10,Paramètres!$A$1:$I$89,3,0)*0.475*44/12</f>
        <v>5.7315720506918417</v>
      </c>
      <c r="AW79" s="21">
        <f>EXP(-LN(2)/2)*AW78+(1-EXP(-LN(2)/2))/(LN(2)/2)*AQ79*AT79*VLOOKUP('Données projet'!$B$10,Paramètres!$A$1:$I$89,3,0)*0.475*44/12</f>
        <v>2.8656761947580917E-6</v>
      </c>
      <c r="AX79" s="21">
        <f t="shared" si="60"/>
        <v>7.043703425209606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81.715042525691956</v>
      </c>
      <c r="BJ79" s="59">
        <f t="shared" si="92"/>
        <v>257.80402821394864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16.662886423202703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1.0534772318338635E-7</v>
      </c>
      <c r="BS79" s="22">
        <f t="shared" si="63"/>
        <v>16.662886528550427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370.69652285220093</v>
      </c>
      <c r="T80" s="59">
        <f t="shared" si="88"/>
        <v>376.53494965377718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3.9</v>
      </c>
      <c r="AI80" s="13">
        <f>IF('Données projet'!$A$62&gt;35,AI79+AH80-AQ79,IF(A80&lt;'Données projet'!$A$62,$AF$205^A80,IF(A80='Données projet'!$A$62,'Données projet'!$B$62,AI79+AH80-AQ79)))</f>
        <v>330.29999999999956</v>
      </c>
      <c r="AJ80" s="13">
        <f>AI80*VLOOKUP('Données projet'!$B$10,Paramètres!$A$1:$I$89,3,0)*VLOOKUP('Données projet'!$B$10,Paramètres!$A$1:$I$89,5,0)</f>
        <v>262.78667999999965</v>
      </c>
      <c r="AK80" s="13">
        <f t="shared" si="89"/>
        <v>63.316016454882053</v>
      </c>
      <c r="AL80" s="20">
        <f t="shared" si="58"/>
        <v>567.96219632558564</v>
      </c>
      <c r="AM80" s="59">
        <f t="shared" si="59"/>
        <v>861.29552965891889</v>
      </c>
      <c r="AN80" s="59">
        <f ca="1">AVERAGE(OFFSET($AM$3,0,0,'Données projet'!$E$10+1,1))-AVERAGE(OFFSET($H$3,0,0,'Données projet'!$E$10+1,1))</f>
        <v>260.20517190557814</v>
      </c>
      <c r="AO80" s="59">
        <f t="shared" si="90"/>
        <v>307.22009971147133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1.2863984691025512</v>
      </c>
      <c r="AV80" s="21">
        <f>EXP(-LN(2)/25)*AV79+(1-EXP(-LN(2)/25))/(LN(2)/25)*Calculateur!AQ80*Calculateur!AS80*VLOOKUP('Données projet'!$B$10,Paramètres!$A$1:$I$89,3,0)*0.475*44/12</f>
        <v>5.5748419115553984</v>
      </c>
      <c r="AW80" s="21">
        <f>EXP(-LN(2)/2)*AW79+(1-EXP(-LN(2)/2))/(LN(2)/2)*AQ80*AT80*VLOOKUP('Données projet'!$B$10,Paramètres!$A$1:$I$89,3,0)*0.475*44/12</f>
        <v>2.0263390699983081E-6</v>
      </c>
      <c r="AX80" s="21">
        <f t="shared" si="60"/>
        <v>6.8612424069970199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81.715042525691956</v>
      </c>
      <c r="BJ80" s="59">
        <f t="shared" si="92"/>
        <v>257.80402821394864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16.336137383800867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7.4492089445535752E-8</v>
      </c>
      <c r="BS80" s="22">
        <f t="shared" si="63"/>
        <v>16.336137458292956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370.69652285220093</v>
      </c>
      <c r="T81" s="59">
        <f t="shared" si="88"/>
        <v>376.53494965377718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3.9</v>
      </c>
      <c r="AI81" s="13">
        <f>IF('Données projet'!$A$62&gt;35,AI80+AH81-AQ80,IF(A81&lt;'Données projet'!$A$62,$AF$205^A81,IF(A81='Données projet'!$A$62,'Données projet'!$B$62,AI80+AH81-AQ80)))</f>
        <v>334.19999999999953</v>
      </c>
      <c r="AJ81" s="13">
        <f>AI81*VLOOKUP('Données projet'!$B$10,Paramètres!$A$1:$I$89,3,0)*VLOOKUP('Données projet'!$B$10,Paramètres!$A$1:$I$89,5,0)</f>
        <v>265.88951999999961</v>
      </c>
      <c r="AK81" s="13">
        <f t="shared" si="89"/>
        <v>63.97614434366357</v>
      </c>
      <c r="AL81" s="20">
        <f t="shared" si="58"/>
        <v>574.51603206521338</v>
      </c>
      <c r="AM81" s="59">
        <f t="shared" si="59"/>
        <v>867.84936539854675</v>
      </c>
      <c r="AN81" s="59">
        <f ca="1">AVERAGE(OFFSET($AM$3,0,0,'Données projet'!$E$10+1,1))-AVERAGE(OFFSET($H$3,0,0,'Données projet'!$E$10+1,1))</f>
        <v>260.20517190557814</v>
      </c>
      <c r="AO81" s="59">
        <f t="shared" si="90"/>
        <v>307.22009971147133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1.261172979749041</v>
      </c>
      <c r="AV81" s="21">
        <f>EXP(-LN(2)/25)*AV80+(1-EXP(-LN(2)/25))/(LN(2)/25)*Calculateur!AQ81*Calculateur!AS81*VLOOKUP('Données projet'!$B$10,Paramètres!$A$1:$I$89,3,0)*0.475*44/12</f>
        <v>5.4223975663157216</v>
      </c>
      <c r="AW81" s="21">
        <f>EXP(-LN(2)/2)*AW80+(1-EXP(-LN(2)/2))/(LN(2)/2)*AQ81*AT81*VLOOKUP('Données projet'!$B$10,Paramètres!$A$1:$I$89,3,0)*0.475*44/12</f>
        <v>1.4328380973790459E-6</v>
      </c>
      <c r="AX81" s="21">
        <f t="shared" si="60"/>
        <v>6.6835719789028598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81.715042525691956</v>
      </c>
      <c r="BJ81" s="59">
        <f t="shared" si="92"/>
        <v>257.80402821394864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16.015795693764467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5.2673861591693176E-8</v>
      </c>
      <c r="BS81" s="22">
        <f t="shared" si="63"/>
        <v>16.015795746438329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370.69652285220093</v>
      </c>
      <c r="T82" s="59">
        <f t="shared" si="88"/>
        <v>376.53494965377718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3.9</v>
      </c>
      <c r="AI82" s="13">
        <f>IF('Données projet'!$A$62&gt;35,AI81+AH82-AQ81,IF(A82&lt;'Données projet'!$A$62,$AF$205^A82,IF(A82='Données projet'!$A$62,'Données projet'!$B$62,AI81+AH82-AQ81)))</f>
        <v>338.09999999999951</v>
      </c>
      <c r="AJ82" s="13">
        <f>AI82*VLOOKUP('Données projet'!$B$10,Paramètres!$A$1:$I$89,3,0)*VLOOKUP('Données projet'!$B$10,Paramètres!$A$1:$I$89,5,0)</f>
        <v>268.99235999999962</v>
      </c>
      <c r="AK82" s="13">
        <f t="shared" si="89"/>
        <v>64.63537613607356</v>
      </c>
      <c r="AL82" s="20">
        <f t="shared" si="58"/>
        <v>581.06830710366069</v>
      </c>
      <c r="AM82" s="59">
        <f t="shared" si="59"/>
        <v>874.40164043699406</v>
      </c>
      <c r="AN82" s="59">
        <f ca="1">AVERAGE(OFFSET($AM$3,0,0,'Données projet'!$E$10+1,1))-AVERAGE(OFFSET($H$3,0,0,'Données projet'!$E$10+1,1))</f>
        <v>260.20517190557814</v>
      </c>
      <c r="AO82" s="59">
        <f t="shared" si="90"/>
        <v>307.22009971147133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1.2364421468557238</v>
      </c>
      <c r="AV82" s="21">
        <f>EXP(-LN(2)/25)*AV81+(1-EXP(-LN(2)/25))/(LN(2)/25)*Calculateur!AQ82*Calculateur!AS82*VLOOKUP('Données projet'!$B$10,Paramètres!$A$1:$I$89,3,0)*0.475*44/12</f>
        <v>5.2741218197133231</v>
      </c>
      <c r="AW82" s="21">
        <f>EXP(-LN(2)/2)*AW81+(1-EXP(-LN(2)/2))/(LN(2)/2)*AQ82*AT82*VLOOKUP('Données projet'!$B$10,Paramètres!$A$1:$I$89,3,0)*0.475*44/12</f>
        <v>1.013169534999154E-6</v>
      </c>
      <c r="AX82" s="21">
        <f t="shared" si="60"/>
        <v>6.5105649797385814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81.715042525691956</v>
      </c>
      <c r="BJ82" s="59">
        <f t="shared" si="92"/>
        <v>257.80402821394864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15.701735708880543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3.7246044722767876E-8</v>
      </c>
      <c r="BS82" s="22">
        <f t="shared" si="63"/>
        <v>15.701735746126587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370.69652285220093</v>
      </c>
      <c r="T83" s="59">
        <f t="shared" si="88"/>
        <v>376.53494965377718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342</v>
      </c>
      <c r="AG83" s="12">
        <f>VLOOKUP(A83,'Données projet'!$A$61:$I$81,9,0)</f>
        <v>3.9</v>
      </c>
      <c r="AH83" s="12">
        <f t="array" ref="AH83">INDEX(AG:AG,MIN(IF(ISNUMBER(AG83:AG279),ROW(AG83:AG279),"")))</f>
        <v>3.9</v>
      </c>
      <c r="AI83" s="13">
        <f>IF('Données projet'!$A$62&gt;35,AI82+AH83-AQ82,IF(A83&lt;'Données projet'!$A$62,$AF$205^A83,IF(A83='Données projet'!$A$62,'Données projet'!$B$62,AI82+AH83-AQ82)))</f>
        <v>341.99999999999949</v>
      </c>
      <c r="AJ83" s="13">
        <f>AI83*VLOOKUP('Données projet'!$B$10,Paramètres!$A$1:$I$89,3,0)*VLOOKUP('Données projet'!$B$10,Paramètres!$A$1:$I$89,5,0)</f>
        <v>272.09519999999958</v>
      </c>
      <c r="AK83" s="13">
        <f t="shared" si="89"/>
        <v>65.293723364568322</v>
      </c>
      <c r="AL83" s="20">
        <f t="shared" si="58"/>
        <v>587.61904152662237</v>
      </c>
      <c r="AM83" s="59">
        <f t="shared" si="59"/>
        <v>880.95237485995563</v>
      </c>
      <c r="AN83" s="59">
        <f ca="1">AVERAGE(OFFSET($AM$3,0,0,'Données projet'!$E$10+1,1))-AVERAGE(OFFSET($H$3,0,0,'Données projet'!$E$10+1,1))</f>
        <v>260.20517190557814</v>
      </c>
      <c r="AO83" s="59">
        <f t="shared" si="90"/>
        <v>307.22009971147133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342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1.212196270511126</v>
      </c>
      <c r="AV83" s="21">
        <f>EXP(-LN(2)/25)*AV82+(1-EXP(-LN(2)/25))/(LN(2)/25)*Calculateur!AQ83*Calculateur!AS83*VLOOKUP('Données projet'!$B$10,Paramètres!$A$1:$I$89,3,0)*0.475*44/12</f>
        <v>5.12990068119925</v>
      </c>
      <c r="AW83" s="21">
        <f>EXP(-LN(2)/2)*AW82+(1-EXP(-LN(2)/2))/(LN(2)/2)*AQ83*AT83*VLOOKUP('Données projet'!$B$10,Paramètres!$A$1:$I$89,3,0)*0.475*44/12</f>
        <v>7.1641904868952293E-7</v>
      </c>
      <c r="AX83" s="21">
        <f t="shared" si="60"/>
        <v>6.3420976681294245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81.715042525691956</v>
      </c>
      <c r="BJ83" s="59">
        <f t="shared" si="92"/>
        <v>257.80402821394864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15.393834248742516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2.6336930795846588E-8</v>
      </c>
      <c r="BS83" s="22">
        <f t="shared" si="63"/>
        <v>15.393834275079447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370.69652285220093</v>
      </c>
      <c r="T84" s="59">
        <f t="shared" si="88"/>
        <v>376.53494965377718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-5.1159076974727213E-13</v>
      </c>
      <c r="AJ84" s="13">
        <f>AI84*VLOOKUP('Données projet'!$B$10,Paramètres!$A$1:$I$89,3,0)*VLOOKUP('Données projet'!$B$10,Paramètres!$A$1:$I$89,5,0)</f>
        <v>-4.0702161641092972E-13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260.20517190557814</v>
      </c>
      <c r="AO84" s="59">
        <f t="shared" si="90"/>
        <v>307.22009971147133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1.1884258410131214</v>
      </c>
      <c r="AV84" s="21">
        <f>EXP(-LN(2)/25)*AV83+(1-EXP(-LN(2)/25))/(LN(2)/25)*Calculateur!AQ84*Calculateur!AS84*VLOOKUP('Données projet'!$B$10,Paramètres!$A$1:$I$89,3,0)*0.475*44/12</f>
        <v>4.9896232773021039</v>
      </c>
      <c r="AW84" s="21">
        <f>EXP(-LN(2)/2)*AW83+(1-EXP(-LN(2)/2))/(LN(2)/2)*AQ84*AT84*VLOOKUP('Données projet'!$B$10,Paramètres!$A$1:$I$89,3,0)*0.475*44/12</f>
        <v>5.0658476749957702E-7</v>
      </c>
      <c r="AX84" s="21">
        <f t="shared" si="60"/>
        <v>6.1780496248999937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81.715042525691956</v>
      </c>
      <c r="BJ84" s="59">
        <f t="shared" si="92"/>
        <v>257.80402821394864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15.09197054843645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1.8623022361383938E-8</v>
      </c>
      <c r="BS84" s="22">
        <f t="shared" si="63"/>
        <v>15.091970567059473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370.69652285220093</v>
      </c>
      <c r="T85" s="59">
        <f t="shared" si="88"/>
        <v>376.53494965377718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-5.1159076974727213E-13</v>
      </c>
      <c r="AJ85" s="13">
        <f>AI85*VLOOKUP('Données projet'!$B$10,Paramètres!$A$1:$I$89,3,0)*VLOOKUP('Données projet'!$B$10,Paramètres!$A$1:$I$89,5,0)</f>
        <v>-4.0702161641092972E-13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260.20517190557814</v>
      </c>
      <c r="AO85" s="59">
        <f t="shared" si="90"/>
        <v>307.22009971147133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1.1651215351390423</v>
      </c>
      <c r="AV85" s="21">
        <f>EXP(-LN(2)/25)*AV84+(1-EXP(-LN(2)/25))/(LN(2)/25)*Calculateur!AQ85*Calculateur!AS85*VLOOKUP('Données projet'!$B$10,Paramètres!$A$1:$I$89,3,0)*0.475*44/12</f>
        <v>4.8531817663913932</v>
      </c>
      <c r="AW85" s="21">
        <f>EXP(-LN(2)/2)*AW84+(1-EXP(-LN(2)/2))/(LN(2)/2)*AQ85*AT85*VLOOKUP('Données projet'!$B$10,Paramètres!$A$1:$I$89,3,0)*0.475*44/12</f>
        <v>3.5820952434476146E-7</v>
      </c>
      <c r="AX85" s="21">
        <f t="shared" si="60"/>
        <v>6.01830365973996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81.715042525691956</v>
      </c>
      <c r="BJ85" s="59">
        <f t="shared" si="92"/>
        <v>257.80402821394864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14.796026211174709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1.3168465397923294E-8</v>
      </c>
      <c r="BS85" s="22">
        <f t="shared" si="63"/>
        <v>14.796026224343175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370.69652285220093</v>
      </c>
      <c r="T86" s="59">
        <f t="shared" si="88"/>
        <v>376.53494965377718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-5.1159076974727213E-13</v>
      </c>
      <c r="AJ86" s="13">
        <f>AI86*VLOOKUP('Données projet'!$B$10,Paramètres!$A$1:$I$89,3,0)*VLOOKUP('Données projet'!$B$10,Paramètres!$A$1:$I$89,5,0)</f>
        <v>-4.0702161641092972E-13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260.20517190557814</v>
      </c>
      <c r="AO86" s="59">
        <f t="shared" si="90"/>
        <v>307.22009971147133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1.1422742124889309</v>
      </c>
      <c r="AV86" s="21">
        <f>EXP(-LN(2)/25)*AV85+(1-EXP(-LN(2)/25))/(LN(2)/25)*Calculateur!AQ86*Calculateur!AS86*VLOOKUP('Données projet'!$B$10,Paramètres!$A$1:$I$89,3,0)*0.475*44/12</f>
        <v>4.7204712557716837</v>
      </c>
      <c r="AW86" s="21">
        <f>EXP(-LN(2)/2)*AW85+(1-EXP(-LN(2)/2))/(LN(2)/2)*AQ86*AT86*VLOOKUP('Données projet'!$B$10,Paramètres!$A$1:$I$89,3,0)*0.475*44/12</f>
        <v>2.5329238374978851E-7</v>
      </c>
      <c r="AX86" s="21">
        <f t="shared" si="60"/>
        <v>5.8627457215529981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81.715042525691956</v>
      </c>
      <c r="BJ86" s="59">
        <f t="shared" si="92"/>
        <v>257.80402821394864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14.505885161858448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9.311511180691969E-9</v>
      </c>
      <c r="BS86" s="22">
        <f t="shared" si="63"/>
        <v>14.505885171169959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370.69652285220093</v>
      </c>
      <c r="T87" s="59">
        <f t="shared" si="88"/>
        <v>376.53494965377718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-5.1159076974727213E-13</v>
      </c>
      <c r="AJ87" s="13">
        <f>AI87*VLOOKUP('Données projet'!$B$10,Paramètres!$A$1:$I$89,3,0)*VLOOKUP('Données projet'!$B$10,Paramètres!$A$1:$I$89,5,0)</f>
        <v>-4.0702161641092972E-13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260.20517190557814</v>
      </c>
      <c r="AO87" s="59">
        <f t="shared" si="90"/>
        <v>307.22009971147133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1.1198749119004974</v>
      </c>
      <c r="AV87" s="21">
        <f>EXP(-LN(2)/25)*AV86+(1-EXP(-LN(2)/25))/(LN(2)/25)*Calculateur!AQ87*Calculateur!AS87*VLOOKUP('Données projet'!$B$10,Paramètres!$A$1:$I$89,3,0)*0.475*44/12</f>
        <v>4.5913897210438126</v>
      </c>
      <c r="AW87" s="21">
        <f>EXP(-LN(2)/2)*AW86+(1-EXP(-LN(2)/2))/(LN(2)/2)*AQ87*AT87*VLOOKUP('Données projet'!$B$10,Paramètres!$A$1:$I$89,3,0)*0.475*44/12</f>
        <v>1.7910476217238073E-7</v>
      </c>
      <c r="AX87" s="21">
        <f t="shared" si="60"/>
        <v>5.7112648120490723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81.715042525691956</v>
      </c>
      <c r="BJ87" s="59">
        <f t="shared" si="92"/>
        <v>257.80402821394864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14.221433601550713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6.584232698961647E-9</v>
      </c>
      <c r="BS87" s="22">
        <f t="shared" si="63"/>
        <v>14.221433608134944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370.69652285220093</v>
      </c>
      <c r="T88" s="59">
        <f t="shared" si="88"/>
        <v>376.53494965377718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-5.1159076974727213E-13</v>
      </c>
      <c r="AJ88" s="13">
        <f>AI88*VLOOKUP('Données projet'!$B$10,Paramètres!$A$1:$I$89,3,0)*VLOOKUP('Données projet'!$B$10,Paramètres!$A$1:$I$89,5,0)</f>
        <v>-4.0702161641092972E-13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260.20517190557814</v>
      </c>
      <c r="AO88" s="59">
        <f t="shared" si="90"/>
        <v>307.22009971147133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1.0979148479343788</v>
      </c>
      <c r="AV88" s="21">
        <f>EXP(-LN(2)/25)*AV87+(1-EXP(-LN(2)/25))/(LN(2)/25)*Calculateur!AQ88*Calculateur!AS88*VLOOKUP('Données projet'!$B$10,Paramètres!$A$1:$I$89,3,0)*0.475*44/12</f>
        <v>4.4658379276711777</v>
      </c>
      <c r="AW88" s="21">
        <f>EXP(-LN(2)/2)*AW87+(1-EXP(-LN(2)/2))/(LN(2)/2)*AQ88*AT88*VLOOKUP('Données projet'!$B$10,Paramètres!$A$1:$I$89,3,0)*0.475*44/12</f>
        <v>1.2664619187489426E-7</v>
      </c>
      <c r="AX88" s="21">
        <f t="shared" si="60"/>
        <v>5.5637529022517489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81.715042525691956</v>
      </c>
      <c r="BJ88" s="59">
        <f t="shared" si="92"/>
        <v>257.80402821394864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13.942559962842292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4.6557555903459845E-9</v>
      </c>
      <c r="BS88" s="22">
        <f t="shared" si="63"/>
        <v>13.942559967498047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370.69652285220093</v>
      </c>
      <c r="T89" s="59">
        <f t="shared" si="88"/>
        <v>376.53494965377718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-5.1159076974727213E-13</v>
      </c>
      <c r="AJ89" s="13">
        <f>AI89*VLOOKUP('Données projet'!$B$10,Paramètres!$A$1:$I$89,3,0)*VLOOKUP('Données projet'!$B$10,Paramètres!$A$1:$I$89,5,0)</f>
        <v>-4.0702161641092972E-13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260.20517190557814</v>
      </c>
      <c r="AO89" s="59">
        <f t="shared" si="90"/>
        <v>307.22009971147133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1.0763854074283192</v>
      </c>
      <c r="AV89" s="21">
        <f>EXP(-LN(2)/25)*AV88+(1-EXP(-LN(2)/25))/(LN(2)/25)*Calculateur!AQ89*Calculateur!AS89*VLOOKUP('Données projet'!$B$10,Paramètres!$A$1:$I$89,3,0)*0.475*44/12</f>
        <v>4.3437193546907995</v>
      </c>
      <c r="AW89" s="21">
        <f>EXP(-LN(2)/2)*AW88+(1-EXP(-LN(2)/2))/(LN(2)/2)*AQ89*AT89*VLOOKUP('Données projet'!$B$10,Paramètres!$A$1:$I$89,3,0)*0.475*44/12</f>
        <v>8.9552381086190366E-8</v>
      </c>
      <c r="AX89" s="21">
        <f t="shared" si="60"/>
        <v>5.4201048516714998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81.715042525691956</v>
      </c>
      <c r="BJ89" s="59">
        <f t="shared" si="92"/>
        <v>257.80402821394864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13.669154866092819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3.2921163494808235E-9</v>
      </c>
      <c r="BS89" s="22">
        <f t="shared" si="63"/>
        <v>13.669154869384936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370.69652285220093</v>
      </c>
      <c r="T90" s="59">
        <f t="shared" si="88"/>
        <v>376.53494965377718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-5.1159076974727213E-13</v>
      </c>
      <c r="AJ90" s="13">
        <f>AI90*VLOOKUP('Données projet'!$B$10,Paramètres!$A$1:$I$89,3,0)*VLOOKUP('Données projet'!$B$10,Paramètres!$A$1:$I$89,5,0)</f>
        <v>-4.0702161641092972E-13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260.20517190557814</v>
      </c>
      <c r="AO90" s="59">
        <f t="shared" si="90"/>
        <v>307.22009971147133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1.0552781461189213</v>
      </c>
      <c r="AV90" s="21">
        <f>EXP(-LN(2)/25)*AV89+(1-EXP(-LN(2)/25))/(LN(2)/25)*Calculateur!AQ90*Calculateur!AS90*VLOOKUP('Données projet'!$B$10,Paramètres!$A$1:$I$89,3,0)*0.475*44/12</f>
        <v>4.2249401205105066</v>
      </c>
      <c r="AW90" s="21">
        <f>EXP(-LN(2)/2)*AW89+(1-EXP(-LN(2)/2))/(LN(2)/2)*AQ90*AT90*VLOOKUP('Données projet'!$B$10,Paramètres!$A$1:$I$89,3,0)*0.475*44/12</f>
        <v>6.3323095937447128E-8</v>
      </c>
      <c r="AX90" s="21">
        <f t="shared" si="60"/>
        <v>5.2802183299525236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81.715042525691956</v>
      </c>
      <c r="BJ90" s="59">
        <f t="shared" si="92"/>
        <v>257.80402821394864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13.401111076529961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2.3278777951729922E-9</v>
      </c>
      <c r="BS90" s="22">
        <f t="shared" si="63"/>
        <v>13.40111107885784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370.69652285220093</v>
      </c>
      <c r="T91" s="59">
        <f t="shared" si="88"/>
        <v>376.53494965377718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-5.1159076974727213E-13</v>
      </c>
      <c r="AJ91" s="13">
        <f>AI91*VLOOKUP('Données projet'!$B$10,Paramètres!$A$1:$I$89,3,0)*VLOOKUP('Données projet'!$B$10,Paramètres!$A$1:$I$89,5,0)</f>
        <v>-4.0702161641092972E-13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260.20517190557814</v>
      </c>
      <c r="AO91" s="59">
        <f t="shared" si="90"/>
        <v>307.22009971147133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1.0345847853296426</v>
      </c>
      <c r="AV91" s="21">
        <f>EXP(-LN(2)/25)*AV90+(1-EXP(-LN(2)/25))/(LN(2)/25)*Calculateur!AQ91*Calculateur!AS91*VLOOKUP('Données projet'!$B$10,Paramètres!$A$1:$I$89,3,0)*0.475*44/12</f>
        <v>4.1094089107352021</v>
      </c>
      <c r="AW91" s="21">
        <f>EXP(-LN(2)/2)*AW90+(1-EXP(-LN(2)/2))/(LN(2)/2)*AQ91*AT91*VLOOKUP('Données projet'!$B$10,Paramètres!$A$1:$I$89,3,0)*0.475*44/12</f>
        <v>4.4776190543095183E-8</v>
      </c>
      <c r="AX91" s="21">
        <f t="shared" si="60"/>
        <v>5.1439937408410357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81.715042525691956</v>
      </c>
      <c r="BJ91" s="59">
        <f t="shared" si="92"/>
        <v>257.80402821394864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13.138323462189863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1.6460581747404117E-9</v>
      </c>
      <c r="BS91" s="22">
        <f t="shared" si="63"/>
        <v>13.138323463835921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370.69652285220093</v>
      </c>
      <c r="T92" s="59">
        <f t="shared" si="88"/>
        <v>376.53494965377718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-5.1159076974727213E-13</v>
      </c>
      <c r="AJ92" s="13">
        <f>AI92*VLOOKUP('Données projet'!$B$10,Paramètres!$A$1:$I$89,3,0)*VLOOKUP('Données projet'!$B$10,Paramètres!$A$1:$I$89,5,0)</f>
        <v>-4.0702161641092972E-13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260.20517190557814</v>
      </c>
      <c r="AO92" s="59">
        <f t="shared" si="90"/>
        <v>307.22009971147133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1.0142972087237379</v>
      </c>
      <c r="AV92" s="21">
        <f>EXP(-LN(2)/25)*AV91+(1-EXP(-LN(2)/25))/(LN(2)/25)*Calculateur!AQ92*Calculateur!AS92*VLOOKUP('Données projet'!$B$10,Paramètres!$A$1:$I$89,3,0)*0.475*44/12</f>
        <v>3.9970369079667254</v>
      </c>
      <c r="AW92" s="21">
        <f>EXP(-LN(2)/2)*AW91+(1-EXP(-LN(2)/2))/(LN(2)/2)*AQ92*AT92*VLOOKUP('Données projet'!$B$10,Paramètres!$A$1:$I$89,3,0)*0.475*44/12</f>
        <v>3.1661547968723564E-8</v>
      </c>
      <c r="AX92" s="21">
        <f t="shared" si="60"/>
        <v>5.0113341483520113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81.715042525691956</v>
      </c>
      <c r="BJ92" s="59">
        <f t="shared" si="92"/>
        <v>257.80402821394864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12.880688952682355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1.1639388975864961E-9</v>
      </c>
      <c r="BS92" s="22">
        <f t="shared" si="63"/>
        <v>12.880688953846294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370.69652285220093</v>
      </c>
      <c r="T93" s="59">
        <f t="shared" si="88"/>
        <v>376.53494965377718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-5.1159076974727213E-13</v>
      </c>
      <c r="AJ93" s="13">
        <f>AI93*VLOOKUP('Données projet'!$B$10,Paramètres!$A$1:$I$89,3,0)*VLOOKUP('Données projet'!$B$10,Paramètres!$A$1:$I$89,5,0)</f>
        <v>-4.0702161641092972E-13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260.20517190557814</v>
      </c>
      <c r="AO93" s="59">
        <f t="shared" si="90"/>
        <v>307.22009971147133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0.99440745912087503</v>
      </c>
      <c r="AV93" s="21">
        <f>EXP(-LN(2)/25)*AV92+(1-EXP(-LN(2)/25))/(LN(2)/25)*Calculateur!AQ93*Calculateur!AS93*VLOOKUP('Données projet'!$B$10,Paramètres!$A$1:$I$89,3,0)*0.475*44/12</f>
        <v>3.8877377235233395</v>
      </c>
      <c r="AW93" s="21">
        <f>EXP(-LN(2)/2)*AW92+(1-EXP(-LN(2)/2))/(LN(2)/2)*AQ93*AT93*VLOOKUP('Données projet'!$B$10,Paramètres!$A$1:$I$89,3,0)*0.475*44/12</f>
        <v>2.2388095271547592E-8</v>
      </c>
      <c r="AX93" s="21">
        <f t="shared" si="60"/>
        <v>4.8821452050323098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81.715042525691956</v>
      </c>
      <c r="BJ93" s="59">
        <f t="shared" si="92"/>
        <v>257.80402821394864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12.628106498764756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8.2302908737020587E-10</v>
      </c>
      <c r="BS93" s="22">
        <f t="shared" si="63"/>
        <v>12.628106499587785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370.69652285220093</v>
      </c>
      <c r="T94" s="59">
        <f t="shared" si="88"/>
        <v>376.53494965377718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-5.1159076974727213E-13</v>
      </c>
      <c r="AJ94" s="13">
        <f>AI94*VLOOKUP('Données projet'!$B$10,Paramètres!$A$1:$I$89,3,0)*VLOOKUP('Données projet'!$B$10,Paramètres!$A$1:$I$89,5,0)</f>
        <v>-4.0702161641092972E-13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260.20517190557814</v>
      </c>
      <c r="AO94" s="59">
        <f t="shared" si="90"/>
        <v>307.22009971147133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0.97490773537617503</v>
      </c>
      <c r="AV94" s="21">
        <f>EXP(-LN(2)/25)*AV93+(1-EXP(-LN(2)/25))/(LN(2)/25)*Calculateur!AQ94*Calculateur!AS94*VLOOKUP('Données projet'!$B$10,Paramètres!$A$1:$I$89,3,0)*0.475*44/12</f>
        <v>3.7814273310263524</v>
      </c>
      <c r="AW94" s="21">
        <f>EXP(-LN(2)/2)*AW93+(1-EXP(-LN(2)/2))/(LN(2)/2)*AQ94*AT94*VLOOKUP('Données projet'!$B$10,Paramètres!$A$1:$I$89,3,0)*0.475*44/12</f>
        <v>1.5830773984361782E-8</v>
      </c>
      <c r="AX94" s="21">
        <f t="shared" si="60"/>
        <v>4.7563350822333019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81.715042525691956</v>
      </c>
      <c r="BJ94" s="59">
        <f t="shared" si="92"/>
        <v>257.80402821394864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12.380477032708397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5.8196944879324806E-10</v>
      </c>
      <c r="BS94" s="22">
        <f t="shared" si="63"/>
        <v>12.380477033290367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370.69652285220093</v>
      </c>
      <c r="T95" s="59">
        <f t="shared" si="88"/>
        <v>376.53494965377718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-5.1159076974727213E-13</v>
      </c>
      <c r="AJ95" s="13">
        <f>AI95*VLOOKUP('Données projet'!$B$10,Paramètres!$A$1:$I$89,3,0)*VLOOKUP('Données projet'!$B$10,Paramètres!$A$1:$I$89,5,0)</f>
        <v>-4.0702161641092972E-13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260.20517190557814</v>
      </c>
      <c r="AO95" s="59">
        <f t="shared" si="90"/>
        <v>307.22009971147133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0.95579038932045146</v>
      </c>
      <c r="AV95" s="21">
        <f>EXP(-LN(2)/25)*AV94+(1-EXP(-LN(2)/25))/(LN(2)/25)*Calculateur!AQ95*Calculateur!AS95*VLOOKUP('Données projet'!$B$10,Paramètres!$A$1:$I$89,3,0)*0.475*44/12</f>
        <v>3.6780240018028159</v>
      </c>
      <c r="AW95" s="21">
        <f>EXP(-LN(2)/2)*AW94+(1-EXP(-LN(2)/2))/(LN(2)/2)*AQ95*AT95*VLOOKUP('Données projet'!$B$10,Paramètres!$A$1:$I$89,3,0)*0.475*44/12</f>
        <v>1.1194047635773796E-8</v>
      </c>
      <c r="AX95" s="21">
        <f t="shared" si="60"/>
        <v>4.6338144023173147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81.715042525691956</v>
      </c>
      <c r="BJ95" s="59">
        <f t="shared" si="92"/>
        <v>257.80402821394864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12.137703429442341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4.1151454368510293E-10</v>
      </c>
      <c r="BS95" s="22">
        <f t="shared" si="63"/>
        <v>12.137703429853856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370.69652285220093</v>
      </c>
      <c r="T96" s="59">
        <f t="shared" si="88"/>
        <v>376.53494965377718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-5.1159076974727213E-13</v>
      </c>
      <c r="AJ96" s="13">
        <f>AI96*VLOOKUP('Données projet'!$B$10,Paramètres!$A$1:$I$89,3,0)*VLOOKUP('Données projet'!$B$10,Paramètres!$A$1:$I$89,5,0)</f>
        <v>-4.0702161641092972E-13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260.20517190557814</v>
      </c>
      <c r="AO96" s="59">
        <f t="shared" si="90"/>
        <v>307.22009971147133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0.9370479227604509</v>
      </c>
      <c r="AV96" s="21">
        <f>EXP(-LN(2)/25)*AV95+(1-EXP(-LN(2)/25))/(LN(2)/25)*Calculateur!AQ96*Calculateur!AS96*VLOOKUP('Données projet'!$B$10,Paramètres!$A$1:$I$89,3,0)*0.475*44/12</f>
        <v>3.5774482420546416</v>
      </c>
      <c r="AW96" s="21">
        <f>EXP(-LN(2)/2)*AW95+(1-EXP(-LN(2)/2))/(LN(2)/2)*AQ96*AT96*VLOOKUP('Données projet'!$B$10,Paramètres!$A$1:$I$89,3,0)*0.475*44/12</f>
        <v>7.915386992180891E-9</v>
      </c>
      <c r="AX96" s="21">
        <f t="shared" si="60"/>
        <v>4.5144961727304791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81.715042525691956</v>
      </c>
      <c r="BJ96" s="59">
        <f t="shared" si="92"/>
        <v>257.80402821394864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11.899690468459058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2.9098472439662403E-10</v>
      </c>
      <c r="BS96" s="22">
        <f t="shared" si="63"/>
        <v>11.899690468750043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370.69652285220093</v>
      </c>
      <c r="T97" s="59">
        <f t="shared" si="88"/>
        <v>376.53494965377718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-5.1159076974727213E-13</v>
      </c>
      <c r="AJ97" s="13">
        <f>AI97*VLOOKUP('Données projet'!$B$10,Paramètres!$A$1:$I$89,3,0)*VLOOKUP('Données projet'!$B$10,Paramètres!$A$1:$I$89,5,0)</f>
        <v>-4.0702161641092972E-13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260.20517190557814</v>
      </c>
      <c r="AO97" s="59">
        <f t="shared" si="90"/>
        <v>307.22009971147133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0.91867298453791613</v>
      </c>
      <c r="AV97" s="21">
        <f>EXP(-LN(2)/25)*AV96+(1-EXP(-LN(2)/25))/(LN(2)/25)*Calculateur!AQ97*Calculateur!AS97*VLOOKUP('Données projet'!$B$10,Paramètres!$A$1:$I$89,3,0)*0.475*44/12</f>
        <v>3.4796227317458306</v>
      </c>
      <c r="AW97" s="21">
        <f>EXP(-LN(2)/2)*AW96+(1-EXP(-LN(2)/2))/(LN(2)/2)*AQ97*AT97*VLOOKUP('Données projet'!$B$10,Paramètres!$A$1:$I$89,3,0)*0.475*44/12</f>
        <v>5.5970238178868979E-9</v>
      </c>
      <c r="AX97" s="21">
        <f t="shared" si="60"/>
        <v>4.3982957218807712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81.715042525691956</v>
      </c>
      <c r="BJ97" s="59">
        <f t="shared" si="92"/>
        <v>257.80402821394864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11.666344796467085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2.0575727184255147E-10</v>
      </c>
      <c r="BS97" s="22">
        <f t="shared" si="63"/>
        <v>11.666344796672842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370.69652285220093</v>
      </c>
      <c r="T98" s="59">
        <f t="shared" si="88"/>
        <v>376.53494965377718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-5.1159076974727213E-13</v>
      </c>
      <c r="AJ98" s="13">
        <f>AI98*VLOOKUP('Données projet'!$B$10,Paramètres!$A$1:$I$89,3,0)*VLOOKUP('Données projet'!$B$10,Paramètres!$A$1:$I$89,5,0)</f>
        <v>-4.0702161641092972E-13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260.20517190557814</v>
      </c>
      <c r="AO98" s="59">
        <f t="shared" si="90"/>
        <v>307.22009971147133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0.90065836764631968</v>
      </c>
      <c r="AV98" s="21">
        <f>EXP(-LN(2)/25)*AV97+(1-EXP(-LN(2)/25))/(LN(2)/25)*Calculateur!AQ98*Calculateur!AS98*VLOOKUP('Données projet'!$B$10,Paramètres!$A$1:$I$89,3,0)*0.475*44/12</f>
        <v>3.3844722651608343</v>
      </c>
      <c r="AW98" s="21">
        <f>EXP(-LN(2)/2)*AW97+(1-EXP(-LN(2)/2))/(LN(2)/2)*AQ98*AT98*VLOOKUP('Données projet'!$B$10,Paramètres!$A$1:$I$89,3,0)*0.475*44/12</f>
        <v>3.9576934960904455E-9</v>
      </c>
      <c r="AX98" s="21">
        <f t="shared" si="60"/>
        <v>4.2851306367648476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81.715042525691956</v>
      </c>
      <c r="BJ98" s="59">
        <f t="shared" si="92"/>
        <v>257.80402821394864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11.437574890776068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1.4549236219831202E-10</v>
      </c>
      <c r="BS98" s="22">
        <f t="shared" si="63"/>
        <v>11.43757489092156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370.69652285220093</v>
      </c>
      <c r="T99" s="59">
        <f t="shared" si="88"/>
        <v>376.53494965377718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-5.1159076974727213E-13</v>
      </c>
      <c r="AJ99" s="13">
        <f>AI99*VLOOKUP('Données projet'!$B$10,Paramètres!$A$1:$I$89,3,0)*VLOOKUP('Données projet'!$B$10,Paramètres!$A$1:$I$89,5,0)</f>
        <v>-4.0702161641092972E-13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260.20517190557814</v>
      </c>
      <c r="AO99" s="59">
        <f t="shared" si="90"/>
        <v>307.22009971147133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0.88299700640413603</v>
      </c>
      <c r="AV99" s="21">
        <f>EXP(-LN(2)/25)*AV98+(1-EXP(-LN(2)/25))/(LN(2)/25)*Calculateur!AQ99*Calculateur!AS99*VLOOKUP('Données projet'!$B$10,Paramètres!$A$1:$I$89,3,0)*0.475*44/12</f>
        <v>3.2919236930883504</v>
      </c>
      <c r="AW99" s="21">
        <f>EXP(-LN(2)/2)*AW98+(1-EXP(-LN(2)/2))/(LN(2)/2)*AQ99*AT99*VLOOKUP('Données projet'!$B$10,Paramètres!$A$1:$I$89,3,0)*0.475*44/12</f>
        <v>2.7985119089434489E-9</v>
      </c>
      <c r="AX99" s="21">
        <f t="shared" si="60"/>
        <v>4.174920702290998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81.715042525691956</v>
      </c>
      <c r="BJ99" s="59">
        <f t="shared" si="92"/>
        <v>257.80402821394864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11.213291023399787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1.0287863592127573E-10</v>
      </c>
      <c r="BS99" s="22">
        <f t="shared" si="63"/>
        <v>11.213291023502666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370.69652285220093</v>
      </c>
      <c r="T100" s="59">
        <f t="shared" si="88"/>
        <v>376.53494965377718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-5.1159076974727213E-13</v>
      </c>
      <c r="AJ100" s="13">
        <f>AI100*VLOOKUP('Données projet'!$B$10,Paramètres!$A$1:$I$89,3,0)*VLOOKUP('Données projet'!$B$10,Paramètres!$A$1:$I$89,5,0)</f>
        <v>-4.0702161641092972E-13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260.20517190557814</v>
      </c>
      <c r="AO100" s="59">
        <f t="shared" si="90"/>
        <v>307.22009971147133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0.86568197368354494</v>
      </c>
      <c r="AV100" s="21">
        <f>EXP(-LN(2)/25)*AV99+(1-EXP(-LN(2)/25))/(LN(2)/25)*Calculateur!AQ100*Calculateur!AS100*VLOOKUP('Données projet'!$B$10,Paramètres!$A$1:$I$89,3,0)*0.475*44/12</f>
        <v>3.2019058665861064</v>
      </c>
      <c r="AW100" s="21">
        <f>EXP(-LN(2)/2)*AW99+(1-EXP(-LN(2)/2))/(LN(2)/2)*AQ100*AT100*VLOOKUP('Données projet'!$B$10,Paramètres!$A$1:$I$89,3,0)*0.475*44/12</f>
        <v>1.9788467480452227E-9</v>
      </c>
      <c r="AX100" s="21">
        <f t="shared" si="60"/>
        <v>4.0675878422484981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81.715042525691956</v>
      </c>
      <c r="BJ100" s="59">
        <f t="shared" si="92"/>
        <v>257.80402821394864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10.993405225863103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7.2746181099156008E-11</v>
      </c>
      <c r="BS100" s="22">
        <f t="shared" si="63"/>
        <v>10.993405225935849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370.69652285220093</v>
      </c>
      <c r="T101" s="59">
        <f t="shared" si="88"/>
        <v>376.53494965377718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-5.1159076974727213E-13</v>
      </c>
      <c r="AJ101" s="13">
        <f>AI101*VLOOKUP('Données projet'!$B$10,Paramètres!$A$1:$I$89,3,0)*VLOOKUP('Données projet'!$B$10,Paramètres!$A$1:$I$89,5,0)</f>
        <v>-4.0702161641092972E-13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260.20517190557814</v>
      </c>
      <c r="AO101" s="59">
        <f t="shared" si="90"/>
        <v>307.22009971147133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0.84870647819347755</v>
      </c>
      <c r="AV101" s="21">
        <f>EXP(-LN(2)/25)*AV100+(1-EXP(-LN(2)/25))/(LN(2)/25)*Calculateur!AQ101*Calculateur!AS101*VLOOKUP('Données projet'!$B$10,Paramètres!$A$1:$I$89,3,0)*0.475*44/12</f>
        <v>3.1143495822833978</v>
      </c>
      <c r="AW101" s="21">
        <f>EXP(-LN(2)/2)*AW100+(1-EXP(-LN(2)/2))/(LN(2)/2)*AQ101*AT101*VLOOKUP('Données projet'!$B$10,Paramètres!$A$1:$I$89,3,0)*0.475*44/12</f>
        <v>1.3992559544717245E-9</v>
      </c>
      <c r="AX101" s="21">
        <f t="shared" si="60"/>
        <v>3.9630560618761312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81.715042525691956</v>
      </c>
      <c r="BJ101" s="59">
        <f t="shared" si="92"/>
        <v>257.80402821394864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10.77783125469902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5.1439317960637867E-11</v>
      </c>
      <c r="BS101" s="22">
        <f t="shared" si="63"/>
        <v>10.77783125475046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370.69652285220093</v>
      </c>
      <c r="T102" s="59">
        <f t="shared" si="88"/>
        <v>376.53494965377718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-5.1159076974727213E-13</v>
      </c>
      <c r="AJ102" s="13">
        <f>AI102*VLOOKUP('Données projet'!$B$10,Paramètres!$A$1:$I$89,3,0)*VLOOKUP('Données projet'!$B$10,Paramètres!$A$1:$I$89,5,0)</f>
        <v>-4.0702161641092972E-13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260.20517190557814</v>
      </c>
      <c r="AO102" s="59">
        <f t="shared" si="90"/>
        <v>307.22009971147133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0.8320638618159405</v>
      </c>
      <c r="AV102" s="21">
        <f>EXP(-LN(2)/25)*AV101+(1-EXP(-LN(2)/25))/(LN(2)/25)*Calculateur!AQ102*Calculateur!AS102*VLOOKUP('Données projet'!$B$10,Paramètres!$A$1:$I$89,3,0)*0.475*44/12</f>
        <v>3.0291875291793318</v>
      </c>
      <c r="AW102" s="21">
        <f>EXP(-LN(2)/2)*AW101+(1-EXP(-LN(2)/2))/(LN(2)/2)*AQ102*AT102*VLOOKUP('Données projet'!$B$10,Paramètres!$A$1:$I$89,3,0)*0.475*44/12</f>
        <v>9.8942337402261137E-10</v>
      </c>
      <c r="AX102" s="21">
        <f t="shared" si="60"/>
        <v>3.8612513919846956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81.715042525691956</v>
      </c>
      <c r="BJ102" s="59">
        <f t="shared" si="92"/>
        <v>257.80402821394864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10.566484557622326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3.6373090549578004E-11</v>
      </c>
      <c r="BS102" s="22">
        <f t="shared" si="63"/>
        <v>10.566484557658699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370.69652285220093</v>
      </c>
      <c r="T103" s="59">
        <f t="shared" si="88"/>
        <v>376.53494965377718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-5.1159076974727213E-13</v>
      </c>
      <c r="AJ103" s="13">
        <f>AI103*VLOOKUP('Données projet'!$B$10,Paramètres!$A$1:$I$89,3,0)*VLOOKUP('Données projet'!$B$10,Paramètres!$A$1:$I$89,5,0)</f>
        <v>-4.0702161641092972E-13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260.20517190557814</v>
      </c>
      <c r="AO103" s="59">
        <f t="shared" si="90"/>
        <v>307.22009971147133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0.81574759699457322</v>
      </c>
      <c r="AV103" s="21">
        <f>EXP(-LN(2)/25)*AV102+(1-EXP(-LN(2)/25))/(LN(2)/25)*Calculateur!AQ103*Calculateur!AS103*VLOOKUP('Données projet'!$B$10,Paramètres!$A$1:$I$89,3,0)*0.475*44/12</f>
        <v>2.9463542368958739</v>
      </c>
      <c r="AW103" s="21">
        <f>EXP(-LN(2)/2)*AW102+(1-EXP(-LN(2)/2))/(LN(2)/2)*AQ103*AT103*VLOOKUP('Données projet'!$B$10,Paramètres!$A$1:$I$89,3,0)*0.475*44/12</f>
        <v>6.9962797723586224E-10</v>
      </c>
      <c r="AX103" s="21">
        <f t="shared" si="60"/>
        <v>3.7621018345900752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81.715042525691956</v>
      </c>
      <c r="BJ103" s="59">
        <f t="shared" si="92"/>
        <v>257.80402821394864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10.35928224036655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2.5719658980318933E-11</v>
      </c>
      <c r="BS103" s="22">
        <f t="shared" si="63"/>
        <v>10.35928224039227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370.69652285220093</v>
      </c>
      <c r="T104" s="59">
        <f t="shared" si="88"/>
        <v>376.53494965377718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-5.1159076974727213E-13</v>
      </c>
      <c r="AJ104" s="13">
        <f>AI104*VLOOKUP('Données projet'!$B$10,Paramètres!$A$1:$I$89,3,0)*VLOOKUP('Données projet'!$B$10,Paramètres!$A$1:$I$89,5,0)</f>
        <v>-4.0702161641092972E-13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260.20517190557814</v>
      </c>
      <c r="AO104" s="59">
        <f t="shared" si="90"/>
        <v>307.22009971147133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0.7997512841744141</v>
      </c>
      <c r="AV104" s="21">
        <f>EXP(-LN(2)/25)*AV103+(1-EXP(-LN(2)/25))/(LN(2)/25)*Calculateur!AQ104*Calculateur!AS104*VLOOKUP('Données projet'!$B$10,Paramètres!$A$1:$I$89,3,0)*0.475*44/12</f>
        <v>2.8657860253459209</v>
      </c>
      <c r="AW104" s="21">
        <f>EXP(-LN(2)/2)*AW103+(1-EXP(-LN(2)/2))/(LN(2)/2)*AQ104*AT104*VLOOKUP('Données projet'!$B$10,Paramètres!$A$1:$I$89,3,0)*0.475*44/12</f>
        <v>4.9471168701130569E-10</v>
      </c>
      <c r="AX104" s="21">
        <f t="shared" si="60"/>
        <v>3.665537310015047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81.715042525691956</v>
      </c>
      <c r="BJ104" s="59">
        <f t="shared" si="92"/>
        <v>257.80402821394864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10.156143034171224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1.8186545274789002E-11</v>
      </c>
      <c r="BS104" s="22">
        <f t="shared" si="63"/>
        <v>10.156143034189411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370.69652285220093</v>
      </c>
      <c r="T105" s="59">
        <f t="shared" si="88"/>
        <v>376.53494965377718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-5.1159076974727213E-13</v>
      </c>
      <c r="AJ105" s="13">
        <f>AI105*VLOOKUP('Données projet'!$B$10,Paramètres!$A$1:$I$89,3,0)*VLOOKUP('Données projet'!$B$10,Paramètres!$A$1:$I$89,5,0)</f>
        <v>-4.0702161641092972E-13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260.20517190557814</v>
      </c>
      <c r="AO105" s="59">
        <f t="shared" si="90"/>
        <v>307.22009971147133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0.78406864929187092</v>
      </c>
      <c r="AV105" s="21">
        <f>EXP(-LN(2)/25)*AV104+(1-EXP(-LN(2)/25))/(LN(2)/25)*Calculateur!AQ105*Calculateur!AS105*VLOOKUP('Données projet'!$B$10,Paramètres!$A$1:$I$89,3,0)*0.475*44/12</f>
        <v>2.7874209557776992</v>
      </c>
      <c r="AW105" s="21">
        <f>EXP(-LN(2)/2)*AW104+(1-EXP(-LN(2)/2))/(LN(2)/2)*AQ105*AT105*VLOOKUP('Données projet'!$B$10,Paramètres!$A$1:$I$89,3,0)*0.475*44/12</f>
        <v>3.4981398861793112E-10</v>
      </c>
      <c r="AX105" s="21">
        <f t="shared" si="60"/>
        <v>3.5714896054193841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81.715042525691956</v>
      </c>
      <c r="BJ105" s="59">
        <f t="shared" si="92"/>
        <v>257.80402821394864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9.9569872639067079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1.2859829490159467E-11</v>
      </c>
      <c r="BS105" s="22">
        <f t="shared" si="63"/>
        <v>9.9569872639195669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370.69652285220093</v>
      </c>
      <c r="T106" s="59">
        <f t="shared" si="88"/>
        <v>376.53494965377718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-5.1159076974727213E-13</v>
      </c>
      <c r="AJ106" s="13">
        <f>AI106*VLOOKUP('Données projet'!$B$10,Paramètres!$A$1:$I$89,3,0)*VLOOKUP('Données projet'!$B$10,Paramètres!$A$1:$I$89,5,0)</f>
        <v>-4.0702161641092972E-13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260.20517190557814</v>
      </c>
      <c r="AO106" s="59">
        <f t="shared" si="90"/>
        <v>307.22009971147133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0.76869354131391165</v>
      </c>
      <c r="AV106" s="21">
        <f>EXP(-LN(2)/25)*AV105+(1-EXP(-LN(2)/25))/(LN(2)/25)*Calculateur!AQ106*Calculateur!AS106*VLOOKUP('Données projet'!$B$10,Paramètres!$A$1:$I$89,3,0)*0.475*44/12</f>
        <v>2.7111987831578608</v>
      </c>
      <c r="AW106" s="21">
        <f>EXP(-LN(2)/2)*AW105+(1-EXP(-LN(2)/2))/(LN(2)/2)*AQ106*AT106*VLOOKUP('Données projet'!$B$10,Paramètres!$A$1:$I$89,3,0)*0.475*44/12</f>
        <v>2.4735584350565284E-10</v>
      </c>
      <c r="AX106" s="21">
        <f t="shared" si="60"/>
        <v>3.4798923247191285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81.715042525691956</v>
      </c>
      <c r="BJ106" s="59">
        <f t="shared" si="92"/>
        <v>257.80402821394864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9.7617368168240528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9.0932726373945009E-12</v>
      </c>
      <c r="BS106" s="22">
        <f t="shared" si="63"/>
        <v>9.761736816833146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370.69652285220093</v>
      </c>
      <c r="T107" s="59">
        <f t="shared" si="88"/>
        <v>376.53494965377718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-5.1159076974727213E-13</v>
      </c>
      <c r="AJ107" s="13">
        <f>AI107*VLOOKUP('Données projet'!$B$10,Paramètres!$A$1:$I$89,3,0)*VLOOKUP('Données projet'!$B$10,Paramètres!$A$1:$I$89,5,0)</f>
        <v>-4.0702161641092972E-13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260.20517190557814</v>
      </c>
      <c r="AO107" s="59">
        <f t="shared" si="90"/>
        <v>307.22009971147133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0.75361992982551029</v>
      </c>
      <c r="AV107" s="21">
        <f>EXP(-LN(2)/25)*AV106+(1-EXP(-LN(2)/25))/(LN(2)/25)*Calculateur!AQ107*Calculateur!AS107*VLOOKUP('Données projet'!$B$10,Paramètres!$A$1:$I$89,3,0)*0.475*44/12</f>
        <v>2.6370609098566615</v>
      </c>
      <c r="AW107" s="21">
        <f>EXP(-LN(2)/2)*AW106+(1-EXP(-LN(2)/2))/(LN(2)/2)*AQ107*AT107*VLOOKUP('Données projet'!$B$10,Paramètres!$A$1:$I$89,3,0)*0.475*44/12</f>
        <v>1.7490699430896556E-10</v>
      </c>
      <c r="AX107" s="21">
        <f t="shared" si="60"/>
        <v>3.3906808398570791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81.715042525691956</v>
      </c>
      <c r="BJ107" s="59">
        <f t="shared" si="92"/>
        <v>257.80402821394864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9.5703151119176759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6.4299147450797334E-12</v>
      </c>
      <c r="BS107" s="22">
        <f t="shared" si="63"/>
        <v>9.5703151119241063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370.69652285220093</v>
      </c>
      <c r="T108" s="59">
        <f t="shared" si="88"/>
        <v>376.53494965377718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-5.1159076974727213E-13</v>
      </c>
      <c r="AJ108" s="13">
        <f>AI108*VLOOKUP('Données projet'!$B$10,Paramètres!$A$1:$I$89,3,0)*VLOOKUP('Données projet'!$B$10,Paramètres!$A$1:$I$89,5,0)</f>
        <v>-4.0702161641092972E-13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260.20517190557814</v>
      </c>
      <c r="AO108" s="59">
        <f t="shared" si="90"/>
        <v>307.22009971147133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0.73884190266440131</v>
      </c>
      <c r="AV108" s="21">
        <f>EXP(-LN(2)/25)*AV107+(1-EXP(-LN(2)/25))/(LN(2)/25)*Calculateur!AQ108*Calculateur!AS108*VLOOKUP('Données projet'!$B$10,Paramètres!$A$1:$I$89,3,0)*0.475*44/12</f>
        <v>2.564950340599625</v>
      </c>
      <c r="AW108" s="21">
        <f>EXP(-LN(2)/2)*AW107+(1-EXP(-LN(2)/2))/(LN(2)/2)*AQ108*AT108*VLOOKUP('Données projet'!$B$10,Paramètres!$A$1:$I$89,3,0)*0.475*44/12</f>
        <v>1.2367792175282642E-10</v>
      </c>
      <c r="AX108" s="21">
        <f t="shared" si="60"/>
        <v>3.3037922433877043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81.715042525691956</v>
      </c>
      <c r="BJ108" s="59">
        <f t="shared" si="92"/>
        <v>257.80402821394864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9.3826470698888009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4.5466363186972505E-12</v>
      </c>
      <c r="BS108" s="22">
        <f t="shared" si="63"/>
        <v>9.3826470698933484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370.69652285220093</v>
      </c>
      <c r="T109" s="59">
        <f t="shared" si="88"/>
        <v>376.53494965377718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-5.1159076974727213E-13</v>
      </c>
      <c r="AJ109" s="13">
        <f>AI109*VLOOKUP('Données projet'!$B$10,Paramètres!$A$1:$I$89,3,0)*VLOOKUP('Données projet'!$B$10,Paramètres!$A$1:$I$89,5,0)</f>
        <v>-4.0702161641092972E-13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260.20517190557814</v>
      </c>
      <c r="AO109" s="59">
        <f t="shared" si="90"/>
        <v>307.22009971147133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0.72435366360221509</v>
      </c>
      <c r="AV109" s="21">
        <f>EXP(-LN(2)/25)*AV108+(1-EXP(-LN(2)/25))/(LN(2)/25)*Calculateur!AQ109*Calculateur!AS109*VLOOKUP('Données projet'!$B$10,Paramètres!$A$1:$I$89,3,0)*0.475*44/12</f>
        <v>2.4948116386510519</v>
      </c>
      <c r="AW109" s="21">
        <f>EXP(-LN(2)/2)*AW108+(1-EXP(-LN(2)/2))/(LN(2)/2)*AQ109*AT109*VLOOKUP('Données projet'!$B$10,Paramètres!$A$1:$I$89,3,0)*0.475*44/12</f>
        <v>8.7453497154482779E-11</v>
      </c>
      <c r="AX109" s="21">
        <f t="shared" si="60"/>
        <v>3.2191653023407207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81.715042525691956</v>
      </c>
      <c r="BJ109" s="59">
        <f t="shared" si="92"/>
        <v>257.80402821394864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9.1986590836979101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3.2149573725398667E-12</v>
      </c>
      <c r="BS109" s="22">
        <f t="shared" si="63"/>
        <v>9.1986590837011253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370.69652285220093</v>
      </c>
      <c r="T110" s="59">
        <f t="shared" si="88"/>
        <v>376.53494965377718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-5.1159076974727213E-13</v>
      </c>
      <c r="AJ110" s="13">
        <f>AI110*VLOOKUP('Données projet'!$B$10,Paramètres!$A$1:$I$89,3,0)*VLOOKUP('Données projet'!$B$10,Paramètres!$A$1:$I$89,5,0)</f>
        <v>-4.0702161641092972E-13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260.20517190557814</v>
      </c>
      <c r="AO110" s="59">
        <f t="shared" si="90"/>
        <v>307.22009971147133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0.71014953007108517</v>
      </c>
      <c r="AV110" s="21">
        <f>EXP(-LN(2)/25)*AV109+(1-EXP(-LN(2)/25))/(LN(2)/25)*Calculateur!AQ110*Calculateur!AS110*VLOOKUP('Données projet'!$B$10,Paramètres!$A$1:$I$89,3,0)*0.475*44/12</f>
        <v>2.4265908831956966</v>
      </c>
      <c r="AW110" s="21">
        <f>EXP(-LN(2)/2)*AW109+(1-EXP(-LN(2)/2))/(LN(2)/2)*AQ110*AT110*VLOOKUP('Données projet'!$B$10,Paramètres!$A$1:$I$89,3,0)*0.475*44/12</f>
        <v>6.1838960876413211E-11</v>
      </c>
      <c r="AX110" s="21">
        <f t="shared" si="60"/>
        <v>3.1367404133286207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81.715042525691956</v>
      </c>
      <c r="BJ110" s="59">
        <f t="shared" si="92"/>
        <v>257.80402821394864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9.0182789896946325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2.2733181593486252E-12</v>
      </c>
      <c r="BS110" s="22">
        <f t="shared" si="63"/>
        <v>9.0182789896969062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370.69652285220093</v>
      </c>
      <c r="T111" s="59">
        <f t="shared" si="88"/>
        <v>376.53494965377718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-5.1159076974727213E-13</v>
      </c>
      <c r="AJ111" s="13">
        <f>AI111*VLOOKUP('Données projet'!$B$10,Paramètres!$A$1:$I$89,3,0)*VLOOKUP('Données projet'!$B$10,Paramètres!$A$1:$I$89,5,0)</f>
        <v>-4.0702161641092972E-13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260.20517190557814</v>
      </c>
      <c r="AO111" s="59">
        <f t="shared" si="90"/>
        <v>307.22009971147133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0.6962239309348347</v>
      </c>
      <c r="AV111" s="21">
        <f>EXP(-LN(2)/25)*AV110+(1-EXP(-LN(2)/25))/(LN(2)/25)*Calculateur!AQ111*Calculateur!AS111*VLOOKUP('Données projet'!$B$10,Paramètres!$A$1:$I$89,3,0)*0.475*44/12</f>
        <v>2.3602356278858418</v>
      </c>
      <c r="AW111" s="21">
        <f>EXP(-LN(2)/2)*AW110+(1-EXP(-LN(2)/2))/(LN(2)/2)*AQ111*AT111*VLOOKUP('Données projet'!$B$10,Paramètres!$A$1:$I$89,3,0)*0.475*44/12</f>
        <v>4.372674857724139E-11</v>
      </c>
      <c r="AX111" s="21">
        <f t="shared" si="60"/>
        <v>3.0564595588644035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81.715042525691956</v>
      </c>
      <c r="BJ111" s="59">
        <f t="shared" si="92"/>
        <v>257.80402821394864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8.8414360393137645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1.6074786862699333E-12</v>
      </c>
      <c r="BS111" s="22">
        <f t="shared" si="63"/>
        <v>8.8414360393153721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370.69652285220093</v>
      </c>
      <c r="T112" s="59">
        <f t="shared" si="88"/>
        <v>376.53494965377718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-5.1159076974727213E-13</v>
      </c>
      <c r="AJ112" s="13">
        <f>AI112*VLOOKUP('Données projet'!$B$10,Paramètres!$A$1:$I$89,3,0)*VLOOKUP('Données projet'!$B$10,Paramètres!$A$1:$I$89,5,0)</f>
        <v>-4.0702161641092972E-13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260.20517190557814</v>
      </c>
      <c r="AO112" s="59">
        <f t="shared" si="90"/>
        <v>307.22009971147133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0.68257140430386931</v>
      </c>
      <c r="AV112" s="21">
        <f>EXP(-LN(2)/25)*AV111+(1-EXP(-LN(2)/25))/(LN(2)/25)*Calculateur!AQ112*Calculateur!AS112*VLOOKUP('Données projet'!$B$10,Paramètres!$A$1:$I$89,3,0)*0.475*44/12</f>
        <v>2.2956948605219063</v>
      </c>
      <c r="AW112" s="21">
        <f>EXP(-LN(2)/2)*AW111+(1-EXP(-LN(2)/2))/(LN(2)/2)*AQ112*AT112*VLOOKUP('Données projet'!$B$10,Paramètres!$A$1:$I$89,3,0)*0.475*44/12</f>
        <v>3.0919480438206605E-11</v>
      </c>
      <c r="AX112" s="21">
        <f t="shared" si="60"/>
        <v>2.9782662648566949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81.715042525691956</v>
      </c>
      <c r="BJ112" s="59">
        <f t="shared" si="92"/>
        <v>257.80402821394864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8.6680608713263165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1.1366590796743126E-12</v>
      </c>
      <c r="BS112" s="22">
        <f t="shared" si="63"/>
        <v>8.6680608713274534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370.69652285220093</v>
      </c>
      <c r="T113" s="59">
        <f t="shared" si="88"/>
        <v>376.53494965377718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-5.1159076974727213E-13</v>
      </c>
      <c r="AJ113" s="13">
        <f>AI113*VLOOKUP('Données projet'!$B$10,Paramètres!$A$1:$I$89,3,0)*VLOOKUP('Données projet'!$B$10,Paramètres!$A$1:$I$89,5,0)</f>
        <v>-4.0702161641092972E-13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260.20517190557814</v>
      </c>
      <c r="AO113" s="59">
        <f t="shared" si="90"/>
        <v>307.22009971147133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0.66918659539291814</v>
      </c>
      <c r="AV113" s="21">
        <f>EXP(-LN(2)/25)*AV112+(1-EXP(-LN(2)/25))/(LN(2)/25)*Calculateur!AQ113*Calculateur!AS113*VLOOKUP('Données projet'!$B$10,Paramètres!$A$1:$I$89,3,0)*0.475*44/12</f>
        <v>2.2329189638355889</v>
      </c>
      <c r="AW113" s="21">
        <f>EXP(-LN(2)/2)*AW112+(1-EXP(-LN(2)/2))/(LN(2)/2)*AQ113*AT113*VLOOKUP('Données projet'!$B$10,Paramètres!$A$1:$I$89,3,0)*0.475*44/12</f>
        <v>2.1863374288620695E-11</v>
      </c>
      <c r="AX113" s="21">
        <f t="shared" si="60"/>
        <v>2.9021055592503702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81.715042525691956</v>
      </c>
      <c r="BJ113" s="59">
        <f t="shared" si="92"/>
        <v>257.80402821394864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8.4980854846346912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8.0373934313496667E-13</v>
      </c>
      <c r="BS113" s="22">
        <f t="shared" si="63"/>
        <v>8.4980854846354941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370.69652285220093</v>
      </c>
      <c r="T114" s="59">
        <f t="shared" si="88"/>
        <v>376.53494965377718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-5.1159076974727213E-13</v>
      </c>
      <c r="AJ114" s="13">
        <f>AI114*VLOOKUP('Données projet'!$B$10,Paramètres!$A$1:$I$89,3,0)*VLOOKUP('Données projet'!$B$10,Paramètres!$A$1:$I$89,5,0)</f>
        <v>-4.0702161641092972E-13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260.20517190557814</v>
      </c>
      <c r="AO114" s="59">
        <f t="shared" si="90"/>
        <v>307.22009971147133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0.65606425442078342</v>
      </c>
      <c r="AV114" s="21">
        <f>EXP(-LN(2)/25)*AV113+(1-EXP(-LN(2)/25))/(LN(2)/25)*Calculateur!AQ114*Calculateur!AS114*VLOOKUP('Données projet'!$B$10,Paramètres!$A$1:$I$89,3,0)*0.475*44/12</f>
        <v>2.1718596773453998</v>
      </c>
      <c r="AW114" s="21">
        <f>EXP(-LN(2)/2)*AW113+(1-EXP(-LN(2)/2))/(LN(2)/2)*AQ114*AT114*VLOOKUP('Données projet'!$B$10,Paramètres!$A$1:$I$89,3,0)*0.475*44/12</f>
        <v>1.5459740219103303E-11</v>
      </c>
      <c r="AX114" s="21">
        <f t="shared" si="60"/>
        <v>2.8279239317816427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81.715042525691956</v>
      </c>
      <c r="BJ114" s="59">
        <f t="shared" si="92"/>
        <v>257.80402821394864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8.3314432116013393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5.6832953983715631E-13</v>
      </c>
      <c r="BS114" s="22">
        <f t="shared" si="63"/>
        <v>8.3314432116019077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370.69652285220093</v>
      </c>
      <c r="T115" s="59">
        <f t="shared" si="88"/>
        <v>376.53494965377718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-5.1159076974727213E-13</v>
      </c>
      <c r="AJ115" s="13">
        <f>AI115*VLOOKUP('Données projet'!$B$10,Paramètres!$A$1:$I$89,3,0)*VLOOKUP('Données projet'!$B$10,Paramètres!$A$1:$I$89,5,0)</f>
        <v>-4.0702161641092972E-13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260.20517190557814</v>
      </c>
      <c r="AO115" s="59">
        <f t="shared" si="90"/>
        <v>307.22009971147133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0.64319923455127459</v>
      </c>
      <c r="AV115" s="21">
        <f>EXP(-LN(2)/25)*AV114+(1-EXP(-LN(2)/25))/(LN(2)/25)*Calculateur!AQ115*Calculateur!AS115*VLOOKUP('Données projet'!$B$10,Paramètres!$A$1:$I$89,3,0)*0.475*44/12</f>
        <v>2.1124700602552533</v>
      </c>
      <c r="AW115" s="21">
        <f>EXP(-LN(2)/2)*AW114+(1-EXP(-LN(2)/2))/(LN(2)/2)*AQ115*AT115*VLOOKUP('Données projet'!$B$10,Paramètres!$A$1:$I$89,3,0)*0.475*44/12</f>
        <v>1.0931687144310347E-11</v>
      </c>
      <c r="AX115" s="21">
        <f t="shared" si="60"/>
        <v>2.7556692948174595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81.715042525691956</v>
      </c>
      <c r="BJ115" s="59">
        <f t="shared" si="92"/>
        <v>257.80402821394864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8.1680686919004213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4.0186967156748333E-13</v>
      </c>
      <c r="BS115" s="22">
        <f t="shared" si="63"/>
        <v>8.1680686919008227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370.69652285220093</v>
      </c>
      <c r="T116" s="59">
        <f t="shared" si="88"/>
        <v>376.53494965377718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-5.1159076974727213E-13</v>
      </c>
      <c r="AJ116" s="13">
        <f>AI116*VLOOKUP('Données projet'!$B$10,Paramètres!$A$1:$I$89,3,0)*VLOOKUP('Données projet'!$B$10,Paramètres!$A$1:$I$89,5,0)</f>
        <v>-4.0702161641092972E-13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260.20517190557814</v>
      </c>
      <c r="AO116" s="59">
        <f t="shared" si="90"/>
        <v>307.22009971147133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0.63058648987451948</v>
      </c>
      <c r="AV116" s="21">
        <f>EXP(-LN(2)/25)*AV115+(1-EXP(-LN(2)/25))/(LN(2)/25)*Calculateur!AQ116*Calculateur!AS116*VLOOKUP('Données projet'!$B$10,Paramètres!$A$1:$I$89,3,0)*0.475*44/12</f>
        <v>2.054704455367601</v>
      </c>
      <c r="AW116" s="21">
        <f>EXP(-LN(2)/2)*AW115+(1-EXP(-LN(2)/2))/(LN(2)/2)*AQ116*AT116*VLOOKUP('Données projet'!$B$10,Paramètres!$A$1:$I$89,3,0)*0.475*44/12</f>
        <v>7.7298701095516513E-12</v>
      </c>
      <c r="AX116" s="21">
        <f t="shared" si="60"/>
        <v>2.6852909452498501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81.715042525691956</v>
      </c>
      <c r="BJ116" s="59">
        <f t="shared" si="92"/>
        <v>257.80402821394864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8.0078978468822211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2.8416476991857815E-13</v>
      </c>
      <c r="BS116" s="22">
        <f t="shared" si="63"/>
        <v>8.0078978468825053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370.69652285220093</v>
      </c>
      <c r="T117" s="59">
        <f t="shared" si="88"/>
        <v>376.53494965377718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-5.1159076974727213E-13</v>
      </c>
      <c r="AJ117" s="13">
        <f>AI117*VLOOKUP('Données projet'!$B$10,Paramètres!$A$1:$I$89,3,0)*VLOOKUP('Données projet'!$B$10,Paramètres!$A$1:$I$89,5,0)</f>
        <v>-4.0702161641092972E-13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260.20517190557814</v>
      </c>
      <c r="AO117" s="59">
        <f t="shared" si="90"/>
        <v>307.22009971147133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0.61822107342786092</v>
      </c>
      <c r="AV117" s="21">
        <f>EXP(-LN(2)/25)*AV116+(1-EXP(-LN(2)/25))/(LN(2)/25)*Calculateur!AQ117*Calculateur!AS117*VLOOKUP('Données projet'!$B$10,Paramètres!$A$1:$I$89,3,0)*0.475*44/12</f>
        <v>1.9985184539833627</v>
      </c>
      <c r="AW117" s="21">
        <f>EXP(-LN(2)/2)*AW116+(1-EXP(-LN(2)/2))/(LN(2)/2)*AQ117*AT117*VLOOKUP('Données projet'!$B$10,Paramètres!$A$1:$I$89,3,0)*0.475*44/12</f>
        <v>5.4658435721551737E-12</v>
      </c>
      <c r="AX117" s="21">
        <f t="shared" si="60"/>
        <v>2.6167395274166894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81.715042525691956</v>
      </c>
      <c r="BJ117" s="59">
        <f t="shared" si="92"/>
        <v>257.80402821394864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7.850867854440259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2.0093483578374167E-13</v>
      </c>
      <c r="BS117" s="22">
        <f t="shared" si="63"/>
        <v>7.8508678544404598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370.69652285220093</v>
      </c>
      <c r="T118" s="59">
        <f t="shared" si="88"/>
        <v>376.53494965377718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-5.1159076974727213E-13</v>
      </c>
      <c r="AJ118" s="13">
        <f>AI118*VLOOKUP('Données projet'!$B$10,Paramètres!$A$1:$I$89,3,0)*VLOOKUP('Données projet'!$B$10,Paramètres!$A$1:$I$89,5,0)</f>
        <v>-4.0702161641092972E-13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260.20517190557814</v>
      </c>
      <c r="AO118" s="59">
        <f t="shared" si="90"/>
        <v>307.22009971147133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0.606098135255562</v>
      </c>
      <c r="AV118" s="21">
        <f>EXP(-LN(2)/25)*AV117+(1-EXP(-LN(2)/25))/(LN(2)/25)*Calculateur!AQ118*Calculateur!AS118*VLOOKUP('Données projet'!$B$10,Paramètres!$A$1:$I$89,3,0)*0.475*44/12</f>
        <v>1.9438688617616697</v>
      </c>
      <c r="AW118" s="21">
        <f>EXP(-LN(2)/2)*AW117+(1-EXP(-LN(2)/2))/(LN(2)/2)*AQ118*AT118*VLOOKUP('Données projet'!$B$10,Paramètres!$A$1:$I$89,3,0)*0.475*44/12</f>
        <v>3.8649350547758257E-12</v>
      </c>
      <c r="AX118" s="21">
        <f t="shared" si="60"/>
        <v>2.5499669970210967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81.715042525691956</v>
      </c>
      <c r="BJ118" s="59">
        <f t="shared" si="92"/>
        <v>257.80402821394864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7.6969171243712458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1.4208238495928908E-13</v>
      </c>
      <c r="BS118" s="22">
        <f t="shared" si="63"/>
        <v>7.6969171243713879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370.69652285220093</v>
      </c>
      <c r="T119" s="59">
        <f t="shared" si="88"/>
        <v>376.53494965377718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-5.1159076974727213E-13</v>
      </c>
      <c r="AJ119" s="13">
        <f>AI119*VLOOKUP('Données projet'!$B$10,Paramètres!$A$1:$I$89,3,0)*VLOOKUP('Données projet'!$B$10,Paramètres!$A$1:$I$89,5,0)</f>
        <v>-4.0702161641092972E-13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260.20517190557814</v>
      </c>
      <c r="AO119" s="59">
        <f t="shared" si="90"/>
        <v>307.22009971147133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0.59421292050655972</v>
      </c>
      <c r="AV119" s="21">
        <f>EXP(-LN(2)/25)*AV118+(1-EXP(-LN(2)/25))/(LN(2)/25)*Calculateur!AQ119*Calculateur!AS119*VLOOKUP('Données projet'!$B$10,Paramètres!$A$1:$I$89,3,0)*0.475*44/12</f>
        <v>1.8907136655131762</v>
      </c>
      <c r="AW119" s="21">
        <f>EXP(-LN(2)/2)*AW118+(1-EXP(-LN(2)/2))/(LN(2)/2)*AQ119*AT119*VLOOKUP('Données projet'!$B$10,Paramètres!$A$1:$I$89,3,0)*0.475*44/12</f>
        <v>2.7329217860775869E-12</v>
      </c>
      <c r="AX119" s="21">
        <f t="shared" si="60"/>
        <v>2.484926586022469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81.715042525691956</v>
      </c>
      <c r="BJ119" s="59">
        <f t="shared" si="92"/>
        <v>257.80402821394864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7.5459852742182125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1.0046741789187083E-13</v>
      </c>
      <c r="BS119" s="22">
        <f t="shared" si="63"/>
        <v>7.5459852742183129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370.69652285220093</v>
      </c>
      <c r="T120" s="59">
        <f t="shared" si="88"/>
        <v>376.53494965377718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-5.1159076974727213E-13</v>
      </c>
      <c r="AJ120" s="13">
        <f>AI120*VLOOKUP('Données projet'!$B$10,Paramètres!$A$1:$I$89,3,0)*VLOOKUP('Données projet'!$B$10,Paramètres!$A$1:$I$89,5,0)</f>
        <v>-4.0702161641092972E-13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260.20517190557814</v>
      </c>
      <c r="AO120" s="59">
        <f t="shared" si="90"/>
        <v>307.22009971147133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0.58256076756952024</v>
      </c>
      <c r="AV120" s="21">
        <f>EXP(-LN(2)/25)*AV119+(1-EXP(-LN(2)/25))/(LN(2)/25)*Calculateur!AQ120*Calculateur!AS120*VLOOKUP('Données projet'!$B$10,Paramètres!$A$1:$I$89,3,0)*0.475*44/12</f>
        <v>1.8390120009014079</v>
      </c>
      <c r="AW120" s="21">
        <f>EXP(-LN(2)/2)*AW119+(1-EXP(-LN(2)/2))/(LN(2)/2)*AQ120*AT120*VLOOKUP('Données projet'!$B$10,Paramètres!$A$1:$I$89,3,0)*0.475*44/12</f>
        <v>1.9324675273879128E-12</v>
      </c>
      <c r="AX120" s="21">
        <f t="shared" si="60"/>
        <v>2.4215727684728607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81.715042525691956</v>
      </c>
      <c r="BJ120" s="59">
        <f t="shared" si="92"/>
        <v>257.80402821394864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7.3980131055873422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7.1041192479644539E-14</v>
      </c>
      <c r="BS120" s="22">
        <f t="shared" si="63"/>
        <v>7.3980131055874132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370.69652285220093</v>
      </c>
      <c r="T121" s="59">
        <f t="shared" si="88"/>
        <v>376.53494965377718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-5.1159076974727213E-13</v>
      </c>
      <c r="AJ121" s="13">
        <f>AI121*VLOOKUP('Données projet'!$B$10,Paramètres!$A$1:$I$89,3,0)*VLOOKUP('Données projet'!$B$10,Paramètres!$A$1:$I$89,5,0)</f>
        <v>-4.0702161641092972E-13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260.20517190557814</v>
      </c>
      <c r="AO121" s="59">
        <f t="shared" si="90"/>
        <v>307.22009971147133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0.57113710624446457</v>
      </c>
      <c r="AV121" s="21">
        <f>EXP(-LN(2)/25)*AV120+(1-EXP(-LN(2)/25))/(LN(2)/25)*Calculateur!AQ121*Calculateur!AS121*VLOOKUP('Données projet'!$B$10,Paramètres!$A$1:$I$89,3,0)*0.475*44/12</f>
        <v>1.7887241210273208</v>
      </c>
      <c r="AW121" s="21">
        <f>EXP(-LN(2)/2)*AW120+(1-EXP(-LN(2)/2))/(LN(2)/2)*AQ121*AT121*VLOOKUP('Données projet'!$B$10,Paramètres!$A$1:$I$89,3,0)*0.475*44/12</f>
        <v>1.3664608930387934E-12</v>
      </c>
      <c r="AX121" s="21">
        <f t="shared" si="60"/>
        <v>2.3598612272731518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81.715042525691956</v>
      </c>
      <c r="BJ121" s="59">
        <f t="shared" si="92"/>
        <v>257.80402821394864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7.2529425809292123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5.0233708945935417E-14</v>
      </c>
      <c r="BS121" s="22">
        <f t="shared" si="63"/>
        <v>7.2529425809292629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370.69652285220093</v>
      </c>
      <c r="T122" s="59">
        <f t="shared" si="88"/>
        <v>376.53494965377718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-5.1159076974727213E-13</v>
      </c>
      <c r="AJ122" s="13">
        <f>AI122*VLOOKUP('Données projet'!$B$10,Paramètres!$A$1:$I$89,3,0)*VLOOKUP('Données projet'!$B$10,Paramètres!$A$1:$I$89,5,0)</f>
        <v>-4.0702161641092972E-13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260.20517190557814</v>
      </c>
      <c r="AO122" s="59">
        <f t="shared" si="90"/>
        <v>307.22009971147133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0.5599374559502478</v>
      </c>
      <c r="AV122" s="21">
        <f>EXP(-LN(2)/25)*AV121+(1-EXP(-LN(2)/25))/(LN(2)/25)*Calculateur!AQ122*Calculateur!AS122*VLOOKUP('Données projet'!$B$10,Paramètres!$A$1:$I$89,3,0)*0.475*44/12</f>
        <v>1.7398113658729153</v>
      </c>
      <c r="AW122" s="21">
        <f>EXP(-LN(2)/2)*AW121+(1-EXP(-LN(2)/2))/(LN(2)/2)*AQ122*AT122*VLOOKUP('Données projet'!$B$10,Paramètres!$A$1:$I$89,3,0)*0.475*44/12</f>
        <v>9.6623376369395642E-13</v>
      </c>
      <c r="AX122" s="21">
        <f t="shared" si="60"/>
        <v>2.2997488218241293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81.715042525691956</v>
      </c>
      <c r="BJ122" s="59">
        <f t="shared" si="92"/>
        <v>257.80402821394864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7.1107168007753447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3.5520596239822269E-14</v>
      </c>
      <c r="BS122" s="22">
        <f t="shared" si="63"/>
        <v>7.1107168007753803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370.69652285220093</v>
      </c>
      <c r="T123" s="59">
        <f t="shared" si="88"/>
        <v>376.53494965377718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-5.1159076974727213E-13</v>
      </c>
      <c r="AJ123" s="13">
        <f>AI123*VLOOKUP('Données projet'!$B$10,Paramètres!$A$1:$I$89,3,0)*VLOOKUP('Données projet'!$B$10,Paramètres!$A$1:$I$89,5,0)</f>
        <v>-4.0702161641092972E-13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260.20517190557814</v>
      </c>
      <c r="AO123" s="59">
        <f t="shared" si="90"/>
        <v>307.22009971147133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0.5489574239671885</v>
      </c>
      <c r="AV123" s="21">
        <f>EXP(-LN(2)/25)*AV122+(1-EXP(-LN(2)/25))/(LN(2)/25)*Calculateur!AQ123*Calculateur!AS123*VLOOKUP('Données projet'!$B$10,Paramètres!$A$1:$I$89,3,0)*0.475*44/12</f>
        <v>1.6922361325804172</v>
      </c>
      <c r="AW123" s="21">
        <f>EXP(-LN(2)/2)*AW122+(1-EXP(-LN(2)/2))/(LN(2)/2)*AQ123*AT123*VLOOKUP('Données projet'!$B$10,Paramètres!$A$1:$I$89,3,0)*0.475*44/12</f>
        <v>6.8323044651939671E-13</v>
      </c>
      <c r="AX123" s="21">
        <f t="shared" si="60"/>
        <v>2.2411935565482888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81.715042525691956</v>
      </c>
      <c r="BJ123" s="59">
        <f t="shared" si="92"/>
        <v>257.80402821394864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6.9712799814211346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2.5116854472967708E-14</v>
      </c>
      <c r="BS123" s="22">
        <f t="shared" si="63"/>
        <v>6.9712799814211595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370.69652285220093</v>
      </c>
      <c r="T124" s="59">
        <f t="shared" si="88"/>
        <v>376.53494965377718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-4.0702161641092972E-13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260.20517190557814</v>
      </c>
      <c r="AO124" s="59">
        <f t="shared" si="90"/>
        <v>307.22009971147133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0.53819270371415873</v>
      </c>
      <c r="AV124" s="21">
        <f>EXP(-LN(2)/25)*AV123+(1-EXP(-LN(2)/25))/(LN(2)/25)*Calculateur!AQ124*Calculateur!AS124*VLOOKUP('Données projet'!$B$10,Paramètres!$A$1:$I$89,3,0)*0.475*44/12</f>
        <v>1.6459618465441752</v>
      </c>
      <c r="AW124" s="21">
        <f>EXP(-LN(2)/2)*AW123+(1-EXP(-LN(2)/2))/(LN(2)/2)*AQ124*AT124*VLOOKUP('Données projet'!$B$10,Paramètres!$A$1:$I$89,3,0)*0.475*44/12</f>
        <v>4.8311688184697821E-13</v>
      </c>
      <c r="AX124" s="21">
        <f t="shared" si="60"/>
        <v>2.1841545502588171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81.715042525691956</v>
      </c>
      <c r="BJ124" s="59">
        <f t="shared" si="92"/>
        <v>257.80402821394864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6.8345774330463991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1.7760298119911135E-14</v>
      </c>
      <c r="BS124" s="22">
        <f t="shared" si="63"/>
        <v>6.8345774330464169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370.69652285220093</v>
      </c>
      <c r="T125" s="59">
        <f t="shared" si="88"/>
        <v>376.53494965377718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-4.0702161641092972E-13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260.20517190557814</v>
      </c>
      <c r="AO125" s="59">
        <f t="shared" si="90"/>
        <v>307.22009971147133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0.5276390730594599</v>
      </c>
      <c r="AV125" s="21">
        <f>EXP(-LN(2)/25)*AV124+(1-EXP(-LN(2)/25))/(LN(2)/25)*Calculateur!AQ125*Calculateur!AS125*VLOOKUP('Données projet'!$B$10,Paramètres!$A$1:$I$89,3,0)*0.475*44/12</f>
        <v>1.6009529332930532</v>
      </c>
      <c r="AW125" s="21">
        <f>EXP(-LN(2)/2)*AW124+(1-EXP(-LN(2)/2))/(LN(2)/2)*AQ125*AT125*VLOOKUP('Données projet'!$B$10,Paramètres!$A$1:$I$89,3,0)*0.475*44/12</f>
        <v>3.4161522325969836E-13</v>
      </c>
      <c r="AX125" s="21">
        <f t="shared" si="60"/>
        <v>2.1285920063528545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81.715042525691956</v>
      </c>
      <c r="BJ125" s="59">
        <f t="shared" si="92"/>
        <v>257.80402821394864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6.70055553826497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1.2558427236483854E-14</v>
      </c>
      <c r="BS125" s="22">
        <f t="shared" si="63"/>
        <v>6.7005555382649824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370.69652285220093</v>
      </c>
      <c r="T126" s="59">
        <f t="shared" si="88"/>
        <v>376.53494965377718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-4.0702161641092972E-13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260.20517190557814</v>
      </c>
      <c r="AO126" s="59">
        <f t="shared" si="90"/>
        <v>307.22009971147133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0.51729239266482052</v>
      </c>
      <c r="AV126" s="21">
        <f>EXP(-LN(2)/25)*AV125+(1-EXP(-LN(2)/25))/(LN(2)/25)*Calculateur!AQ126*Calculateur!AS126*VLOOKUP('Données projet'!$B$10,Paramètres!$A$1:$I$89,3,0)*0.475*44/12</f>
        <v>1.5571747911416989</v>
      </c>
      <c r="AW126" s="21">
        <f>EXP(-LN(2)/2)*AW125+(1-EXP(-LN(2)/2))/(LN(2)/2)*AQ126*AT126*VLOOKUP('Données projet'!$B$10,Paramètres!$A$1:$I$89,3,0)*0.475*44/12</f>
        <v>2.415584409234891E-13</v>
      </c>
      <c r="AX126" s="21">
        <f t="shared" si="60"/>
        <v>2.0744671838067612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81.715042525691956</v>
      </c>
      <c r="BJ126" s="59">
        <f t="shared" si="92"/>
        <v>257.80402821394864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6.5691617310949209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8.8801490599555673E-15</v>
      </c>
      <c r="BS126" s="22">
        <f t="shared" si="63"/>
        <v>6.5691617310949297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370.69652285220093</v>
      </c>
      <c r="T127" s="59">
        <f t="shared" si="88"/>
        <v>376.53494965377718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-4.0702161641092972E-13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260.20517190557814</v>
      </c>
      <c r="AO127" s="59">
        <f t="shared" si="90"/>
        <v>307.22009971147133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0.50714860436186815</v>
      </c>
      <c r="AV127" s="21">
        <f>EXP(-LN(2)/25)*AV126+(1-EXP(-LN(2)/25))/(LN(2)/25)*Calculateur!AQ127*Calculateur!AS127*VLOOKUP('Données projet'!$B$10,Paramètres!$A$1:$I$89,3,0)*0.475*44/12</f>
        <v>1.5145937645896659</v>
      </c>
      <c r="AW127" s="21">
        <f>EXP(-LN(2)/2)*AW126+(1-EXP(-LN(2)/2))/(LN(2)/2)*AQ127*AT127*VLOOKUP('Données projet'!$B$10,Paramètres!$A$1:$I$89,3,0)*0.475*44/12</f>
        <v>1.7080761162984918E-13</v>
      </c>
      <c r="AX127" s="21">
        <f t="shared" si="60"/>
        <v>2.0217423689517049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81.715042525691956</v>
      </c>
      <c r="BJ127" s="59">
        <f t="shared" si="92"/>
        <v>257.80402821394864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6.4403444763411679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6.2792136182419271E-15</v>
      </c>
      <c r="BS127" s="22">
        <f t="shared" si="63"/>
        <v>6.4403444763411741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370.69652285220093</v>
      </c>
      <c r="T128" s="59">
        <f t="shared" si="88"/>
        <v>376.53494965377718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-4.0702161641092972E-13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260.20517190557814</v>
      </c>
      <c r="AO128" s="59">
        <f t="shared" si="90"/>
        <v>307.22009971147133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0.49720372956043679</v>
      </c>
      <c r="AV128" s="21">
        <f>EXP(-LN(2)/25)*AV127+(1-EXP(-LN(2)/25))/(LN(2)/25)*Calculateur!AQ128*Calculateur!AS128*VLOOKUP('Données projet'!$B$10,Paramètres!$A$1:$I$89,3,0)*0.475*44/12</f>
        <v>1.473177118447937</v>
      </c>
      <c r="AW128" s="21">
        <f>EXP(-LN(2)/2)*AW127+(1-EXP(-LN(2)/2))/(LN(2)/2)*AQ128*AT128*VLOOKUP('Données projet'!$B$10,Paramètres!$A$1:$I$89,3,0)*0.475*44/12</f>
        <v>1.2077922046174455E-13</v>
      </c>
      <c r="AX128" s="21">
        <f t="shared" si="60"/>
        <v>1.9703808480084946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81.715042525691956</v>
      </c>
      <c r="BJ128" s="59">
        <f t="shared" si="92"/>
        <v>257.80402821394864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6.3140532493823684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4.4400745299777837E-15</v>
      </c>
      <c r="BS128" s="22">
        <f t="shared" si="63"/>
        <v>6.3140532493823729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370.69652285220093</v>
      </c>
      <c r="T129" s="59">
        <f t="shared" si="88"/>
        <v>376.53494965377718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-4.0702161641092972E-13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260.20517190557814</v>
      </c>
      <c r="AO129" s="59">
        <f t="shared" si="90"/>
        <v>307.22009971147133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0.48745386768808679</v>
      </c>
      <c r="AV129" s="21">
        <f>EXP(-LN(2)/25)*AV128+(1-EXP(-LN(2)/25))/(LN(2)/25)*Calculateur!AQ129*Calculateur!AS129*VLOOKUP('Données projet'!$B$10,Paramètres!$A$1:$I$89,3,0)*0.475*44/12</f>
        <v>1.4328930126729604</v>
      </c>
      <c r="AW129" s="21">
        <f>EXP(-LN(2)/2)*AW128+(1-EXP(-LN(2)/2))/(LN(2)/2)*AQ129*AT129*VLOOKUP('Données projet'!$B$10,Paramètres!$A$1:$I$89,3,0)*0.475*44/12</f>
        <v>8.5403805814924589E-14</v>
      </c>
      <c r="AX129" s="21">
        <f t="shared" si="60"/>
        <v>1.9203468803611328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81.715042525691956</v>
      </c>
      <c r="BJ129" s="59">
        <f t="shared" si="92"/>
        <v>257.80402821394864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6.1902385163541886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3.1396068091209636E-15</v>
      </c>
      <c r="BS129" s="22">
        <f t="shared" si="63"/>
        <v>6.1902385163541922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370.69652285220093</v>
      </c>
      <c r="T130" s="59">
        <f t="shared" si="88"/>
        <v>376.53494965377718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-4.0702161641092972E-13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260.20517190557814</v>
      </c>
      <c r="AO130" s="59">
        <f t="shared" si="90"/>
        <v>307.22009971147133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0.47789519466022506</v>
      </c>
      <c r="AV130" s="21">
        <f>EXP(-LN(2)/25)*AV129+(1-EXP(-LN(2)/25))/(LN(2)/25)*Calculateur!AQ130*Calculateur!AS130*VLOOKUP('Données projet'!$B$10,Paramètres!$A$1:$I$89,3,0)*0.475*44/12</f>
        <v>1.3937104778888496</v>
      </c>
      <c r="AW130" s="21">
        <f>EXP(-LN(2)/2)*AW129+(1-EXP(-LN(2)/2))/(LN(2)/2)*AQ130*AT130*VLOOKUP('Données projet'!$B$10,Paramètres!$A$1:$I$89,3,0)*0.475*44/12</f>
        <v>6.0389610230872276E-14</v>
      </c>
      <c r="AX130" s="21">
        <f t="shared" si="60"/>
        <v>1.871605672549135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81.715042525691956</v>
      </c>
      <c r="BJ130" s="59">
        <f t="shared" si="92"/>
        <v>257.80402821394864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6.0688517147211609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2.2200372649888918E-15</v>
      </c>
      <c r="BS130" s="22">
        <f t="shared" si="63"/>
        <v>6.0688517147211627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370.69652285220093</v>
      </c>
      <c r="T131" s="59">
        <f t="shared" si="88"/>
        <v>376.53494965377718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-4.0702161641092972E-13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260.20517190557814</v>
      </c>
      <c r="AO131" s="59">
        <f t="shared" si="90"/>
        <v>307.22009971147133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0.46852396138022484</v>
      </c>
      <c r="AV131" s="21">
        <f>EXP(-LN(2)/25)*AV130+(1-EXP(-LN(2)/25))/(LN(2)/25)*Calculateur!AQ131*Calculateur!AS131*VLOOKUP('Données projet'!$B$10,Paramètres!$A$1:$I$89,3,0)*0.475*44/12</f>
        <v>1.3555993915789304</v>
      </c>
      <c r="AW131" s="21">
        <f>EXP(-LN(2)/2)*AW130+(1-EXP(-LN(2)/2))/(LN(2)/2)*AQ131*AT131*VLOOKUP('Données projet'!$B$10,Paramètres!$A$1:$I$89,3,0)*0.475*44/12</f>
        <v>4.2701902907462295E-14</v>
      </c>
      <c r="AX131" s="21">
        <f t="shared" si="60"/>
        <v>1.8241233529591978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81.715042525691956</v>
      </c>
      <c r="BJ131" s="59">
        <f t="shared" si="92"/>
        <v>257.80402821394864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5.9498452342295192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1.5698034045604818E-15</v>
      </c>
      <c r="BS131" s="22">
        <f t="shared" si="63"/>
        <v>5.9498452342295209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370.69652285220093</v>
      </c>
      <c r="T132" s="59">
        <f t="shared" si="88"/>
        <v>376.53494965377718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-4.0702161641092972E-13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260.20517190557814</v>
      </c>
      <c r="AO132" s="59">
        <f t="shared" si="90"/>
        <v>307.22009971147133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0.45933649226895751</v>
      </c>
      <c r="AV132" s="21">
        <f>EXP(-LN(2)/25)*AV131+(1-EXP(-LN(2)/25))/(LN(2)/25)*Calculateur!AQ132*Calculateur!AS132*VLOOKUP('Données projet'!$B$10,Paramètres!$A$1:$I$89,3,0)*0.475*44/12</f>
        <v>1.3185304549283308</v>
      </c>
      <c r="AW132" s="21">
        <f>EXP(-LN(2)/2)*AW131+(1-EXP(-LN(2)/2))/(LN(2)/2)*AQ132*AT132*VLOOKUP('Données projet'!$B$10,Paramètres!$A$1:$I$89,3,0)*0.475*44/12</f>
        <v>3.0194805115436138E-14</v>
      </c>
      <c r="AX132" s="21">
        <f t="shared" ref="AX132:AX153" si="114">SUM(AU132:AW132)</f>
        <v>1.7778669471973185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81.715042525691956</v>
      </c>
      <c r="BJ132" s="59">
        <f t="shared" si="92"/>
        <v>257.80402821394864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5.8331723982335326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1.1100186324944459E-15</v>
      </c>
      <c r="BS132" s="22">
        <f t="shared" ref="BS132:BS153" si="117">SUM(BP132:BR132)</f>
        <v>5.8331723982335335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370.69652285220093</v>
      </c>
      <c r="T133" s="59">
        <f t="shared" ref="T133:T196" si="142">$T$3</f>
        <v>376.53494965377718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-4.0702161641092972E-13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260.20517190557814</v>
      </c>
      <c r="AO133" s="59">
        <f t="shared" ref="AO133:AO196" si="144">$AO$3</f>
        <v>307.22009971147133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0.45032918382315928</v>
      </c>
      <c r="AV133" s="21">
        <f>EXP(-LN(2)/25)*AV132+(1-EXP(-LN(2)/25))/(LN(2)/25)*Calculateur!AQ133*Calculateur!AS133*VLOOKUP('Données projet'!$B$10,Paramètres!$A$1:$I$89,3,0)*0.475*44/12</f>
        <v>1.2824751702998125</v>
      </c>
      <c r="AW133" s="21">
        <f>EXP(-LN(2)/2)*AW132+(1-EXP(-LN(2)/2))/(LN(2)/2)*AQ133*AT133*VLOOKUP('Données projet'!$B$10,Paramètres!$A$1:$I$89,3,0)*0.475*44/12</f>
        <v>2.1350951453731147E-14</v>
      </c>
      <c r="AX133" s="21">
        <f t="shared" si="114"/>
        <v>1.7328043541229932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81.715042525691956</v>
      </c>
      <c r="BJ133" s="59">
        <f t="shared" ref="BJ133:BJ196" si="146">$BJ$3</f>
        <v>257.80402821394864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5.7187874453880241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7.8490170228024089E-16</v>
      </c>
      <c r="BS133" s="22">
        <f t="shared" si="117"/>
        <v>5.718787445388025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370.69652285220093</v>
      </c>
      <c r="T134" s="59">
        <f t="shared" si="142"/>
        <v>376.53494965377718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-4.0702161641092972E-13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260.20517190557814</v>
      </c>
      <c r="AO134" s="59">
        <f t="shared" si="144"/>
        <v>307.22009971147133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0.44149850320206752</v>
      </c>
      <c r="AV134" s="21">
        <f>EXP(-LN(2)/25)*AV133+(1-EXP(-LN(2)/25))/(LN(2)/25)*Calculateur!AQ134*Calculateur!AS134*VLOOKUP('Données projet'!$B$10,Paramètres!$A$1:$I$89,3,0)*0.475*44/12</f>
        <v>1.247405819325526</v>
      </c>
      <c r="AW134" s="21">
        <f>EXP(-LN(2)/2)*AW133+(1-EXP(-LN(2)/2))/(LN(2)/2)*AQ134*AT134*VLOOKUP('Données projet'!$B$10,Paramètres!$A$1:$I$89,3,0)*0.475*44/12</f>
        <v>1.5097402557718069E-14</v>
      </c>
      <c r="AX134" s="21">
        <f t="shared" si="114"/>
        <v>1.6889043225276086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81.715042525691956</v>
      </c>
      <c r="BJ134" s="59">
        <f t="shared" si="146"/>
        <v>257.80402821394864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5.6066455116998837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5.5500931624722296E-16</v>
      </c>
      <c r="BS134" s="22">
        <f t="shared" si="117"/>
        <v>5.6066455116998846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370.69652285220093</v>
      </c>
      <c r="T135" s="59">
        <f t="shared" si="142"/>
        <v>376.53494965377718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-4.0702161641092972E-13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260.20517190557814</v>
      </c>
      <c r="AO135" s="59">
        <f t="shared" si="144"/>
        <v>307.22009971147133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0.43284098684177197</v>
      </c>
      <c r="AV135" s="21">
        <f>EXP(-LN(2)/25)*AV134+(1-EXP(-LN(2)/25))/(LN(2)/25)*Calculateur!AQ135*Calculateur!AS135*VLOOKUP('Données projet'!$B$10,Paramètres!$A$1:$I$89,3,0)*0.475*44/12</f>
        <v>1.2132954415978483</v>
      </c>
      <c r="AW135" s="21">
        <f>EXP(-LN(2)/2)*AW134+(1-EXP(-LN(2)/2))/(LN(2)/2)*AQ135*AT135*VLOOKUP('Données projet'!$B$10,Paramètres!$A$1:$I$89,3,0)*0.475*44/12</f>
        <v>1.0675475726865574E-14</v>
      </c>
      <c r="AX135" s="21">
        <f t="shared" si="114"/>
        <v>1.6461364284396309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81.715042525691956</v>
      </c>
      <c r="BJ135" s="59">
        <f t="shared" si="146"/>
        <v>257.80402821394864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5.4967026129315419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3.9245085114012044E-16</v>
      </c>
      <c r="BS135" s="22">
        <f t="shared" si="117"/>
        <v>5.4967026129315419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370.69652285220093</v>
      </c>
      <c r="T136" s="59">
        <f t="shared" si="142"/>
        <v>376.53494965377718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-4.0702161641092972E-13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260.20517190557814</v>
      </c>
      <c r="AO136" s="59">
        <f t="shared" si="144"/>
        <v>307.22009971147133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0.42435323909673828</v>
      </c>
      <c r="AV136" s="21">
        <f>EXP(-LN(2)/25)*AV135+(1-EXP(-LN(2)/25))/(LN(2)/25)*Calculateur!AQ136*Calculateur!AS136*VLOOKUP('Données projet'!$B$10,Paramètres!$A$1:$I$89,3,0)*0.475*44/12</f>
        <v>1.1801178139429209</v>
      </c>
      <c r="AW136" s="21">
        <f>EXP(-LN(2)/2)*AW135+(1-EXP(-LN(2)/2))/(LN(2)/2)*AQ136*AT136*VLOOKUP('Données projet'!$B$10,Paramètres!$A$1:$I$89,3,0)*0.475*44/12</f>
        <v>7.5487012788590345E-15</v>
      </c>
      <c r="AX136" s="21">
        <f t="shared" si="114"/>
        <v>1.6044710530396666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81.715042525691956</v>
      </c>
      <c r="BJ136" s="59">
        <f t="shared" si="146"/>
        <v>257.80402821394864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5.3889156273495011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2.7750465812361148E-16</v>
      </c>
      <c r="BS136" s="22">
        <f t="shared" si="117"/>
        <v>5.3889156273495011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370.69652285220093</v>
      </c>
      <c r="T137" s="59">
        <f t="shared" si="142"/>
        <v>376.53494965377718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-4.0702161641092972E-13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260.20517190557814</v>
      </c>
      <c r="AO137" s="59">
        <f t="shared" si="144"/>
        <v>307.22009971147133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0.41603193090796975</v>
      </c>
      <c r="AV137" s="21">
        <f>EXP(-LN(2)/25)*AV136+(1-EXP(-LN(2)/25))/(LN(2)/25)*Calculateur!AQ137*Calculateur!AS137*VLOOKUP('Données projet'!$B$10,Paramètres!$A$1:$I$89,3,0)*0.475*44/12</f>
        <v>1.1478474302609531</v>
      </c>
      <c r="AW137" s="21">
        <f>EXP(-LN(2)/2)*AW136+(1-EXP(-LN(2)/2))/(LN(2)/2)*AQ137*AT137*VLOOKUP('Données projet'!$B$10,Paramètres!$A$1:$I$89,3,0)*0.475*44/12</f>
        <v>5.3377378634327868E-15</v>
      </c>
      <c r="AX137" s="21">
        <f t="shared" si="114"/>
        <v>1.5638793611689281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81.715042525691956</v>
      </c>
      <c r="BJ137" s="59">
        <f t="shared" si="146"/>
        <v>257.80402821394864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5.2832422788111542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1.9622542557006022E-16</v>
      </c>
      <c r="BS137" s="22">
        <f t="shared" si="117"/>
        <v>5.2832422788111542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370.69652285220093</v>
      </c>
      <c r="T138" s="59">
        <f t="shared" si="142"/>
        <v>376.53494965377718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-4.0702161641092972E-13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260.20517190557814</v>
      </c>
      <c r="AO138" s="59">
        <f t="shared" si="144"/>
        <v>307.22009971147133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0.40787379849728617</v>
      </c>
      <c r="AV138" s="21">
        <f>EXP(-LN(2)/25)*AV137+(1-EXP(-LN(2)/25))/(LN(2)/25)*Calculateur!AQ138*Calculateur!AS138*VLOOKUP('Données projet'!$B$10,Paramètres!$A$1:$I$89,3,0)*0.475*44/12</f>
        <v>1.1164594819177944</v>
      </c>
      <c r="AW138" s="21">
        <f>EXP(-LN(2)/2)*AW137+(1-EXP(-LN(2)/2))/(LN(2)/2)*AQ138*AT138*VLOOKUP('Données projet'!$B$10,Paramètres!$A$1:$I$89,3,0)*0.475*44/12</f>
        <v>3.7743506394295173E-15</v>
      </c>
      <c r="AX138" s="21">
        <f t="shared" si="114"/>
        <v>1.5243332804150844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81.715042525691956</v>
      </c>
      <c r="BJ138" s="59">
        <f t="shared" si="146"/>
        <v>257.80402821394864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5.1796411201832662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1.3875232906180574E-16</v>
      </c>
      <c r="BS138" s="22">
        <f t="shared" si="117"/>
        <v>5.1796411201832662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370.69652285220093</v>
      </c>
      <c r="T139" s="59">
        <f t="shared" si="142"/>
        <v>376.53494965377718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-4.0702161641092972E-13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260.20517190557814</v>
      </c>
      <c r="AO139" s="59">
        <f t="shared" si="144"/>
        <v>307.22009971147133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0.39987564208720666</v>
      </c>
      <c r="AV139" s="21">
        <f>EXP(-LN(2)/25)*AV138+(1-EXP(-LN(2)/25))/(LN(2)/25)*Calculateur!AQ139*Calculateur!AS139*VLOOKUP('Données projet'!$B$10,Paramètres!$A$1:$I$89,3,0)*0.475*44/12</f>
        <v>1.0859298386726999</v>
      </c>
      <c r="AW139" s="21">
        <f>EXP(-LN(2)/2)*AW138+(1-EXP(-LN(2)/2))/(LN(2)/2)*AQ139*AT139*VLOOKUP('Données projet'!$B$10,Paramètres!$A$1:$I$89,3,0)*0.475*44/12</f>
        <v>2.6688689317163934E-15</v>
      </c>
      <c r="AX139" s="21">
        <f t="shared" si="114"/>
        <v>1.4858054807599093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81.715042525691956</v>
      </c>
      <c r="BJ139" s="59">
        <f t="shared" si="146"/>
        <v>257.80402821394864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5.0780715170856041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9.8112712785030111E-17</v>
      </c>
      <c r="BS139" s="22">
        <f t="shared" si="117"/>
        <v>5.0780715170856041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370.69652285220093</v>
      </c>
      <c r="T140" s="59">
        <f t="shared" si="142"/>
        <v>376.53494965377718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-4.0702161641092972E-13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260.20517190557814</v>
      </c>
      <c r="AO140" s="59">
        <f t="shared" si="144"/>
        <v>307.22009971147133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0.39203432464593507</v>
      </c>
      <c r="AV140" s="21">
        <f>EXP(-LN(2)/25)*AV139+(1-EXP(-LN(2)/25))/(LN(2)/25)*Calculateur!AQ140*Calculateur!AS140*VLOOKUP('Données projet'!$B$10,Paramètres!$A$1:$I$89,3,0)*0.475*44/12</f>
        <v>1.0562350301276267</v>
      </c>
      <c r="AW140" s="21">
        <f>EXP(-LN(2)/2)*AW139+(1-EXP(-LN(2)/2))/(LN(2)/2)*AQ140*AT140*VLOOKUP('Données projet'!$B$10,Paramètres!$A$1:$I$89,3,0)*0.475*44/12</f>
        <v>1.8871753197147586E-15</v>
      </c>
      <c r="AX140" s="21">
        <f t="shared" si="114"/>
        <v>1.4482693547735634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81.715042525691956</v>
      </c>
      <c r="BJ140" s="59">
        <f t="shared" si="146"/>
        <v>257.80402821394864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4.9784936319533459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6.937616453090287E-17</v>
      </c>
      <c r="BS140" s="22">
        <f t="shared" si="117"/>
        <v>4.9784936319533459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370.69652285220093</v>
      </c>
      <c r="T141" s="59">
        <f t="shared" si="142"/>
        <v>376.53494965377718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-4.0702161641092972E-13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260.20517190557814</v>
      </c>
      <c r="AO141" s="59">
        <f t="shared" si="144"/>
        <v>307.22009971147133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0.38434677065695544</v>
      </c>
      <c r="AV141" s="21">
        <f>EXP(-LN(2)/25)*AV140+(1-EXP(-LN(2)/25))/(LN(2)/25)*Calculateur!AQ141*Calculateur!AS141*VLOOKUP('Données projet'!$B$10,Paramètres!$A$1:$I$89,3,0)*0.475*44/12</f>
        <v>1.0273522276838005</v>
      </c>
      <c r="AW141" s="21">
        <f>EXP(-LN(2)/2)*AW140+(1-EXP(-LN(2)/2))/(LN(2)/2)*AQ141*AT141*VLOOKUP('Données projet'!$B$10,Paramètres!$A$1:$I$89,3,0)*0.475*44/12</f>
        <v>1.3344344658581967E-15</v>
      </c>
      <c r="AX141" s="21">
        <f t="shared" si="114"/>
        <v>1.4116989983407573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81.715042525691956</v>
      </c>
      <c r="BJ141" s="59">
        <f t="shared" si="146"/>
        <v>257.80402821394864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4.8808684084120184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4.9056356392515055E-17</v>
      </c>
      <c r="BS141" s="22">
        <f t="shared" si="117"/>
        <v>4.8808684084120184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370.69652285220093</v>
      </c>
      <c r="T142" s="59">
        <f t="shared" si="142"/>
        <v>376.53494965377718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-4.0702161641092972E-13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260.20517190557814</v>
      </c>
      <c r="AO142" s="59">
        <f t="shared" si="144"/>
        <v>307.22009971147133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0.37680996491275476</v>
      </c>
      <c r="AV142" s="21">
        <f>EXP(-LN(2)/25)*AV141+(1-EXP(-LN(2)/25))/(LN(2)/25)*Calculateur!AQ142*Calculateur!AS142*VLOOKUP('Données projet'!$B$10,Paramètres!$A$1:$I$89,3,0)*0.475*44/12</f>
        <v>0.99925922699168135</v>
      </c>
      <c r="AW142" s="21">
        <f>EXP(-LN(2)/2)*AW141+(1-EXP(-LN(2)/2))/(LN(2)/2)*AQ142*AT142*VLOOKUP('Données projet'!$B$10,Paramètres!$A$1:$I$89,3,0)*0.475*44/12</f>
        <v>9.4358765985737932E-16</v>
      </c>
      <c r="AX142" s="21">
        <f t="shared" si="114"/>
        <v>1.376069191904437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81.715042525691956</v>
      </c>
      <c r="BJ142" s="59">
        <f t="shared" si="146"/>
        <v>257.80402821394864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4.78515755595883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3.4688082265451435E-17</v>
      </c>
      <c r="BS142" s="22">
        <f t="shared" si="117"/>
        <v>4.78515755595883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370.69652285220093</v>
      </c>
      <c r="T143" s="59">
        <f t="shared" si="142"/>
        <v>376.53494965377718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-4.0702161641092972E-13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260.20517190557814</v>
      </c>
      <c r="AO143" s="59">
        <f t="shared" si="144"/>
        <v>307.22009971147133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0.36942095133220026</v>
      </c>
      <c r="AV143" s="21">
        <f>EXP(-LN(2)/25)*AV142+(1-EXP(-LN(2)/25))/(LN(2)/25)*Calculateur!AQ143*Calculateur!AS143*VLOOKUP('Données projet'!$B$10,Paramètres!$A$1:$I$89,3,0)*0.475*44/12</f>
        <v>0.97193443088083487</v>
      </c>
      <c r="AW143" s="21">
        <f>EXP(-LN(2)/2)*AW142+(1-EXP(-LN(2)/2))/(LN(2)/2)*AQ143*AT143*VLOOKUP('Données projet'!$B$10,Paramètres!$A$1:$I$89,3,0)*0.475*44/12</f>
        <v>6.6721723292909835E-16</v>
      </c>
      <c r="AX143" s="21">
        <f t="shared" si="114"/>
        <v>1.3413553822130357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81.715042525691956</v>
      </c>
      <c r="BJ143" s="59">
        <f t="shared" si="146"/>
        <v>257.80402821394864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4.6913235349443925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2.4528178196257528E-17</v>
      </c>
      <c r="BS143" s="22">
        <f t="shared" si="117"/>
        <v>4.6913235349443925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370.69652285220093</v>
      </c>
      <c r="T144" s="59">
        <f t="shared" si="142"/>
        <v>376.53494965377718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-4.0702161641092972E-13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260.20517190557814</v>
      </c>
      <c r="AO144" s="59">
        <f t="shared" si="144"/>
        <v>307.22009971147133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0.36217683180110716</v>
      </c>
      <c r="AV144" s="21">
        <f>EXP(-LN(2)/25)*AV143+(1-EXP(-LN(2)/25))/(LN(2)/25)*Calculateur!AQ144*Calculateur!AS144*VLOOKUP('Données projet'!$B$10,Paramètres!$A$1:$I$89,3,0)*0.475*44/12</f>
        <v>0.94535683275658811</v>
      </c>
      <c r="AW144" s="21">
        <f>EXP(-LN(2)/2)*AW143+(1-EXP(-LN(2)/2))/(LN(2)/2)*AQ144*AT144*VLOOKUP('Données projet'!$B$10,Paramètres!$A$1:$I$89,3,0)*0.475*44/12</f>
        <v>4.7179382992868966E-16</v>
      </c>
      <c r="AX144" s="21">
        <f t="shared" si="114"/>
        <v>1.3075336645576958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81.715042525691956</v>
      </c>
      <c r="BJ144" s="59">
        <f t="shared" si="146"/>
        <v>257.80402821394864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4.599329541848947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1.7344041132725717E-17</v>
      </c>
      <c r="BS144" s="22">
        <f t="shared" si="117"/>
        <v>4.599329541848947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370.69652285220093</v>
      </c>
      <c r="T145" s="59">
        <f t="shared" si="142"/>
        <v>376.53494965377718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-4.0702161641092972E-13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260.20517190557814</v>
      </c>
      <c r="AO145" s="59">
        <f t="shared" si="144"/>
        <v>307.22009971147133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0.35507476503554219</v>
      </c>
      <c r="AV145" s="21">
        <f>EXP(-LN(2)/25)*AV144+(1-EXP(-LN(2)/25))/(LN(2)/25)*Calculateur!AQ145*Calculateur!AS145*VLOOKUP('Données projet'!$B$10,Paramètres!$A$1:$I$89,3,0)*0.475*44/12</f>
        <v>0.91950600045070396</v>
      </c>
      <c r="AW145" s="21">
        <f>EXP(-LN(2)/2)*AW144+(1-EXP(-LN(2)/2))/(LN(2)/2)*AQ145*AT145*VLOOKUP('Données projet'!$B$10,Paramètres!$A$1:$I$89,3,0)*0.475*44/12</f>
        <v>3.3360861646454918E-16</v>
      </c>
      <c r="AX145" s="21">
        <f t="shared" si="114"/>
        <v>1.2745807654862467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81.715042525691956</v>
      </c>
      <c r="BJ145" s="59">
        <f t="shared" si="146"/>
        <v>257.80402821394864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4.5091394948473082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1.2264089098128764E-17</v>
      </c>
      <c r="BS145" s="22">
        <f t="shared" si="117"/>
        <v>4.5091394948473082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370.69652285220093</v>
      </c>
      <c r="T146" s="59">
        <f t="shared" si="142"/>
        <v>376.53494965377718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-4.0702161641092972E-13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260.20517190557814</v>
      </c>
      <c r="AO146" s="59">
        <f t="shared" si="144"/>
        <v>307.22009971147133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0.34811196546741696</v>
      </c>
      <c r="AV146" s="21">
        <f>EXP(-LN(2)/25)*AV145+(1-EXP(-LN(2)/25))/(LN(2)/25)*Calculateur!AQ146*Calculateur!AS146*VLOOKUP('Données projet'!$B$10,Paramètres!$A$1:$I$89,3,0)*0.475*44/12</f>
        <v>0.89436206051366041</v>
      </c>
      <c r="AW146" s="21">
        <f>EXP(-LN(2)/2)*AW145+(1-EXP(-LN(2)/2))/(LN(2)/2)*AQ146*AT146*VLOOKUP('Données projet'!$B$10,Paramètres!$A$1:$I$89,3,0)*0.475*44/12</f>
        <v>2.3589691496434483E-16</v>
      </c>
      <c r="AX146" s="21">
        <f t="shared" si="114"/>
        <v>1.2424740259810776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81.715042525691956</v>
      </c>
      <c r="BJ146" s="59">
        <f t="shared" si="146"/>
        <v>257.80402821394864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4.4207180196568743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8.6720205663628587E-18</v>
      </c>
      <c r="BS146" s="22">
        <f t="shared" si="117"/>
        <v>4.4207180196568743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370.69652285220093</v>
      </c>
      <c r="T147" s="59">
        <f t="shared" si="142"/>
        <v>376.53494965377718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-4.0702161641092972E-13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260.20517190557814</v>
      </c>
      <c r="AO147" s="59">
        <f t="shared" si="144"/>
        <v>307.22009971147133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0.34128570215193427</v>
      </c>
      <c r="AV147" s="21">
        <f>EXP(-LN(2)/25)*AV146+(1-EXP(-LN(2)/25))/(LN(2)/25)*Calculateur!AQ147*Calculateur!AS147*VLOOKUP('Données projet'!$B$10,Paramètres!$A$1:$I$89,3,0)*0.475*44/12</f>
        <v>0.86990568293645765</v>
      </c>
      <c r="AW147" s="21">
        <f>EXP(-LN(2)/2)*AW146+(1-EXP(-LN(2)/2))/(LN(2)/2)*AQ147*AT147*VLOOKUP('Données projet'!$B$10,Paramètres!$A$1:$I$89,3,0)*0.475*44/12</f>
        <v>1.6680430823227459E-16</v>
      </c>
      <c r="AX147" s="21">
        <f t="shared" si="114"/>
        <v>1.2111913850883922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81.715042525691956</v>
      </c>
      <c r="BJ147" s="59">
        <f t="shared" si="146"/>
        <v>257.80402821394864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4.3340304356631503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6.1320445490643819E-18</v>
      </c>
      <c r="BS147" s="22">
        <f t="shared" si="117"/>
        <v>4.3340304356631503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370.69652285220093</v>
      </c>
      <c r="T148" s="59">
        <f t="shared" si="142"/>
        <v>376.53494965377718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-4.0702161641092972E-13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260.20517190557814</v>
      </c>
      <c r="AO148" s="59">
        <f t="shared" si="144"/>
        <v>307.22009971147133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0.33459329769645868</v>
      </c>
      <c r="AV148" s="21">
        <f>EXP(-LN(2)/25)*AV147+(1-EXP(-LN(2)/25))/(LN(2)/25)*Calculateur!AQ148*Calculateur!AS148*VLOOKUP('Données projet'!$B$10,Paramètres!$A$1:$I$89,3,0)*0.475*44/12</f>
        <v>0.84611806629020858</v>
      </c>
      <c r="AW148" s="21">
        <f>EXP(-LN(2)/2)*AW147+(1-EXP(-LN(2)/2))/(LN(2)/2)*AQ148*AT148*VLOOKUP('Données projet'!$B$10,Paramètres!$A$1:$I$89,3,0)*0.475*44/12</f>
        <v>1.1794845748217241E-16</v>
      </c>
      <c r="AX148" s="21">
        <f t="shared" si="114"/>
        <v>1.1807113639866675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81.715042525691956</v>
      </c>
      <c r="BJ148" s="59">
        <f t="shared" si="146"/>
        <v>257.80402821394864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4.2490427423173376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4.3360102831814294E-18</v>
      </c>
      <c r="BS148" s="22">
        <f t="shared" si="117"/>
        <v>4.2490427423173376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370.69652285220093</v>
      </c>
      <c r="T149" s="59">
        <f t="shared" si="142"/>
        <v>376.53494965377718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-4.0702161641092972E-13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260.20517190557814</v>
      </c>
      <c r="AO149" s="59">
        <f t="shared" si="144"/>
        <v>307.22009971147133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0.32803212721039132</v>
      </c>
      <c r="AV149" s="21">
        <f>EXP(-LN(2)/25)*AV148+(1-EXP(-LN(2)/25))/(LN(2)/25)*Calculateur!AQ149*Calculateur!AS149*VLOOKUP('Données projet'!$B$10,Paramètres!$A$1:$I$89,3,0)*0.475*44/12</f>
        <v>0.82298092327208761</v>
      </c>
      <c r="AW149" s="21">
        <f>EXP(-LN(2)/2)*AW148+(1-EXP(-LN(2)/2))/(LN(2)/2)*AQ149*AT149*VLOOKUP('Données projet'!$B$10,Paramètres!$A$1:$I$89,3,0)*0.475*44/12</f>
        <v>8.3402154116137294E-17</v>
      </c>
      <c r="AX149" s="21">
        <f t="shared" si="114"/>
        <v>1.1510130504824789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81.715042525691956</v>
      </c>
      <c r="BJ149" s="59">
        <f t="shared" si="146"/>
        <v>257.80402821394864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4.1657216058006625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3.066022274532191E-18</v>
      </c>
      <c r="BS149" s="22">
        <f t="shared" si="117"/>
        <v>4.1657216058006625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370.69652285220093</v>
      </c>
      <c r="T150" s="59">
        <f t="shared" si="142"/>
        <v>376.53494965377718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-4.0702161641092972E-13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260.20517190557814</v>
      </c>
      <c r="AO150" s="59">
        <f t="shared" si="144"/>
        <v>307.22009971147133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0.32159961727563691</v>
      </c>
      <c r="AV150" s="21">
        <f>EXP(-LN(2)/25)*AV149+(1-EXP(-LN(2)/25))/(LN(2)/25)*Calculateur!AQ150*Calculateur!AS150*VLOOKUP('Données projet'!$B$10,Paramètres!$A$1:$I$89,3,0)*0.475*44/12</f>
        <v>0.80047646664652661</v>
      </c>
      <c r="AW150" s="21">
        <f>EXP(-LN(2)/2)*AW149+(1-EXP(-LN(2)/2))/(LN(2)/2)*AQ150*AT150*VLOOKUP('Données projet'!$B$10,Paramètres!$A$1:$I$89,3,0)*0.475*44/12</f>
        <v>5.8974228741086207E-17</v>
      </c>
      <c r="AX150" s="21">
        <f t="shared" si="114"/>
        <v>1.1220760839221635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81.715042525691956</v>
      </c>
      <c r="BJ150" s="59">
        <f t="shared" si="146"/>
        <v>257.80402821394864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4.0840343459502044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2.1680051415907147E-18</v>
      </c>
      <c r="BS150" s="22">
        <f t="shared" si="117"/>
        <v>4.0840343459502044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370.69652285220093</v>
      </c>
      <c r="T151" s="59">
        <f t="shared" si="142"/>
        <v>376.53494965377718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-4.0702161641092972E-13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260.20517190557814</v>
      </c>
      <c r="AO151" s="59">
        <f t="shared" si="144"/>
        <v>307.22009971147133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0.31529324493725935</v>
      </c>
      <c r="AV151" s="21">
        <f>EXP(-LN(2)/25)*AV150+(1-EXP(-LN(2)/25))/(LN(2)/25)*Calculateur!AQ151*Calculateur!AS151*VLOOKUP('Données projet'!$B$10,Paramètres!$A$1:$I$89,3,0)*0.475*44/12</f>
        <v>0.77858739557084944</v>
      </c>
      <c r="AW151" s="21">
        <f>EXP(-LN(2)/2)*AW150+(1-EXP(-LN(2)/2))/(LN(2)/2)*AQ151*AT151*VLOOKUP('Données projet'!$B$10,Paramètres!$A$1:$I$89,3,0)*0.475*44/12</f>
        <v>4.1701077058068647E-17</v>
      </c>
      <c r="AX151" s="21">
        <f t="shared" si="114"/>
        <v>1.0938806405081087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81.715042525691956</v>
      </c>
      <c r="BJ151" s="59">
        <f t="shared" si="146"/>
        <v>257.80402821394864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4.0039489234411043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1.5330111372660955E-18</v>
      </c>
      <c r="BS151" s="22">
        <f t="shared" si="117"/>
        <v>4.0039489234411043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370.69652285220093</v>
      </c>
      <c r="T152" s="59">
        <f t="shared" si="142"/>
        <v>376.53494965377718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-4.0702161641092972E-13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260.20517190557814</v>
      </c>
      <c r="AO152" s="59">
        <f t="shared" si="144"/>
        <v>307.22009971147133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0.30911053671393007</v>
      </c>
      <c r="AV152" s="21">
        <f>EXP(-LN(2)/25)*AV151+(1-EXP(-LN(2)/25))/(LN(2)/25)*Calculateur!AQ152*Calculateur!AS152*VLOOKUP('Données projet'!$B$10,Paramètres!$A$1:$I$89,3,0)*0.475*44/12</f>
        <v>0.75729688229483294</v>
      </c>
      <c r="AW152" s="21">
        <f>EXP(-LN(2)/2)*AW151+(1-EXP(-LN(2)/2))/(LN(2)/2)*AQ152*AT152*VLOOKUP('Données projet'!$B$10,Paramètres!$A$1:$I$89,3,0)*0.475*44/12</f>
        <v>2.9487114370543104E-17</v>
      </c>
      <c r="AX152" s="21">
        <f t="shared" si="114"/>
        <v>1.0664074190087631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81.715042525691956</v>
      </c>
      <c r="BJ152" s="59">
        <f t="shared" si="146"/>
        <v>257.80402821394864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3.9254339272201237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1.0840025707953573E-18</v>
      </c>
      <c r="BS152" s="22">
        <f t="shared" si="117"/>
        <v>3.9254339272201237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370.69652285220093</v>
      </c>
      <c r="T153" s="59">
        <f t="shared" si="142"/>
        <v>376.53494965377718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-4.0702161641092972E-13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260.20517190557814</v>
      </c>
      <c r="AO153" s="59">
        <f t="shared" si="144"/>
        <v>307.22009971147133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0.30304906762778067</v>
      </c>
      <c r="AV153" s="21">
        <f>EXP(-LN(2)/25)*AV152+(1-EXP(-LN(2)/25))/(LN(2)/25)*Calculateur!AQ153*Calculateur!AS153*VLOOKUP('Données projet'!$B$10,Paramètres!$A$1:$I$89,3,0)*0.475*44/12</f>
        <v>0.73658855922396849</v>
      </c>
      <c r="AW153" s="21">
        <f>EXP(-LN(2)/2)*AW152+(1-EXP(-LN(2)/2))/(LN(2)/2)*AQ153*AT153*VLOOKUP('Données projet'!$B$10,Paramètres!$A$1:$I$89,3,0)*0.475*44/12</f>
        <v>2.0850538529034324E-17</v>
      </c>
      <c r="AX153" s="21">
        <f t="shared" si="114"/>
        <v>1.0396376268517491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81.715042525691956</v>
      </c>
      <c r="BJ153" s="59">
        <f t="shared" si="146"/>
        <v>257.80402821394864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3.8484585621856175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7.6650556863304774E-19</v>
      </c>
      <c r="BS153" s="22">
        <f t="shared" si="117"/>
        <v>3.8484585621856175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370.69652285220093</v>
      </c>
      <c r="T154" s="59">
        <f t="shared" si="142"/>
        <v>376.53494965377718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-4.0702161641092972E-13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260.20517190557814</v>
      </c>
      <c r="AO154" s="59">
        <f t="shared" si="144"/>
        <v>307.22009971147133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0.29710646025327953</v>
      </c>
      <c r="AV154" s="21">
        <f>EXP(-LN(2)/25)*AV153+(1-EXP(-LN(2)/25))/(LN(2)/25)*Calculateur!AQ154*Calculateur!AS154*VLOOKUP('Données projet'!$B$10,Paramètres!$A$1:$I$89,3,0)*0.475*44/12</f>
        <v>0.71644650633648022</v>
      </c>
      <c r="AW154" s="21">
        <f>EXP(-LN(2)/2)*AW153+(1-EXP(-LN(2)/2))/(LN(2)/2)*AQ154*AT154*VLOOKUP('Données projet'!$B$10,Paramètres!$A$1:$I$89,3,0)*0.475*44/12</f>
        <v>1.4743557185271552E-17</v>
      </c>
      <c r="AX154" s="21">
        <f t="shared" ref="AX154:AX203" si="166">SUM(AU154:AW154)</f>
        <v>1.0135529665897598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81.715042525691956</v>
      </c>
      <c r="BJ154" s="59">
        <f t="shared" si="146"/>
        <v>257.80402821394864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3.7729926371091009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5.4200128539767867E-19</v>
      </c>
      <c r="BS154" s="22">
        <f t="shared" ref="BS154:BS203" si="169">SUM(BP154:BR154)</f>
        <v>3.7729926371091009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370.69652285220093</v>
      </c>
      <c r="T155" s="59">
        <f t="shared" si="142"/>
        <v>376.53494965377718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-4.0702161641092972E-13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260.20517190557814</v>
      </c>
      <c r="AO155" s="59">
        <f t="shared" si="144"/>
        <v>307.22009971147133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0.29128038378475979</v>
      </c>
      <c r="AV155" s="21">
        <f>EXP(-LN(2)/25)*AV154+(1-EXP(-LN(2)/25))/(LN(2)/25)*Calculateur!AQ155*Calculateur!AS155*VLOOKUP('Données projet'!$B$10,Paramètres!$A$1:$I$89,3,0)*0.475*44/12</f>
        <v>0.6968552389444248</v>
      </c>
      <c r="AW155" s="21">
        <f>EXP(-LN(2)/2)*AW154+(1-EXP(-LN(2)/2))/(LN(2)/2)*AQ155*AT155*VLOOKUP('Données projet'!$B$10,Paramètres!$A$1:$I$89,3,0)*0.475*44/12</f>
        <v>1.0425269264517162E-17</v>
      </c>
      <c r="AX155" s="21">
        <f t="shared" si="166"/>
        <v>0.98813562272918465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81.715042525691956</v>
      </c>
      <c r="BJ155" s="59">
        <f t="shared" si="146"/>
        <v>257.80402821394864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3.6990065527936657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3.8325278431652387E-19</v>
      </c>
      <c r="BS155" s="22">
        <f t="shared" si="169"/>
        <v>3.6990065527936657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370.69652285220093</v>
      </c>
      <c r="T156" s="59">
        <f t="shared" si="142"/>
        <v>376.53494965377718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-4.0702161641092972E-13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260.20517190557814</v>
      </c>
      <c r="AO156" s="59">
        <f t="shared" si="144"/>
        <v>307.22009971147133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0.28556855312223195</v>
      </c>
      <c r="AV156" s="21">
        <f>EXP(-LN(2)/25)*AV155+(1-EXP(-LN(2)/25))/(LN(2)/25)*Calculateur!AQ156*Calculateur!AS156*VLOOKUP('Données projet'!$B$10,Paramètres!$A$1:$I$89,3,0)*0.475*44/12</f>
        <v>0.6777996957894652</v>
      </c>
      <c r="AW156" s="21">
        <f>EXP(-LN(2)/2)*AW155+(1-EXP(-LN(2)/2))/(LN(2)/2)*AQ156*AT156*VLOOKUP('Données projet'!$B$10,Paramètres!$A$1:$I$89,3,0)*0.475*44/12</f>
        <v>7.3717785926357759E-18</v>
      </c>
      <c r="AX156" s="21">
        <f t="shared" si="166"/>
        <v>0.96336824891169714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81.715042525691956</v>
      </c>
      <c r="BJ156" s="59">
        <f t="shared" si="146"/>
        <v>257.80402821394864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3.6264712904646008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2.7100064269883933E-19</v>
      </c>
      <c r="BS156" s="22">
        <f t="shared" si="169"/>
        <v>3.6264712904646008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370.69652285220093</v>
      </c>
      <c r="T157" s="59">
        <f t="shared" si="142"/>
        <v>376.53494965377718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-4.0702161641092972E-13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260.20517190557814</v>
      </c>
      <c r="AO157" s="59">
        <f t="shared" si="144"/>
        <v>307.22009971147133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0.27996872797512357</v>
      </c>
      <c r="AV157" s="21">
        <f>EXP(-LN(2)/25)*AV156+(1-EXP(-LN(2)/25))/(LN(2)/25)*Calculateur!AQ157*Calculateur!AS157*VLOOKUP('Données projet'!$B$10,Paramètres!$A$1:$I$89,3,0)*0.475*44/12</f>
        <v>0.65926522746416538</v>
      </c>
      <c r="AW157" s="21">
        <f>EXP(-LN(2)/2)*AW156+(1-EXP(-LN(2)/2))/(LN(2)/2)*AQ157*AT157*VLOOKUP('Données projet'!$B$10,Paramètres!$A$1:$I$89,3,0)*0.475*44/12</f>
        <v>5.2126346322585809E-18</v>
      </c>
      <c r="AX157" s="21">
        <f t="shared" si="166"/>
        <v>0.939233955439289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81.715042525691956</v>
      </c>
      <c r="BJ157" s="59">
        <f t="shared" si="146"/>
        <v>257.80402821394864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3.5553584003876675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1.9162639215826194E-19</v>
      </c>
      <c r="BS157" s="22">
        <f t="shared" si="169"/>
        <v>3.5553584003876675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370.69652285220093</v>
      </c>
      <c r="T158" s="59">
        <f t="shared" si="142"/>
        <v>376.53494965377718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-4.0702161641092972E-13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260.20517190557814</v>
      </c>
      <c r="AO158" s="59">
        <f t="shared" si="144"/>
        <v>307.22009971147133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0.27447871198359391</v>
      </c>
      <c r="AV158" s="21">
        <f>EXP(-LN(2)/25)*AV157+(1-EXP(-LN(2)/25))/(LN(2)/25)*Calculateur!AQ158*Calculateur!AS158*VLOOKUP('Données projet'!$B$10,Paramètres!$A$1:$I$89,3,0)*0.475*44/12</f>
        <v>0.64123758514990625</v>
      </c>
      <c r="AW158" s="21">
        <f>EXP(-LN(2)/2)*AW157+(1-EXP(-LN(2)/2))/(LN(2)/2)*AQ158*AT158*VLOOKUP('Données projet'!$B$10,Paramètres!$A$1:$I$89,3,0)*0.475*44/12</f>
        <v>3.6858892963178879E-18</v>
      </c>
      <c r="AX158" s="21">
        <f t="shared" si="166"/>
        <v>0.91571629713350022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81.715042525691956</v>
      </c>
      <c r="BJ158" s="59">
        <f t="shared" si="146"/>
        <v>257.80402821394864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3.4856399907105624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1.3550032134941967E-19</v>
      </c>
      <c r="BS158" s="22">
        <f t="shared" si="169"/>
        <v>3.4856399907105624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370.69652285220093</v>
      </c>
      <c r="T159" s="59">
        <f t="shared" si="142"/>
        <v>376.53494965377718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-4.0702161641092972E-13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260.20517190557814</v>
      </c>
      <c r="AO159" s="59">
        <f t="shared" si="144"/>
        <v>307.22009971147133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0.26909635185707903</v>
      </c>
      <c r="AV159" s="21">
        <f>EXP(-LN(2)/25)*AV158+(1-EXP(-LN(2)/25))/(LN(2)/25)*Calculateur!AQ159*Calculateur!AS159*VLOOKUP('Données projet'!$B$10,Paramètres!$A$1:$I$89,3,0)*0.475*44/12</f>
        <v>0.62370290966276298</v>
      </c>
      <c r="AW159" s="21">
        <f>EXP(-LN(2)/2)*AW158+(1-EXP(-LN(2)/2))/(LN(2)/2)*AQ159*AT159*VLOOKUP('Données projet'!$B$10,Paramètres!$A$1:$I$89,3,0)*0.475*44/12</f>
        <v>2.6063173161292904E-18</v>
      </c>
      <c r="AX159" s="21">
        <f t="shared" si="166"/>
        <v>0.89279926151984201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81.715042525691956</v>
      </c>
      <c r="BJ159" s="59">
        <f t="shared" si="146"/>
        <v>257.80402821394864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3.4172887165231947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9.5813196079130968E-20</v>
      </c>
      <c r="BS159" s="22">
        <f t="shared" si="169"/>
        <v>3.4172887165231947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370.69652285220093</v>
      </c>
      <c r="T160" s="59">
        <f t="shared" si="142"/>
        <v>376.53494965377718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-4.0702161641092972E-13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260.20517190557814</v>
      </c>
      <c r="AO160" s="59">
        <f t="shared" si="144"/>
        <v>307.22009971147133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0.26381953652972961</v>
      </c>
      <c r="AV160" s="21">
        <f>EXP(-LN(2)/25)*AV159+(1-EXP(-LN(2)/25))/(LN(2)/25)*Calculateur!AQ160*Calculateur!AS160*VLOOKUP('Données projet'!$B$10,Paramètres!$A$1:$I$89,3,0)*0.475*44/12</f>
        <v>0.60664772079892415</v>
      </c>
      <c r="AW160" s="21">
        <f>EXP(-LN(2)/2)*AW159+(1-EXP(-LN(2)/2))/(LN(2)/2)*AQ160*AT160*VLOOKUP('Données projet'!$B$10,Paramètres!$A$1:$I$89,3,0)*0.475*44/12</f>
        <v>1.842944648158944E-18</v>
      </c>
      <c r="AX160" s="21">
        <f t="shared" si="166"/>
        <v>0.87046725732865382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81.715042525691956</v>
      </c>
      <c r="BJ160" s="59">
        <f t="shared" si="146"/>
        <v>257.80402821394864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3.3502777691324805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6.7750160674709834E-20</v>
      </c>
      <c r="BS160" s="22">
        <f t="shared" si="169"/>
        <v>3.3502777691324805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370.69652285220093</v>
      </c>
      <c r="T161" s="59">
        <f t="shared" si="142"/>
        <v>376.53494965377718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-4.0702161641092972E-13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260.20517190557814</v>
      </c>
      <c r="AO161" s="59">
        <f t="shared" si="144"/>
        <v>307.22009971147133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0.25864619633240998</v>
      </c>
      <c r="AV161" s="21">
        <f>EXP(-LN(2)/25)*AV160+(1-EXP(-LN(2)/25))/(LN(2)/25)*Calculateur!AQ161*Calculateur!AS161*VLOOKUP('Données projet'!$B$10,Paramètres!$A$1:$I$89,3,0)*0.475*44/12</f>
        <v>0.59005890697146046</v>
      </c>
      <c r="AW161" s="21">
        <f>EXP(-LN(2)/2)*AW160+(1-EXP(-LN(2)/2))/(LN(2)/2)*AQ161*AT161*VLOOKUP('Données projet'!$B$10,Paramètres!$A$1:$I$89,3,0)*0.475*44/12</f>
        <v>1.3031586580646452E-18</v>
      </c>
      <c r="AX161" s="21">
        <f t="shared" si="166"/>
        <v>0.84870510330387039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81.715042525691956</v>
      </c>
      <c r="BJ161" s="59">
        <f t="shared" si="146"/>
        <v>257.80402821394864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3.284580865547456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4.7906598039565484E-20</v>
      </c>
      <c r="BS161" s="22">
        <f t="shared" si="169"/>
        <v>3.284580865547456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370.69652285220093</v>
      </c>
      <c r="T162" s="59">
        <f t="shared" si="142"/>
        <v>376.53494965377718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-4.0702161641092972E-13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260.20517190557814</v>
      </c>
      <c r="AO162" s="59">
        <f t="shared" si="144"/>
        <v>307.22009971147133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0.2535743021809338</v>
      </c>
      <c r="AV162" s="21">
        <f>EXP(-LN(2)/25)*AV161+(1-EXP(-LN(2)/25))/(LN(2)/25)*Calculateur!AQ162*Calculateur!AS162*VLOOKUP('Données projet'!$B$10,Paramètres!$A$1:$I$89,3,0)*0.475*44/12</f>
        <v>0.57392371513047657</v>
      </c>
      <c r="AW162" s="21">
        <f>EXP(-LN(2)/2)*AW161+(1-EXP(-LN(2)/2))/(LN(2)/2)*AQ162*AT162*VLOOKUP('Données projet'!$B$10,Paramètres!$A$1:$I$89,3,0)*0.475*44/12</f>
        <v>9.2147232407947199E-19</v>
      </c>
      <c r="AX162" s="21">
        <f t="shared" si="166"/>
        <v>0.82749801731141037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81.715042525691956</v>
      </c>
      <c r="BJ162" s="59">
        <f t="shared" si="146"/>
        <v>257.80402821394864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3.2201722381705795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3.3875080337354917E-20</v>
      </c>
      <c r="BS162" s="22">
        <f t="shared" si="169"/>
        <v>3.2201722381705795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370.69652285220093</v>
      </c>
      <c r="T163" s="59">
        <f t="shared" si="142"/>
        <v>376.53494965377718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-4.0702161641092972E-13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260.20517190557814</v>
      </c>
      <c r="AO163" s="59">
        <f t="shared" si="144"/>
        <v>307.22009971147133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0.24860186478021812</v>
      </c>
      <c r="AV163" s="21">
        <f>EXP(-LN(2)/25)*AV162+(1-EXP(-LN(2)/25))/(LN(2)/25)*Calculateur!AQ163*Calculateur!AS163*VLOOKUP('Données projet'!$B$10,Paramètres!$A$1:$I$89,3,0)*0.475*44/12</f>
        <v>0.55822974095889721</v>
      </c>
      <c r="AW163" s="21">
        <f>EXP(-LN(2)/2)*AW162+(1-EXP(-LN(2)/2))/(LN(2)/2)*AQ163*AT163*VLOOKUP('Données projet'!$B$10,Paramètres!$A$1:$I$89,3,0)*0.475*44/12</f>
        <v>6.5157932903232261E-19</v>
      </c>
      <c r="AX163" s="21">
        <f t="shared" si="166"/>
        <v>0.80683160573911539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81.715042525691956</v>
      </c>
      <c r="BJ163" s="59">
        <f t="shared" si="146"/>
        <v>257.80402821394864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3.1570266246911798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2.3953299019782742E-20</v>
      </c>
      <c r="BS163" s="22">
        <f t="shared" si="169"/>
        <v>3.1570266246911798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370.69652285220093</v>
      </c>
      <c r="T164" s="59">
        <f t="shared" si="142"/>
        <v>376.53494965377718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-4.0702161641092972E-13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260.20517190557814</v>
      </c>
      <c r="AO164" s="59">
        <f t="shared" si="144"/>
        <v>307.22009971147133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0.24372693384404312</v>
      </c>
      <c r="AV164" s="21">
        <f>EXP(-LN(2)/25)*AV163+(1-EXP(-LN(2)/25))/(LN(2)/25)*Calculateur!AQ164*Calculateur!AS164*VLOOKUP('Données projet'!$B$10,Paramètres!$A$1:$I$89,3,0)*0.475*44/12</f>
        <v>0.54296491933634994</v>
      </c>
      <c r="AW164" s="21">
        <f>EXP(-LN(2)/2)*AW163+(1-EXP(-LN(2)/2))/(LN(2)/2)*AQ164*AT164*VLOOKUP('Données projet'!$B$10,Paramètres!$A$1:$I$89,3,0)*0.475*44/12</f>
        <v>4.6073616203973599E-19</v>
      </c>
      <c r="AX164" s="21">
        <f t="shared" si="166"/>
        <v>0.78669185318039303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81.715042525691956</v>
      </c>
      <c r="BJ164" s="59">
        <f t="shared" si="146"/>
        <v>257.80402821394864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3.0951192581770899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1.6937540168677458E-20</v>
      </c>
      <c r="BS164" s="22">
        <f t="shared" si="169"/>
        <v>3.0951192581770899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370.69652285220093</v>
      </c>
      <c r="T165" s="59">
        <f t="shared" si="142"/>
        <v>376.53494965377718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-4.0702161641092972E-13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260.20517190557814</v>
      </c>
      <c r="AO165" s="59">
        <f t="shared" si="144"/>
        <v>307.22009971147133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0.23894759733011225</v>
      </c>
      <c r="AV165" s="21">
        <f>EXP(-LN(2)/25)*AV164+(1-EXP(-LN(2)/25))/(LN(2)/25)*Calculateur!AQ165*Calculateur!AS165*VLOOKUP('Données projet'!$B$10,Paramètres!$A$1:$I$89,3,0)*0.475*44/12</f>
        <v>0.52811751506381333</v>
      </c>
      <c r="AW165" s="21">
        <f>EXP(-LN(2)/2)*AW164+(1-EXP(-LN(2)/2))/(LN(2)/2)*AQ165*AT165*VLOOKUP('Données projet'!$B$10,Paramètres!$A$1:$I$89,3,0)*0.475*44/12</f>
        <v>3.2578966451616131E-19</v>
      </c>
      <c r="AX165" s="21">
        <f t="shared" si="166"/>
        <v>0.76706511239392561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81.715042525691956</v>
      </c>
      <c r="BJ165" s="59">
        <f t="shared" si="146"/>
        <v>257.80402821394864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3.0344258573605765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1.1976649509891371E-20</v>
      </c>
      <c r="BS165" s="22">
        <f t="shared" si="169"/>
        <v>3.0344258573605765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370.69652285220093</v>
      </c>
      <c r="T166" s="59">
        <f t="shared" si="142"/>
        <v>376.53494965377718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-4.0702161641092972E-13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260.20517190557814</v>
      </c>
      <c r="AO166" s="59">
        <f t="shared" si="144"/>
        <v>307.22009971147133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0.23426198069011214</v>
      </c>
      <c r="AV166" s="21">
        <f>EXP(-LN(2)/25)*AV165+(1-EXP(-LN(2)/25))/(LN(2)/25)*Calculateur!AQ166*Calculateur!AS166*VLOOKUP('Données projet'!$B$10,Paramètres!$A$1:$I$89,3,0)*0.475*44/12</f>
        <v>0.51367611384190026</v>
      </c>
      <c r="AW166" s="21">
        <f>EXP(-LN(2)/2)*AW165+(1-EXP(-LN(2)/2))/(LN(2)/2)*AQ166*AT166*VLOOKUP('Données projet'!$B$10,Paramètres!$A$1:$I$89,3,0)*0.475*44/12</f>
        <v>2.30368081019868E-19</v>
      </c>
      <c r="AX166" s="21">
        <f t="shared" si="166"/>
        <v>0.74793809453201243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81.715042525691956</v>
      </c>
      <c r="BJ166" s="59">
        <f t="shared" si="146"/>
        <v>257.80402821394864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2.9749226171147556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8.4687700843387292E-21</v>
      </c>
      <c r="BS166" s="22">
        <f t="shared" si="169"/>
        <v>2.9749226171147556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370.69652285220093</v>
      </c>
      <c r="T167" s="59">
        <f t="shared" si="142"/>
        <v>376.53494965377718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-4.0702161641092972E-13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260.20517190557814</v>
      </c>
      <c r="AO167" s="59">
        <f t="shared" si="144"/>
        <v>307.22009971147133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0.22966824613447848</v>
      </c>
      <c r="AV167" s="21">
        <f>EXP(-LN(2)/25)*AV166+(1-EXP(-LN(2)/25))/(LN(2)/25)*Calculateur!AQ167*Calculateur!AS167*VLOOKUP('Données projet'!$B$10,Paramètres!$A$1:$I$89,3,0)*0.475*44/12</f>
        <v>0.49962961349584067</v>
      </c>
      <c r="AW167" s="21">
        <f>EXP(-LN(2)/2)*AW166+(1-EXP(-LN(2)/2))/(LN(2)/2)*AQ167*AT167*VLOOKUP('Données projet'!$B$10,Paramètres!$A$1:$I$89,3,0)*0.475*44/12</f>
        <v>1.6289483225808065E-19</v>
      </c>
      <c r="AX167" s="21">
        <f t="shared" si="166"/>
        <v>0.72929785963031912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81.715042525691956</v>
      </c>
      <c r="BJ167" s="59">
        <f t="shared" si="146"/>
        <v>257.80402821394864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2.9165861991167623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5.9883247549456855E-21</v>
      </c>
      <c r="BS167" s="22">
        <f t="shared" si="169"/>
        <v>2.9165861991167623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370.69652285220093</v>
      </c>
      <c r="T168" s="59">
        <f t="shared" si="142"/>
        <v>376.53494965377718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-4.0702161641092972E-13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260.20517190557814</v>
      </c>
      <c r="AO168" s="59">
        <f t="shared" si="144"/>
        <v>307.22009971147133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0.22516459191157936</v>
      </c>
      <c r="AV168" s="21">
        <f>EXP(-LN(2)/25)*AV167+(1-EXP(-LN(2)/25))/(LN(2)/25)*Calculateur!AQ168*Calculateur!AS168*VLOOKUP('Données projet'!$B$10,Paramètres!$A$1:$I$89,3,0)*0.475*44/12</f>
        <v>0.48596721544041743</v>
      </c>
      <c r="AW168" s="21">
        <f>EXP(-LN(2)/2)*AW167+(1-EXP(-LN(2)/2))/(LN(2)/2)*AQ168*AT168*VLOOKUP('Données projet'!$B$10,Paramètres!$A$1:$I$89,3,0)*0.475*44/12</f>
        <v>1.15184040509934E-19</v>
      </c>
      <c r="AX168" s="21">
        <f t="shared" si="166"/>
        <v>0.71113180735199677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81.715042525691956</v>
      </c>
      <c r="BJ168" s="59">
        <f t="shared" si="146"/>
        <v>257.80402821394864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2.859393722694008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4.2343850421693646E-21</v>
      </c>
      <c r="BS168" s="22">
        <f t="shared" si="169"/>
        <v>2.859393722694008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370.69652285220093</v>
      </c>
      <c r="T169" s="59">
        <f t="shared" si="142"/>
        <v>376.53494965377718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-4.0702161641092972E-13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260.20517190557814</v>
      </c>
      <c r="AO169" s="59">
        <f t="shared" si="144"/>
        <v>307.22009971147133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0.22074925160103348</v>
      </c>
      <c r="AV169" s="21">
        <f>EXP(-LN(2)/25)*AV168+(1-EXP(-LN(2)/25))/(LN(2)/25)*Calculateur!AQ169*Calculateur!AS169*VLOOKUP('Données projet'!$B$10,Paramètres!$A$1:$I$89,3,0)*0.475*44/12</f>
        <v>0.47267841637829405</v>
      </c>
      <c r="AW169" s="21">
        <f>EXP(-LN(2)/2)*AW168+(1-EXP(-LN(2)/2))/(LN(2)/2)*AQ169*AT169*VLOOKUP('Données projet'!$B$10,Paramètres!$A$1:$I$89,3,0)*0.475*44/12</f>
        <v>8.1447416129040326E-20</v>
      </c>
      <c r="AX169" s="21">
        <f t="shared" si="166"/>
        <v>0.69342766797932753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81.715042525691956</v>
      </c>
      <c r="BJ169" s="59">
        <f t="shared" si="146"/>
        <v>257.80402821394864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2.8033227558499378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2.9941623774728427E-21</v>
      </c>
      <c r="BS169" s="22">
        <f t="shared" si="169"/>
        <v>2.8033227558499378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370.69652285220093</v>
      </c>
      <c r="T170" s="59">
        <f t="shared" si="142"/>
        <v>376.53494965377718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-4.0702161641092972E-13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260.20517190557814</v>
      </c>
      <c r="AO170" s="59">
        <f t="shared" si="144"/>
        <v>307.22009971147133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0.21642049342088573</v>
      </c>
      <c r="AV170" s="21">
        <f>EXP(-LN(2)/25)*AV169+(1-EXP(-LN(2)/25))/(LN(2)/25)*Calculateur!AQ170*Calculateur!AS170*VLOOKUP('Données projet'!$B$10,Paramètres!$A$1:$I$89,3,0)*0.475*44/12</f>
        <v>0.45975300022535198</v>
      </c>
      <c r="AW170" s="21">
        <f>EXP(-LN(2)/2)*AW169+(1-EXP(-LN(2)/2))/(LN(2)/2)*AQ170*AT170*VLOOKUP('Données projet'!$B$10,Paramètres!$A$1:$I$89,3,0)*0.475*44/12</f>
        <v>5.7592020254966999E-20</v>
      </c>
      <c r="AX170" s="21">
        <f t="shared" si="166"/>
        <v>0.67617349364623769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81.715042525691956</v>
      </c>
      <c r="BJ170" s="59">
        <f t="shared" si="146"/>
        <v>257.80402821394864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2.748351306465767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2.1171925210846823E-21</v>
      </c>
      <c r="BS170" s="22">
        <f t="shared" si="169"/>
        <v>2.748351306465767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370.69652285220093</v>
      </c>
      <c r="T171" s="59">
        <f t="shared" si="142"/>
        <v>376.53494965377718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-4.0702161641092972E-13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260.20517190557814</v>
      </c>
      <c r="AO171" s="59">
        <f t="shared" si="144"/>
        <v>307.22009971147133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0.21217661954836889</v>
      </c>
      <c r="AV171" s="21">
        <f>EXP(-LN(2)/25)*AV170+(1-EXP(-LN(2)/25))/(LN(2)/25)*Calculateur!AQ171*Calculateur!AS171*VLOOKUP('Données projet'!$B$10,Paramètres!$A$1:$I$89,3,0)*0.475*44/12</f>
        <v>0.4471810302568302</v>
      </c>
      <c r="AW171" s="21">
        <f>EXP(-LN(2)/2)*AW170+(1-EXP(-LN(2)/2))/(LN(2)/2)*AQ171*AT171*VLOOKUP('Données projet'!$B$10,Paramètres!$A$1:$I$89,3,0)*0.475*44/12</f>
        <v>4.0723708064520163E-20</v>
      </c>
      <c r="AX171" s="21">
        <f t="shared" si="166"/>
        <v>0.65935764980519906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81.715042525691956</v>
      </c>
      <c r="BJ171" s="59">
        <f t="shared" si="146"/>
        <v>257.80402821394864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2.6944578136747466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1.4970811887364214E-21</v>
      </c>
      <c r="BS171" s="22">
        <f t="shared" si="169"/>
        <v>2.6944578136747466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370.69652285220093</v>
      </c>
      <c r="T172" s="59">
        <f t="shared" si="142"/>
        <v>376.53494965377718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-4.0702161641092972E-13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260.20517190557814</v>
      </c>
      <c r="AO172" s="59">
        <f t="shared" si="144"/>
        <v>307.22009971147133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0.20801596545398462</v>
      </c>
      <c r="AV172" s="21">
        <f>EXP(-LN(2)/25)*AV171+(1-EXP(-LN(2)/25))/(LN(2)/25)*Calculateur!AQ172*Calculateur!AS172*VLOOKUP('Données projet'!$B$10,Paramètres!$A$1:$I$89,3,0)*0.475*44/12</f>
        <v>0.43495284146822882</v>
      </c>
      <c r="AW172" s="21">
        <f>EXP(-LN(2)/2)*AW171+(1-EXP(-LN(2)/2))/(LN(2)/2)*AQ172*AT172*VLOOKUP('Données projet'!$B$10,Paramètres!$A$1:$I$89,3,0)*0.475*44/12</f>
        <v>2.87960101274835E-20</v>
      </c>
      <c r="AX172" s="21">
        <f t="shared" si="166"/>
        <v>0.64296880692221348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81.715042525691956</v>
      </c>
      <c r="BJ172" s="59">
        <f t="shared" si="146"/>
        <v>257.80402821394864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2.6416211394055731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1.0585962605423412E-21</v>
      </c>
      <c r="BS172" s="22">
        <f t="shared" si="169"/>
        <v>2.6416211394055731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370.69652285220093</v>
      </c>
      <c r="T173" s="59">
        <f t="shared" si="142"/>
        <v>376.53494965377718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-4.0702161641092972E-13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260.20517190557814</v>
      </c>
      <c r="AO173" s="59">
        <f t="shared" si="144"/>
        <v>307.22009971147133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0.20393689924864283</v>
      </c>
      <c r="AV173" s="21">
        <f>EXP(-LN(2)/25)*AV172+(1-EXP(-LN(2)/25))/(LN(2)/25)*Calculateur!AQ173*Calculateur!AS173*VLOOKUP('Données projet'!$B$10,Paramètres!$A$1:$I$89,3,0)*0.475*44/12</f>
        <v>0.42305903314510429</v>
      </c>
      <c r="AW173" s="21">
        <f>EXP(-LN(2)/2)*AW172+(1-EXP(-LN(2)/2))/(LN(2)/2)*AQ173*AT173*VLOOKUP('Données projet'!$B$10,Paramètres!$A$1:$I$89,3,0)*0.475*44/12</f>
        <v>2.0361854032260082E-20</v>
      </c>
      <c r="AX173" s="21">
        <f t="shared" si="166"/>
        <v>0.62699593239374707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81.715042525691956</v>
      </c>
      <c r="BJ173" s="59">
        <f t="shared" si="146"/>
        <v>257.80402821394864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2.5898205600916291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7.4854059436821069E-22</v>
      </c>
      <c r="BS173" s="22">
        <f t="shared" si="169"/>
        <v>2.5898205600916291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370.69652285220093</v>
      </c>
      <c r="T174" s="59">
        <f t="shared" si="142"/>
        <v>376.53494965377718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-4.0702161641092972E-13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260.20517190557814</v>
      </c>
      <c r="AO174" s="59">
        <f t="shared" si="144"/>
        <v>307.22009971147133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0.19993782104360308</v>
      </c>
      <c r="AV174" s="21">
        <f>EXP(-LN(2)/25)*AV173+(1-EXP(-LN(2)/25))/(LN(2)/25)*Calculateur!AQ174*Calculateur!AS174*VLOOKUP('Données projet'!$B$10,Paramètres!$A$1:$I$89,3,0)*0.475*44/12</f>
        <v>0.4114904616360438</v>
      </c>
      <c r="AW174" s="21">
        <f>EXP(-LN(2)/2)*AW173+(1-EXP(-LN(2)/2))/(LN(2)/2)*AQ174*AT174*VLOOKUP('Données projet'!$B$10,Paramètres!$A$1:$I$89,3,0)*0.475*44/12</f>
        <v>1.439800506374175E-20</v>
      </c>
      <c r="AX174" s="21">
        <f t="shared" si="166"/>
        <v>0.61142828267964688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81.715042525691956</v>
      </c>
      <c r="BJ174" s="59">
        <f t="shared" si="146"/>
        <v>257.80402821394864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2.5390357585427981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5.2929813027117058E-22</v>
      </c>
      <c r="BS174" s="22">
        <f t="shared" si="169"/>
        <v>2.5390357585427981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370.69652285220093</v>
      </c>
      <c r="T175" s="59">
        <f t="shared" si="142"/>
        <v>376.53494965377718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-4.0702161641092972E-13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260.20517190557814</v>
      </c>
      <c r="AO175" s="59">
        <f t="shared" si="144"/>
        <v>307.22009971147133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0.19601716232296729</v>
      </c>
      <c r="AV175" s="21">
        <f>EXP(-LN(2)/25)*AV174+(1-EXP(-LN(2)/25))/(LN(2)/25)*Calculateur!AQ175*Calculateur!AS175*VLOOKUP('Données projet'!$B$10,Paramètres!$A$1:$I$89,3,0)*0.475*44/12</f>
        <v>0.4002382333232633</v>
      </c>
      <c r="AW175" s="21">
        <f>EXP(-LN(2)/2)*AW174+(1-EXP(-LN(2)/2))/(LN(2)/2)*AQ175*AT175*VLOOKUP('Données projet'!$B$10,Paramètres!$A$1:$I$89,3,0)*0.475*44/12</f>
        <v>1.0180927016130041E-20</v>
      </c>
      <c r="AX175" s="21">
        <f t="shared" si="166"/>
        <v>0.59625539564623065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81.715042525691956</v>
      </c>
      <c r="BJ175" s="59">
        <f t="shared" si="146"/>
        <v>257.80402821394864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2.489246815976669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3.7427029718410534E-22</v>
      </c>
      <c r="BS175" s="22">
        <f t="shared" si="169"/>
        <v>2.489246815976669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370.69652285220093</v>
      </c>
      <c r="T176" s="59">
        <f t="shared" si="142"/>
        <v>376.53494965377718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-4.0702161641092972E-13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260.20517190557814</v>
      </c>
      <c r="AO176" s="59">
        <f t="shared" si="144"/>
        <v>307.22009971147133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0.19217338532847747</v>
      </c>
      <c r="AV176" s="21">
        <f>EXP(-LN(2)/25)*AV175+(1-EXP(-LN(2)/25))/(LN(2)/25)*Calculateur!AQ176*Calculateur!AS176*VLOOKUP('Données projet'!$B$10,Paramètres!$A$1:$I$89,3,0)*0.475*44/12</f>
        <v>0.38929369778542472</v>
      </c>
      <c r="AW176" s="21">
        <f>EXP(-LN(2)/2)*AW175+(1-EXP(-LN(2)/2))/(LN(2)/2)*AQ176*AT176*VLOOKUP('Données projet'!$B$10,Paramètres!$A$1:$I$89,3,0)*0.475*44/12</f>
        <v>7.1990025318708749E-21</v>
      </c>
      <c r="AX176" s="21">
        <f t="shared" si="166"/>
        <v>0.58146708311390216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81.715042525691956</v>
      </c>
      <c r="BJ176" s="59">
        <f t="shared" si="146"/>
        <v>257.80402821394864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2.4404342042060057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2.6464906513558529E-22</v>
      </c>
      <c r="BS176" s="22">
        <f t="shared" si="169"/>
        <v>2.4404342042060057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370.69652285220093</v>
      </c>
      <c r="T177" s="59">
        <f t="shared" si="142"/>
        <v>376.53494965377718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-4.0702161641092972E-13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260.20517190557814</v>
      </c>
      <c r="AO177" s="59">
        <f t="shared" si="144"/>
        <v>307.22009971147133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0.18840498245637713</v>
      </c>
      <c r="AV177" s="21">
        <f>EXP(-LN(2)/25)*AV176+(1-EXP(-LN(2)/25))/(LN(2)/25)*Calculateur!AQ177*Calculateur!AS177*VLOOKUP('Données projet'!$B$10,Paramètres!$A$1:$I$89,3,0)*0.475*44/12</f>
        <v>0.37864844114741647</v>
      </c>
      <c r="AW177" s="21">
        <f>EXP(-LN(2)/2)*AW176+(1-EXP(-LN(2)/2))/(LN(2)/2)*AQ177*AT177*VLOOKUP('Données projet'!$B$10,Paramètres!$A$1:$I$89,3,0)*0.475*44/12</f>
        <v>5.0904635080650204E-21</v>
      </c>
      <c r="AX177" s="21">
        <f t="shared" si="166"/>
        <v>0.56705342360379363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81.715042525691956</v>
      </c>
      <c r="BJ177" s="59">
        <f t="shared" si="146"/>
        <v>257.80402821394864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2.3925787779794114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1.8713514859205267E-22</v>
      </c>
      <c r="BS177" s="22">
        <f t="shared" si="169"/>
        <v>2.3925787779794114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370.69652285220093</v>
      </c>
      <c r="T178" s="59">
        <f t="shared" si="142"/>
        <v>376.53494965377718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-4.0702161641092972E-13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260.20517190557814</v>
      </c>
      <c r="AO178" s="59">
        <f t="shared" si="144"/>
        <v>307.22009971147133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0.18471047566609988</v>
      </c>
      <c r="AV178" s="21">
        <f>EXP(-LN(2)/25)*AV177+(1-EXP(-LN(2)/25))/(LN(2)/25)*Calculateur!AQ178*Calculateur!AS178*VLOOKUP('Données projet'!$B$10,Paramètres!$A$1:$I$89,3,0)*0.475*44/12</f>
        <v>0.36829427961198424</v>
      </c>
      <c r="AW178" s="21">
        <f>EXP(-LN(2)/2)*AW177+(1-EXP(-LN(2)/2))/(LN(2)/2)*AQ178*AT178*VLOOKUP('Données projet'!$B$10,Paramètres!$A$1:$I$89,3,0)*0.475*44/12</f>
        <v>3.5995012659354375E-21</v>
      </c>
      <c r="AX178" s="21">
        <f t="shared" si="166"/>
        <v>0.55300475527808413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81.715042525691956</v>
      </c>
      <c r="BJ178" s="59">
        <f t="shared" si="146"/>
        <v>257.80402821394864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2.3456617674721931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1.3232453256779264E-22</v>
      </c>
      <c r="BS178" s="22">
        <f t="shared" si="169"/>
        <v>2.3456617674721931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370.69652285220093</v>
      </c>
      <c r="T179" s="59">
        <f t="shared" si="142"/>
        <v>376.53494965377718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-4.0702161641092972E-13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260.20517190557814</v>
      </c>
      <c r="AO179" s="59">
        <f t="shared" si="144"/>
        <v>307.22009971147133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0.18108841590055336</v>
      </c>
      <c r="AV179" s="21">
        <f>EXP(-LN(2)/25)*AV178+(1-EXP(-LN(2)/25))/(LN(2)/25)*Calculateur!AQ179*Calculateur!AS179*VLOOKUP('Données projet'!$B$10,Paramètres!$A$1:$I$89,3,0)*0.475*44/12</f>
        <v>0.35822325316824011</v>
      </c>
      <c r="AW179" s="21">
        <f>EXP(-LN(2)/2)*AW178+(1-EXP(-LN(2)/2))/(LN(2)/2)*AQ179*AT179*VLOOKUP('Données projet'!$B$10,Paramètres!$A$1:$I$89,3,0)*0.475*44/12</f>
        <v>2.5452317540325102E-21</v>
      </c>
      <c r="AX179" s="21">
        <f t="shared" si="166"/>
        <v>0.53931166906879346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81.715042525691956</v>
      </c>
      <c r="BJ179" s="59">
        <f t="shared" si="146"/>
        <v>257.80402821394864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2.2996647709244704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9.3567574296026336E-23</v>
      </c>
      <c r="BS179" s="22">
        <f t="shared" si="169"/>
        <v>2.2996647709244704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370.69652285220093</v>
      </c>
      <c r="T180" s="59">
        <f t="shared" si="142"/>
        <v>376.53494965377718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-4.0702161641092972E-13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260.20517190557814</v>
      </c>
      <c r="AO180" s="59">
        <f t="shared" si="144"/>
        <v>307.22009971147133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0.17753738251777088</v>
      </c>
      <c r="AV180" s="21">
        <f>EXP(-LN(2)/25)*AV179+(1-EXP(-LN(2)/25))/(LN(2)/25)*Calculateur!AQ180*Calculateur!AS180*VLOOKUP('Données projet'!$B$10,Paramètres!$A$1:$I$89,3,0)*0.475*44/12</f>
        <v>0.3484276194722124</v>
      </c>
      <c r="AW180" s="21">
        <f>EXP(-LN(2)/2)*AW179+(1-EXP(-LN(2)/2))/(LN(2)/2)*AQ180*AT180*VLOOKUP('Données projet'!$B$10,Paramètres!$A$1:$I$89,3,0)*0.475*44/12</f>
        <v>1.7997506329677187E-21</v>
      </c>
      <c r="AX180" s="21">
        <f t="shared" si="166"/>
        <v>0.52596500198998331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81.715042525691956</v>
      </c>
      <c r="BJ180" s="59">
        <f t="shared" si="146"/>
        <v>257.80402821394864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2.254569747423651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6.6162266283896322E-23</v>
      </c>
      <c r="BS180" s="22">
        <f t="shared" si="169"/>
        <v>2.254569747423651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370.69652285220093</v>
      </c>
      <c r="T181" s="59">
        <f t="shared" si="142"/>
        <v>376.53494965377718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-4.0702161641092972E-13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260.20517190557814</v>
      </c>
      <c r="AO181" s="59">
        <f t="shared" si="144"/>
        <v>307.22009971147133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0.17405598273370826</v>
      </c>
      <c r="AV181" s="21">
        <f>EXP(-LN(2)/25)*AV180+(1-EXP(-LN(2)/25))/(LN(2)/25)*Calculateur!AQ181*Calculateur!AS181*VLOOKUP('Données projet'!$B$10,Paramètres!$A$1:$I$89,3,0)*0.475*44/12</f>
        <v>0.3388998478947326</v>
      </c>
      <c r="AW181" s="21">
        <f>EXP(-LN(2)/2)*AW180+(1-EXP(-LN(2)/2))/(LN(2)/2)*AQ181*AT181*VLOOKUP('Données projet'!$B$10,Paramètres!$A$1:$I$89,3,0)*0.475*44/12</f>
        <v>1.2726158770162551E-21</v>
      </c>
      <c r="AX181" s="21">
        <f t="shared" si="166"/>
        <v>0.51295583062844086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81.715042525691956</v>
      </c>
      <c r="BJ181" s="59">
        <f t="shared" si="146"/>
        <v>257.80402821394864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2.210359009828434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4.6783787148013168E-23</v>
      </c>
      <c r="BS181" s="22">
        <f t="shared" si="169"/>
        <v>2.210359009828434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370.69652285220093</v>
      </c>
      <c r="T182" s="59">
        <f t="shared" si="142"/>
        <v>376.53494965377718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-4.0702161641092972E-13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260.20517190557814</v>
      </c>
      <c r="AO182" s="59">
        <f t="shared" si="144"/>
        <v>307.22009971147133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0.17064285107596691</v>
      </c>
      <c r="AV182" s="21">
        <f>EXP(-LN(2)/25)*AV181+(1-EXP(-LN(2)/25))/(LN(2)/25)*Calculateur!AQ182*Calculateur!AS182*VLOOKUP('Données projet'!$B$10,Paramètres!$A$1:$I$89,3,0)*0.475*44/12</f>
        <v>0.32963261373208269</v>
      </c>
      <c r="AW182" s="21">
        <f>EXP(-LN(2)/2)*AW181+(1-EXP(-LN(2)/2))/(LN(2)/2)*AQ182*AT182*VLOOKUP('Données projet'!$B$10,Paramètres!$A$1:$I$89,3,0)*0.475*44/12</f>
        <v>8.9987531648385936E-22</v>
      </c>
      <c r="AX182" s="21">
        <f t="shared" si="166"/>
        <v>0.50027546480804963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81.715042525691956</v>
      </c>
      <c r="BJ182" s="59">
        <f t="shared" si="146"/>
        <v>257.80402821394864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2.167015217831572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3.3081133141948161E-23</v>
      </c>
      <c r="BS182" s="22">
        <f t="shared" si="169"/>
        <v>2.167015217831572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370.69652285220093</v>
      </c>
      <c r="T183" s="59">
        <f t="shared" si="142"/>
        <v>376.53494965377718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-4.0702161641092972E-13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260.20517190557814</v>
      </c>
      <c r="AO183" s="59">
        <f t="shared" si="144"/>
        <v>307.22009971147133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0.16729664884822912</v>
      </c>
      <c r="AV183" s="21">
        <f>EXP(-LN(2)/25)*AV182+(1-EXP(-LN(2)/25))/(LN(2)/25)*Calculateur!AQ183*Calculateur!AS183*VLOOKUP('Données projet'!$B$10,Paramètres!$A$1:$I$89,3,0)*0.475*44/12</f>
        <v>0.32061879257495313</v>
      </c>
      <c r="AW183" s="21">
        <f>EXP(-LN(2)/2)*AW182+(1-EXP(-LN(2)/2))/(LN(2)/2)*AQ183*AT183*VLOOKUP('Données projet'!$B$10,Paramètres!$A$1:$I$89,3,0)*0.475*44/12</f>
        <v>6.3630793850812755E-22</v>
      </c>
      <c r="AX183" s="21">
        <f t="shared" si="166"/>
        <v>0.48791544142318222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81.715042525691956</v>
      </c>
      <c r="BJ183" s="59">
        <f t="shared" si="146"/>
        <v>257.80402821394864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2.1245213711586661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2.3391893574006584E-23</v>
      </c>
      <c r="BS183" s="22">
        <f t="shared" si="169"/>
        <v>2.1245213711586661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370.69652285220093</v>
      </c>
      <c r="T184" s="59">
        <f t="shared" si="142"/>
        <v>376.53494965377718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-4.0702161641092972E-13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260.20517190557814</v>
      </c>
      <c r="AO184" s="59">
        <f t="shared" si="144"/>
        <v>307.22009971147133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0.16401606360519544</v>
      </c>
      <c r="AV184" s="21">
        <f>EXP(-LN(2)/25)*AV183+(1-EXP(-LN(2)/25))/(LN(2)/25)*Calculateur!AQ184*Calculateur!AS184*VLOOKUP('Données projet'!$B$10,Paramètres!$A$1:$I$89,3,0)*0.475*44/12</f>
        <v>0.31185145483138149</v>
      </c>
      <c r="AW184" s="21">
        <f>EXP(-LN(2)/2)*AW183+(1-EXP(-LN(2)/2))/(LN(2)/2)*AQ184*AT184*VLOOKUP('Données projet'!$B$10,Paramètres!$A$1:$I$89,3,0)*0.475*44/12</f>
        <v>4.4993765824192968E-22</v>
      </c>
      <c r="AX184" s="21">
        <f t="shared" si="166"/>
        <v>0.47586751843657693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81.715042525691956</v>
      </c>
      <c r="BJ184" s="59">
        <f t="shared" si="146"/>
        <v>257.80402821394864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2.0828608029003286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1.6540566570974081E-23</v>
      </c>
      <c r="BS184" s="22">
        <f t="shared" si="169"/>
        <v>2.0828608029003286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370.69652285220093</v>
      </c>
      <c r="T185" s="59">
        <f t="shared" si="142"/>
        <v>376.53494965377718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-4.0702161641092972E-13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260.20517190557814</v>
      </c>
      <c r="AO185" s="59">
        <f t="shared" si="144"/>
        <v>307.22009971147133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0.16079980863781823</v>
      </c>
      <c r="AV185" s="21">
        <f>EXP(-LN(2)/25)*AV184+(1-EXP(-LN(2)/25))/(LN(2)/25)*Calculateur!AQ185*Calculateur!AS185*VLOOKUP('Données projet'!$B$10,Paramètres!$A$1:$I$89,3,0)*0.475*44/12</f>
        <v>0.30332386039946208</v>
      </c>
      <c r="AW185" s="21">
        <f>EXP(-LN(2)/2)*AW184+(1-EXP(-LN(2)/2))/(LN(2)/2)*AQ185*AT185*VLOOKUP('Données projet'!$B$10,Paramètres!$A$1:$I$89,3,0)*0.475*44/12</f>
        <v>3.1815396925406377E-22</v>
      </c>
      <c r="AX185" s="21">
        <f t="shared" si="166"/>
        <v>0.46412366903728031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81.715042525691956</v>
      </c>
      <c r="BJ185" s="59">
        <f t="shared" si="146"/>
        <v>257.80402821394864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2.0420171729750995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1.1695946787003292E-23</v>
      </c>
      <c r="BS185" s="22">
        <f t="shared" si="169"/>
        <v>2.0420171729750995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370.69652285220093</v>
      </c>
      <c r="T186" s="59">
        <f t="shared" si="142"/>
        <v>376.53494965377718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-4.0702161641092972E-13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260.20517190557814</v>
      </c>
      <c r="AO186" s="59">
        <f t="shared" si="144"/>
        <v>307.22009971147133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0.15764662246862945</v>
      </c>
      <c r="AV186" s="21">
        <f>EXP(-LN(2)/25)*AV185+(1-EXP(-LN(2)/25))/(LN(2)/25)*Calculateur!AQ186*Calculateur!AS186*VLOOKUP('Données projet'!$B$10,Paramètres!$A$1:$I$89,3,0)*0.475*44/12</f>
        <v>0.29502945348573023</v>
      </c>
      <c r="AW186" s="21">
        <f>EXP(-LN(2)/2)*AW185+(1-EXP(-LN(2)/2))/(LN(2)/2)*AQ186*AT186*VLOOKUP('Données projet'!$B$10,Paramètres!$A$1:$I$89,3,0)*0.475*44/12</f>
        <v>2.2496882912096484E-22</v>
      </c>
      <c r="AX186" s="21">
        <f t="shared" si="166"/>
        <v>0.45267607595435966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81.715042525691956</v>
      </c>
      <c r="BJ186" s="59">
        <f t="shared" si="146"/>
        <v>257.80402821394864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2.0019744617205495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8.2702832854870403E-24</v>
      </c>
      <c r="BS186" s="22">
        <f t="shared" si="169"/>
        <v>2.0019744617205495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370.69652285220093</v>
      </c>
      <c r="T187" s="59">
        <f t="shared" si="142"/>
        <v>376.53494965377718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-4.0702161641092972E-13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260.20517190557814</v>
      </c>
      <c r="AO187" s="59">
        <f t="shared" si="144"/>
        <v>307.22009971147133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0.15455526835696481</v>
      </c>
      <c r="AV187" s="21">
        <f>EXP(-LN(2)/25)*AV186+(1-EXP(-LN(2)/25))/(LN(2)/25)*Calculateur!AQ187*Calculateur!AS187*VLOOKUP('Données projet'!$B$10,Paramètres!$A$1:$I$89,3,0)*0.475*44/12</f>
        <v>0.28696185756523829</v>
      </c>
      <c r="AW187" s="21">
        <f>EXP(-LN(2)/2)*AW186+(1-EXP(-LN(2)/2))/(LN(2)/2)*AQ187*AT187*VLOOKUP('Données projet'!$B$10,Paramètres!$A$1:$I$89,3,0)*0.475*44/12</f>
        <v>1.5907698462703189E-22</v>
      </c>
      <c r="AX187" s="21">
        <f t="shared" si="166"/>
        <v>0.4415171259222031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81.715042525691956</v>
      </c>
      <c r="BJ187" s="59">
        <f t="shared" si="146"/>
        <v>257.80402821394864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1.9627169636100592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5.847973393501646E-24</v>
      </c>
      <c r="BS187" s="22">
        <f t="shared" si="169"/>
        <v>1.9627169636100592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370.69652285220093</v>
      </c>
      <c r="T188" s="59">
        <f t="shared" si="142"/>
        <v>376.53494965377718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-4.0702161641092972E-13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260.20517190557814</v>
      </c>
      <c r="AO188" s="59">
        <f t="shared" si="144"/>
        <v>307.22009971147133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0.15152453381389011</v>
      </c>
      <c r="AV188" s="21">
        <f>EXP(-LN(2)/25)*AV187+(1-EXP(-LN(2)/25))/(LN(2)/25)*Calculateur!AQ188*Calculateur!AS188*VLOOKUP('Données projet'!$B$10,Paramètres!$A$1:$I$89,3,0)*0.475*44/12</f>
        <v>0.27911487047944861</v>
      </c>
      <c r="AW188" s="21">
        <f>EXP(-LN(2)/2)*AW187+(1-EXP(-LN(2)/2))/(LN(2)/2)*AQ188*AT188*VLOOKUP('Données projet'!$B$10,Paramètres!$A$1:$I$89,3,0)*0.475*44/12</f>
        <v>1.1248441456048242E-22</v>
      </c>
      <c r="AX188" s="21">
        <f t="shared" si="166"/>
        <v>0.43063940429333869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81.715042525691956</v>
      </c>
      <c r="BJ188" s="59">
        <f t="shared" si="146"/>
        <v>257.80402821394864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1.9242292810928061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4.1351416427435201E-24</v>
      </c>
      <c r="BS188" s="22">
        <f t="shared" si="169"/>
        <v>1.9242292810928061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370.69652285220093</v>
      </c>
      <c r="T189" s="59">
        <f t="shared" si="142"/>
        <v>376.53494965377718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-4.0702161641092972E-13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260.20517190557814</v>
      </c>
      <c r="AO189" s="59">
        <f t="shared" si="144"/>
        <v>307.22009971147133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0.14855323012663954</v>
      </c>
      <c r="AV189" s="21">
        <f>EXP(-LN(2)/25)*AV188+(1-EXP(-LN(2)/25))/(LN(2)/25)*Calculateur!AQ189*Calculateur!AS189*VLOOKUP('Données projet'!$B$10,Paramètres!$A$1:$I$89,3,0)*0.475*44/12</f>
        <v>0.27148245966817497</v>
      </c>
      <c r="AW189" s="21">
        <f>EXP(-LN(2)/2)*AW188+(1-EXP(-LN(2)/2))/(LN(2)/2)*AQ189*AT189*VLOOKUP('Données projet'!$B$10,Paramètres!$A$1:$I$89,3,0)*0.475*44/12</f>
        <v>7.9538492313515944E-23</v>
      </c>
      <c r="AX189" s="21">
        <f t="shared" si="166"/>
        <v>0.42003568979481454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81.715042525691956</v>
      </c>
      <c r="BJ189" s="59">
        <f t="shared" si="146"/>
        <v>257.80402821394864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1.886496318554548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2.923986696750823E-24</v>
      </c>
      <c r="BS189" s="22">
        <f t="shared" si="169"/>
        <v>1.886496318554548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370.69652285220093</v>
      </c>
      <c r="T190" s="59">
        <f t="shared" si="142"/>
        <v>376.53494965377718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-4.0702161641092972E-13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260.20517190557814</v>
      </c>
      <c r="AO190" s="59">
        <f t="shared" si="144"/>
        <v>307.22009971147133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0.14564019189237967</v>
      </c>
      <c r="AV190" s="21">
        <f>EXP(-LN(2)/25)*AV189+(1-EXP(-LN(2)/25))/(LN(2)/25)*Calculateur!AQ190*Calculateur!AS190*VLOOKUP('Données projet'!$B$10,Paramètres!$A$1:$I$89,3,0)*0.475*44/12</f>
        <v>0.26405875753190666</v>
      </c>
      <c r="AW190" s="21">
        <f>EXP(-LN(2)/2)*AW189+(1-EXP(-LN(2)/2))/(LN(2)/2)*AQ190*AT190*VLOOKUP('Données projet'!$B$10,Paramètres!$A$1:$I$89,3,0)*0.475*44/12</f>
        <v>5.624220728024121E-23</v>
      </c>
      <c r="AX190" s="21">
        <f t="shared" si="166"/>
        <v>0.40969894942428631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81.715042525691956</v>
      </c>
      <c r="BJ190" s="59">
        <f t="shared" si="146"/>
        <v>257.80402821394864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1.8495032763968304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2.0675708213717601E-24</v>
      </c>
      <c r="BS190" s="22">
        <f t="shared" si="169"/>
        <v>1.8495032763968304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370.69652285220093</v>
      </c>
      <c r="T191" s="59">
        <f t="shared" si="142"/>
        <v>376.53494965377718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-4.0702161641092972E-13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260.20517190557814</v>
      </c>
      <c r="AO191" s="59">
        <f t="shared" si="144"/>
        <v>307.22009971147133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0.14278427656111575</v>
      </c>
      <c r="AV191" s="21">
        <f>EXP(-LN(2)/25)*AV190+(1-EXP(-LN(2)/25))/(LN(2)/25)*Calculateur!AQ191*Calculateur!AS191*VLOOKUP('Données projet'!$B$10,Paramètres!$A$1:$I$89,3,0)*0.475*44/12</f>
        <v>0.25683805692095013</v>
      </c>
      <c r="AW191" s="21">
        <f>EXP(-LN(2)/2)*AW190+(1-EXP(-LN(2)/2))/(LN(2)/2)*AQ191*AT191*VLOOKUP('Données projet'!$B$10,Paramètres!$A$1:$I$89,3,0)*0.475*44/12</f>
        <v>3.9769246156757972E-23</v>
      </c>
      <c r="AX191" s="21">
        <f t="shared" si="166"/>
        <v>0.39962233348206588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81.715042525691956</v>
      </c>
      <c r="BJ191" s="59">
        <f t="shared" si="146"/>
        <v>257.80402821394864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1.813235645232298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1.4619933483754115E-24</v>
      </c>
      <c r="BS191" s="22">
        <f t="shared" si="169"/>
        <v>1.813235645232298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370.69652285220093</v>
      </c>
      <c r="T192" s="59">
        <f t="shared" si="142"/>
        <v>376.53494965377718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-4.0702161641092972E-13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260.20517190557814</v>
      </c>
      <c r="AO192" s="59">
        <f t="shared" si="144"/>
        <v>307.22009971147133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0.13998436398756156</v>
      </c>
      <c r="AV192" s="21">
        <f>EXP(-LN(2)/25)*AV191+(1-EXP(-LN(2)/25))/(LN(2)/25)*Calculateur!AQ192*Calculateur!AS192*VLOOKUP('Données projet'!$B$10,Paramètres!$A$1:$I$89,3,0)*0.475*44/12</f>
        <v>0.24981480674792034</v>
      </c>
      <c r="AW192" s="21">
        <f>EXP(-LN(2)/2)*AW191+(1-EXP(-LN(2)/2))/(LN(2)/2)*AQ192*AT192*VLOOKUP('Données projet'!$B$10,Paramètres!$A$1:$I$89,3,0)*0.475*44/12</f>
        <v>2.8121103640120605E-23</v>
      </c>
      <c r="AX192" s="21">
        <f t="shared" si="166"/>
        <v>0.38979917073548187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81.715042525691956</v>
      </c>
      <c r="BJ192" s="59">
        <f t="shared" si="146"/>
        <v>257.80402821394864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1.7776792001938313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1.03378541068588E-24</v>
      </c>
      <c r="BS192" s="22">
        <f t="shared" si="169"/>
        <v>1.7776792001938313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370.69652285220093</v>
      </c>
      <c r="T193" s="59">
        <f t="shared" si="142"/>
        <v>376.53494965377718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-4.0702161641092972E-13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260.20517190557814</v>
      </c>
      <c r="AO193" s="59">
        <f t="shared" si="144"/>
        <v>307.22009971147133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0.13723935599179674</v>
      </c>
      <c r="AV193" s="21">
        <f>EXP(-LN(2)/25)*AV192+(1-EXP(-LN(2)/25))/(LN(2)/25)*Calculateur!AQ193*Calculateur!AS193*VLOOKUP('Données projet'!$B$10,Paramètres!$A$1:$I$89,3,0)*0.475*44/12</f>
        <v>0.24298360772020872</v>
      </c>
      <c r="AW193" s="21">
        <f>EXP(-LN(2)/2)*AW192+(1-EXP(-LN(2)/2))/(LN(2)/2)*AQ193*AT193*VLOOKUP('Données projet'!$B$10,Paramètres!$A$1:$I$89,3,0)*0.475*44/12</f>
        <v>1.9884623078378986E-23</v>
      </c>
      <c r="AX193" s="21">
        <f t="shared" si="166"/>
        <v>0.38022296371200548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81.715042525691956</v>
      </c>
      <c r="BJ193" s="59">
        <f t="shared" si="146"/>
        <v>257.80402821394864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1.742819995355279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7.3099667418770575E-25</v>
      </c>
      <c r="BS193" s="22">
        <f t="shared" si="169"/>
        <v>1.742819995355279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370.69652285220093</v>
      </c>
      <c r="T194" s="59">
        <f t="shared" si="142"/>
        <v>376.53494965377718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-4.0702161641092972E-13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260.20517190557814</v>
      </c>
      <c r="AO194" s="59">
        <f t="shared" si="144"/>
        <v>307.22009971147133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0.13454817592853929</v>
      </c>
      <c r="AV194" s="21">
        <f>EXP(-LN(2)/25)*AV193+(1-EXP(-LN(2)/25))/(LN(2)/25)*Calculateur!AQ194*Calculateur!AS194*VLOOKUP('Données projet'!$B$10,Paramètres!$A$1:$I$89,3,0)*0.475*44/12</f>
        <v>0.23633920818914703</v>
      </c>
      <c r="AW194" s="21">
        <f>EXP(-LN(2)/2)*AW193+(1-EXP(-LN(2)/2))/(LN(2)/2)*AQ194*AT194*VLOOKUP('Données projet'!$B$10,Paramètres!$A$1:$I$89,3,0)*0.475*44/12</f>
        <v>1.4060551820060303E-23</v>
      </c>
      <c r="AX194" s="21">
        <f t="shared" si="166"/>
        <v>0.37088738411768629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81.715042525691956</v>
      </c>
      <c r="BJ194" s="59">
        <f t="shared" si="146"/>
        <v>257.80402821394864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1.7086443582615951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5.1689270534294002E-25</v>
      </c>
      <c r="BS194" s="22">
        <f t="shared" si="169"/>
        <v>1.7086443582615951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370.69652285220093</v>
      </c>
      <c r="T195" s="59">
        <f t="shared" si="142"/>
        <v>376.53494965377718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-4.0702161641092972E-13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260.20517190557814</v>
      </c>
      <c r="AO195" s="59">
        <f t="shared" si="144"/>
        <v>307.22009971147133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0.13190976826486459</v>
      </c>
      <c r="AV195" s="21">
        <f>EXP(-LN(2)/25)*AV194+(1-EXP(-LN(2)/25))/(LN(2)/25)*Calculateur!AQ195*Calculateur!AS195*VLOOKUP('Données projet'!$B$10,Paramètres!$A$1:$I$89,3,0)*0.475*44/12</f>
        <v>0.22987650011267599</v>
      </c>
      <c r="AW195" s="21">
        <f>EXP(-LN(2)/2)*AW194+(1-EXP(-LN(2)/2))/(LN(2)/2)*AQ195*AT195*VLOOKUP('Données projet'!$B$10,Paramètres!$A$1:$I$89,3,0)*0.475*44/12</f>
        <v>9.942311539189493E-24</v>
      </c>
      <c r="AX195" s="21">
        <f t="shared" si="166"/>
        <v>0.36178626837754058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81.715042525691956</v>
      </c>
      <c r="BJ195" s="59">
        <f t="shared" si="146"/>
        <v>257.80402821394864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1.6751388845662381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3.6549833709385287E-25</v>
      </c>
      <c r="BS195" s="22">
        <f t="shared" si="169"/>
        <v>1.6751388845662381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370.69652285220093</v>
      </c>
      <c r="T196" s="59">
        <f t="shared" si="142"/>
        <v>376.53494965377718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-4.0702161641092972E-13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260.20517190557814</v>
      </c>
      <c r="AO196" s="59">
        <f t="shared" si="144"/>
        <v>307.22009971147133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0.12932309816620477</v>
      </c>
      <c r="AV196" s="21">
        <f>EXP(-LN(2)/25)*AV195+(1-EXP(-LN(2)/25))/(LN(2)/25)*Calculateur!AQ196*Calculateur!AS196*VLOOKUP('Données projet'!$B$10,Paramètres!$A$1:$I$89,3,0)*0.475*44/12</f>
        <v>0.2235905151284151</v>
      </c>
      <c r="AW196" s="21">
        <f>EXP(-LN(2)/2)*AW195+(1-EXP(-LN(2)/2))/(LN(2)/2)*AQ196*AT196*VLOOKUP('Données projet'!$B$10,Paramètres!$A$1:$I$89,3,0)*0.475*44/12</f>
        <v>7.0302759100301513E-24</v>
      </c>
      <c r="AX196" s="21">
        <f t="shared" si="166"/>
        <v>0.3529136132946199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81.715042525691956</v>
      </c>
      <c r="BJ196" s="59">
        <f t="shared" si="146"/>
        <v>257.80402821394864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1.6422904327737258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2.5844635267147001E-25</v>
      </c>
      <c r="BS196" s="22">
        <f t="shared" si="169"/>
        <v>1.6422904327737258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370.69652285220093</v>
      </c>
      <c r="T197" s="59">
        <f t="shared" ref="T197:T203" si="204">$T$3</f>
        <v>376.53494965377718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-4.0702161641092972E-13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260.20517190557814</v>
      </c>
      <c r="AO197" s="59">
        <f t="shared" ref="AO197:AO203" si="205">$AO$3</f>
        <v>307.22009971147133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0.1267871510904667</v>
      </c>
      <c r="AV197" s="21">
        <f>EXP(-LN(2)/25)*AV196+(1-EXP(-LN(2)/25))/(LN(2)/25)*Calculateur!AQ197*Calculateur!AS197*VLOOKUP('Données projet'!$B$10,Paramètres!$A$1:$I$89,3,0)*0.475*44/12</f>
        <v>0.21747642073411441</v>
      </c>
      <c r="AW197" s="21">
        <f>EXP(-LN(2)/2)*AW196+(1-EXP(-LN(2)/2))/(LN(2)/2)*AQ197*AT197*VLOOKUP('Données projet'!$B$10,Paramètres!$A$1:$I$89,3,0)*0.475*44/12</f>
        <v>4.9711557695947465E-24</v>
      </c>
      <c r="AX197" s="21">
        <f t="shared" si="166"/>
        <v>0.34426357182458112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81.715042525691956</v>
      </c>
      <c r="BJ197" s="59">
        <f t="shared" ref="BJ197:BJ203" si="206">$BJ$3</f>
        <v>257.80402821394864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1.6100861190852875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1.8274916854692644E-25</v>
      </c>
      <c r="BS197" s="22">
        <f t="shared" si="169"/>
        <v>1.6100861190852875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370.69652285220093</v>
      </c>
      <c r="T198" s="59">
        <f t="shared" si="204"/>
        <v>376.53494965377718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-4.0702161641092972E-13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260.20517190557814</v>
      </c>
      <c r="AO198" s="59">
        <f t="shared" si="205"/>
        <v>307.22009971147133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0.12430093239010886</v>
      </c>
      <c r="AV198" s="21">
        <f>EXP(-LN(2)/25)*AV197+(1-EXP(-LN(2)/25))/(LN(2)/25)*Calculateur!AQ198*Calculateur!AS198*VLOOKUP('Données projet'!$B$10,Paramètres!$A$1:$I$89,3,0)*0.475*44/12</f>
        <v>0.21152951657255215</v>
      </c>
      <c r="AW198" s="21">
        <f>EXP(-LN(2)/2)*AW197+(1-EXP(-LN(2)/2))/(LN(2)/2)*AQ198*AT198*VLOOKUP('Données projet'!$B$10,Paramètres!$A$1:$I$89,3,0)*0.475*44/12</f>
        <v>3.5151379550150756E-24</v>
      </c>
      <c r="AX198" s="21">
        <f t="shared" si="166"/>
        <v>0.33583044896266101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81.715042525691956</v>
      </c>
      <c r="BJ198" s="59">
        <f t="shared" si="206"/>
        <v>257.80402821394864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1.5785133123455877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1.29223176335735E-25</v>
      </c>
      <c r="BS198" s="22">
        <f t="shared" si="169"/>
        <v>1.5785133123455877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370.69652285220093</v>
      </c>
      <c r="T199" s="59">
        <f t="shared" si="204"/>
        <v>376.53494965377718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-4.0702161641092972E-13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260.20517190557814</v>
      </c>
      <c r="AO199" s="59">
        <f t="shared" si="205"/>
        <v>307.22009971147133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0.12186346692202137</v>
      </c>
      <c r="AV199" s="21">
        <f>EXP(-LN(2)/25)*AV198+(1-EXP(-LN(2)/25))/(LN(2)/25)*Calculateur!AQ199*Calculateur!AS199*VLOOKUP('Données projet'!$B$10,Paramètres!$A$1:$I$89,3,0)*0.475*44/12</f>
        <v>0.2057452308180219</v>
      </c>
      <c r="AW199" s="21">
        <f>EXP(-LN(2)/2)*AW198+(1-EXP(-LN(2)/2))/(LN(2)/2)*AQ199*AT199*VLOOKUP('Données projet'!$B$10,Paramètres!$A$1:$I$89,3,0)*0.475*44/12</f>
        <v>2.4855778847973732E-24</v>
      </c>
      <c r="AX199" s="21">
        <f t="shared" si="166"/>
        <v>0.32760869774004325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81.715042525691956</v>
      </c>
      <c r="BJ199" s="59">
        <f t="shared" si="206"/>
        <v>257.80402821394864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1.5475596290885427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9.1374584273463218E-26</v>
      </c>
      <c r="BS199" s="22">
        <f t="shared" si="169"/>
        <v>1.5475596290885427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370.69652285220093</v>
      </c>
      <c r="T200" s="59">
        <f t="shared" si="204"/>
        <v>376.53494965377718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-4.0702161641092972E-13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260.20517190557814</v>
      </c>
      <c r="AO200" s="59">
        <f t="shared" si="205"/>
        <v>307.22009971147133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0.11947379866505593</v>
      </c>
      <c r="AV200" s="21">
        <f>EXP(-LN(2)/25)*AV199+(1-EXP(-LN(2)/25))/(LN(2)/25)*Calculateur!AQ200*Calculateur!AS200*VLOOKUP('Données projet'!$B$10,Paramètres!$A$1:$I$89,3,0)*0.475*44/12</f>
        <v>0.20011911666163165</v>
      </c>
      <c r="AW200" s="21">
        <f>EXP(-LN(2)/2)*AW199+(1-EXP(-LN(2)/2))/(LN(2)/2)*AQ200*AT200*VLOOKUP('Données projet'!$B$10,Paramètres!$A$1:$I$89,3,0)*0.475*44/12</f>
        <v>1.7575689775075378E-24</v>
      </c>
      <c r="AX200" s="21">
        <f t="shared" si="166"/>
        <v>0.3195929153266876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81.715042525691956</v>
      </c>
      <c r="BJ200" s="59">
        <f t="shared" si="206"/>
        <v>257.80402821394864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1.517212928680286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6.4611588167867502E-26</v>
      </c>
      <c r="BS200" s="22">
        <f t="shared" si="169"/>
        <v>1.517212928680286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370.69652285220093</v>
      </c>
      <c r="T201" s="59">
        <f t="shared" si="204"/>
        <v>376.53494965377718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-4.0702161641092972E-13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260.20517190557814</v>
      </c>
      <c r="AO201" s="59">
        <f t="shared" si="205"/>
        <v>307.22009971147133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0.11713099034505588</v>
      </c>
      <c r="AV201" s="21">
        <f>EXP(-LN(2)/25)*AV200+(1-EXP(-LN(2)/25))/(LN(2)/25)*Calculateur!AQ201*Calculateur!AS201*VLOOKUP('Données projet'!$B$10,Paramètres!$A$1:$I$89,3,0)*0.475*44/12</f>
        <v>0.19464684889271236</v>
      </c>
      <c r="AW201" s="21">
        <f>EXP(-LN(2)/2)*AW200+(1-EXP(-LN(2)/2))/(LN(2)/2)*AQ201*AT201*VLOOKUP('Données projet'!$B$10,Paramètres!$A$1:$I$89,3,0)*0.475*44/12</f>
        <v>1.2427889423986866E-24</v>
      </c>
      <c r="AX201" s="21">
        <f t="shared" si="166"/>
        <v>0.31177783923776825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81.715042525691956</v>
      </c>
      <c r="BJ201" s="59">
        <f t="shared" si="206"/>
        <v>257.80402821394864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1.4874613085573756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4.5687292136731609E-26</v>
      </c>
      <c r="BS201" s="22">
        <f t="shared" si="169"/>
        <v>1.4874613085573756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370.69652285220093</v>
      </c>
      <c r="T202" s="59">
        <f t="shared" si="204"/>
        <v>376.53494965377718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-4.0702161641092972E-13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260.20517190557814</v>
      </c>
      <c r="AO202" s="59">
        <f t="shared" si="205"/>
        <v>307.22009971147133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0.11483412306723904</v>
      </c>
      <c r="AV202" s="21">
        <f>EXP(-LN(2)/25)*AV201+(1-EXP(-LN(2)/25))/(LN(2)/25)*Calculateur!AQ202*Calculateur!AS202*VLOOKUP('Données projet'!$B$10,Paramètres!$A$1:$I$89,3,0)*0.475*44/12</f>
        <v>0.18932422057370824</v>
      </c>
      <c r="AW202" s="21">
        <f>EXP(-LN(2)/2)*AW201+(1-EXP(-LN(2)/2))/(LN(2)/2)*AQ202*AT202*VLOOKUP('Données projet'!$B$10,Paramètres!$A$1:$I$89,3,0)*0.475*44/12</f>
        <v>8.7878448875376891E-25</v>
      </c>
      <c r="AX202" s="21">
        <f t="shared" si="166"/>
        <v>0.30415834364094729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81.715042525691956</v>
      </c>
      <c r="BJ202" s="59">
        <f t="shared" si="206"/>
        <v>257.80402821394864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1.4582930995583789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3.2305794083933751E-26</v>
      </c>
      <c r="BS202" s="22">
        <f t="shared" si="169"/>
        <v>1.4582930995583789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370.69652285220093</v>
      </c>
      <c r="T203" s="59">
        <f t="shared" si="204"/>
        <v>376.53494965377718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-4.0702161641092972E-13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260.20517190557814</v>
      </c>
      <c r="AO203" s="59">
        <f t="shared" si="205"/>
        <v>307.22009971147133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0.11258229595578949</v>
      </c>
      <c r="AV203" s="21">
        <f>EXP(-LN(2)/25)*AV202+(1-EXP(-LN(2)/25))/(LN(2)/25)*Calculateur!AQ203*Calculateur!AS203*VLOOKUP('Données projet'!$B$10,Paramètres!$A$1:$I$89,3,0)*0.475*44/12</f>
        <v>0.18414713980599212</v>
      </c>
      <c r="AW203" s="21">
        <f>EXP(-LN(2)/2)*AW202+(1-EXP(-LN(2)/2))/(LN(2)/2)*AQ203*AT203*VLOOKUP('Données projet'!$B$10,Paramètres!$A$1:$I$89,3,0)*0.475*44/12</f>
        <v>6.2139447119934331E-25</v>
      </c>
      <c r="AX203" s="21">
        <f t="shared" si="166"/>
        <v>0.29672943576178162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81.715042525691956</v>
      </c>
      <c r="BJ203" s="59">
        <f t="shared" si="206"/>
        <v>257.80402821394864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1.4296968613470018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2.2843646068365805E-26</v>
      </c>
      <c r="BS203" s="22">
        <f t="shared" si="169"/>
        <v>1.4296968613470018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1.3492828476735632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1.475773161594552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G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2.028</v>
      </c>
      <c r="C6" s="147">
        <f ca="1">IF(OR('Données projet'!B9="",'Données projet'!C9="",'Données projet'!C9=0%),0,Calculateur!S3)</f>
        <v>370.69652285220093</v>
      </c>
      <c r="D6" s="147">
        <f>IF(OR('Données projet'!B9="",'Données projet'!C9="",'Données projet'!C9=0%),0,Calculateur!T3)</f>
        <v>376.53494965377718</v>
      </c>
      <c r="E6" s="147">
        <f ca="1">MIN(C6,D6)</f>
        <v>370.69652285220093</v>
      </c>
      <c r="F6" s="147">
        <f ca="1">E6*B6</f>
        <v>751.77254834426344</v>
      </c>
      <c r="G6" s="147">
        <f ca="1">F6*(100%-'Données projet'!$C$24)*(100%-'Données projet'!$C$25)*(100%-'Données projet'!$C$26)*(100%-'Données projet'!$C$27)</f>
        <v>676.59529350983712</v>
      </c>
      <c r="H6" s="148">
        <f>IF(OR('Données projet'!B9="",'Données projet'!C9="",'Données projet'!C9=0%),0,AVERAGE(Calculateur!$AC$3:$AC$33)*B6)</f>
        <v>20.634800778329854</v>
      </c>
      <c r="I6" s="149">
        <f>H6*(100%-'Données projet'!$C$24)*(100%-'Données projet'!$C$25)*(100%-'Données projet'!$C$26)*(100%-'Données projet'!$C$27)</f>
        <v>18.571320700496869</v>
      </c>
      <c r="J6" s="150">
        <f>IF(OR('Données projet'!B9="",'Données projet'!C9="",'Données projet'!C9=0%),0,SUM(Calculateur!$V$3:$V$33)*VLOOKUP('Données projet'!$B$9,Paramètres!$A$1:$I$89,9,0)*B6)</f>
        <v>183.1284</v>
      </c>
      <c r="K6" s="151">
        <f>J6*(100%-'Données projet'!$C$24)*(100%-'Données projet'!$C$25)*(100%-'Données projet'!$C$26)*(100%-'Données projet'!$C$27)</f>
        <v>164.81556</v>
      </c>
      <c r="L6" s="152">
        <f ca="1">G6+I6+K6</f>
        <v>859.98217421033405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sycomore</v>
      </c>
      <c r="B7" s="154">
        <f>'Données projet'!D10</f>
        <v>0.67600000000000005</v>
      </c>
      <c r="C7" s="147">
        <f ca="1">IF(OR('Données projet'!B10="",'Données projet'!C10="",'Données projet'!C10=0%),0,Calculateur!AN3)</f>
        <v>260.20517190557814</v>
      </c>
      <c r="D7" s="147">
        <f>IF(OR('Données projet'!B10="",'Données projet'!C10="",'Données projet'!C10=0%),0,Calculateur!AO3)</f>
        <v>307.22009971147133</v>
      </c>
      <c r="E7" s="147">
        <f t="shared" ref="E7:E15" ca="1" si="0">MIN(C7,D7)</f>
        <v>260.20517190557814</v>
      </c>
      <c r="F7" s="147">
        <f t="shared" ref="F7:F15" ca="1" si="1">E7*B7</f>
        <v>175.89869620817083</v>
      </c>
      <c r="G7" s="147">
        <f ca="1">F7*(100%-'Données projet'!$C$24)*(100%-'Données projet'!$C$25)*(100%-'Données projet'!$C$26)*(100%-'Données projet'!$C$27)</f>
        <v>158.30882658735376</v>
      </c>
      <c r="H7" s="155">
        <f>IF(OR('Données projet'!B10="",'Données projet'!C10="",'Données projet'!C10=0%),0,AVERAGE(Calculateur!$AX$3:$AX$33)*B7)</f>
        <v>3.4514441330492338</v>
      </c>
      <c r="I7" s="149">
        <f>H7*(100%-'Données projet'!$C$24)*(100%-'Données projet'!$C$25)*(100%-'Données projet'!$C$26)*(100%-'Données projet'!$C$27)</f>
        <v>3.1062997197443103</v>
      </c>
      <c r="J7" s="150">
        <f>IF(OR('Données projet'!B10="",'Données projet'!C10="",'Données projet'!C10=0%),0,SUM(Calculateur!$AQ$3:$AQ$33)*VLOOKUP('Données projet'!$B$10,Paramètres!$A$1:$I$89,9,0)*B7)</f>
        <v>23.153000000000002</v>
      </c>
      <c r="K7" s="151">
        <f>J7*(100%-'Données projet'!$C$24)*(100%-'Données projet'!$C$25)*(100%-'Données projet'!$C$26)*(100%-'Données projet'!$C$27)</f>
        <v>20.837700000000002</v>
      </c>
      <c r="L7" s="152">
        <f t="shared" ref="L7:L15" ca="1" si="2">G7+I7+K7</f>
        <v>182.25282630709808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Tulipier de Virginie</v>
      </c>
      <c r="B8" s="154">
        <f>'Données projet'!D11</f>
        <v>0.67600000000000005</v>
      </c>
      <c r="C8" s="147">
        <f ca="1">IF(OR('Données projet'!B11="",'Données projet'!C11="",'Données projet'!C11=0%),0,Calculateur!BI3)</f>
        <v>81.715042525691956</v>
      </c>
      <c r="D8" s="147">
        <f>IF(OR('Données projet'!B11="",'Données projet'!C11="",'Données projet'!C11=0%),0,Calculateur!BJ3)</f>
        <v>257.80402821394864</v>
      </c>
      <c r="E8" s="147">
        <f t="shared" ca="1" si="0"/>
        <v>81.715042525691956</v>
      </c>
      <c r="F8" s="147">
        <f t="shared" ca="1" si="1"/>
        <v>55.239368747367763</v>
      </c>
      <c r="G8" s="147">
        <f ca="1">F8*(100%-'Données projet'!$C$24)*(100%-'Données projet'!$C$25)*(100%-'Données projet'!$C$26)*(100%-'Données projet'!$C$27)</f>
        <v>49.715431872630987</v>
      </c>
      <c r="H8" s="155">
        <f>IF(OR('Données projet'!B11="",'Données projet'!C11="",'Données projet'!C11=0%),0,AVERAGE(Calculateur!$BS$3:$BS$33)*B8)</f>
        <v>13.054607565926858</v>
      </c>
      <c r="I8" s="149">
        <f>H8*(100%-'Données projet'!$C$24)*(100%-'Données projet'!$C$25)*(100%-'Données projet'!$C$26)*(100%-'Données projet'!$C$27)</f>
        <v>11.749146809334173</v>
      </c>
      <c r="J8" s="150">
        <f>IF(OR('Données projet'!B11="",'Données projet'!C11="",'Données projet'!C11=0%),0,SUM(Calculateur!$BL$3:$BL$33)*VLOOKUP('Données projet'!$B$11,Paramètres!$A$1:$I$89,9,0)*B8)</f>
        <v>35.997</v>
      </c>
      <c r="K8" s="151">
        <f>J8*(100%-'Données projet'!$C$24)*(100%-'Données projet'!$C$25)*(100%-'Données projet'!$C$26)*(100%-'Données projet'!$C$27)</f>
        <v>32.397300000000001</v>
      </c>
      <c r="L8" s="152">
        <f t="shared" ca="1" si="2"/>
        <v>93.861878681965152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982.91061329980198</v>
      </c>
      <c r="G16" s="166">
        <f t="shared" ca="1" si="3"/>
        <v>884.61955196982194</v>
      </c>
      <c r="H16" s="167">
        <f t="shared" si="3"/>
        <v>37.140852477305941</v>
      </c>
      <c r="I16" s="167">
        <f t="shared" si="3"/>
        <v>33.426767229575354</v>
      </c>
      <c r="J16" s="168">
        <f t="shared" si="3"/>
        <v>242.27839999999998</v>
      </c>
      <c r="K16" s="168">
        <f t="shared" si="3"/>
        <v>218.05056000000002</v>
      </c>
      <c r="L16" s="169">
        <f t="shared" ca="1" si="3"/>
        <v>1136.0968791993973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Tulipier de Virginie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P1" zoomScale="80" zoomScaleNormal="80" workbookViewId="0">
      <selection activeCell="E80" sqref="E8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3937.5023501302026</v>
      </c>
      <c r="U10" s="178">
        <f>'Données projet'!D9</f>
        <v>2.028</v>
      </c>
      <c r="V10" s="177">
        <f>U10*T10</f>
        <v>7985.2547660640512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-189.61817550573312</v>
      </c>
      <c r="U11" s="178">
        <f>'Données projet'!D10</f>
        <v>0.67600000000000005</v>
      </c>
      <c r="V11" s="177">
        <f t="shared" ref="V11" si="0">U11*T11</f>
        <v>-128.18188664187559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Tulipier de Virginie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2255.3464556408258</v>
      </c>
      <c r="U12" s="178">
        <f>'Données projet'!D11</f>
        <v>0.67600000000000005</v>
      </c>
      <c r="V12" s="177">
        <f t="shared" ref="V12:V19" si="1">U12*T12</f>
        <v>1524.6142040131983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1551.2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2000.0000000000027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900+700+60</f>
        <v>1660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560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-4796.2489946855821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84</v>
      </c>
      <c r="C24" s="193">
        <v>12</v>
      </c>
      <c r="D24" s="182">
        <f t="shared" ref="D24:D42" si="2">B24*C24</f>
        <v>1008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199.82207302140333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126</v>
      </c>
      <c r="C25" s="193">
        <v>35</v>
      </c>
      <c r="D25" s="182">
        <f t="shared" si="2"/>
        <v>4410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-4996.0710677069856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126</v>
      </c>
      <c r="C26" s="193">
        <v>45</v>
      </c>
      <c r="D26" s="182">
        <f t="shared" si="2"/>
        <v>5670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119</v>
      </c>
      <c r="C27" s="193">
        <v>50</v>
      </c>
      <c r="D27" s="182">
        <f t="shared" si="2"/>
        <v>5950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90</v>
      </c>
      <c r="C28" s="193">
        <v>55</v>
      </c>
      <c r="D28" s="182">
        <f t="shared" si="2"/>
        <v>4950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75</v>
      </c>
      <c r="C29" s="193">
        <v>60</v>
      </c>
      <c r="D29" s="182">
        <f t="shared" si="2"/>
        <v>4500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719</v>
      </c>
      <c r="C30" s="193">
        <v>80</v>
      </c>
      <c r="D30" s="182">
        <f t="shared" si="2"/>
        <v>57520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1689.7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>
        <v>5</v>
      </c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67</v>
      </c>
      <c r="C55" s="191">
        <v>10</v>
      </c>
      <c r="D55" s="179">
        <f t="shared" ref="D55:D73" si="4">B55*C55</f>
        <v>670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70</v>
      </c>
      <c r="C56" s="191">
        <v>15</v>
      </c>
      <c r="D56" s="179">
        <f t="shared" si="4"/>
        <v>1050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70</v>
      </c>
      <c r="C57" s="191">
        <v>20</v>
      </c>
      <c r="D57" s="179">
        <f t="shared" si="4"/>
        <v>1400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43</v>
      </c>
      <c r="C58" s="191">
        <v>30</v>
      </c>
      <c r="D58" s="179">
        <f t="shared" si="4"/>
        <v>1290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30</v>
      </c>
      <c r="C59" s="191">
        <v>35</v>
      </c>
      <c r="D59" s="179">
        <f t="shared" si="4"/>
        <v>1050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26</v>
      </c>
      <c r="C60" s="191">
        <v>45</v>
      </c>
      <c r="D60" s="179">
        <f t="shared" si="4"/>
        <v>1170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342</v>
      </c>
      <c r="C61" s="191">
        <v>70</v>
      </c>
      <c r="D61" s="179">
        <f t="shared" si="4"/>
        <v>23940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Tulipier de Virginie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2160.6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5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10</v>
      </c>
      <c r="B86" s="181">
        <f>'Données projet'!D89</f>
        <v>0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15</v>
      </c>
      <c r="B87" s="181">
        <f>'Données projet'!D90</f>
        <v>0</v>
      </c>
      <c r="C87" s="191">
        <v>0</v>
      </c>
      <c r="D87" s="179">
        <f t="shared" si="6"/>
        <v>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20</v>
      </c>
      <c r="B88" s="181">
        <f>'Données projet'!D91</f>
        <v>213</v>
      </c>
      <c r="C88" s="191">
        <v>50</v>
      </c>
      <c r="D88" s="179">
        <f t="shared" si="6"/>
        <v>10650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2024-04-16T12:31:39Z</dcterms:modified>
</cp:coreProperties>
</file>