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audet\Reboisement Naudet_Beulotte Saint Laurent (70)\Dossier d_instruction\"/>
    </mc:Choice>
  </mc:AlternateContent>
  <xr:revisionPtr revIDLastSave="0" documentId="13_ncr:1_{6C5C108E-BF70-4E6E-B341-B1CBB675B397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<sst xmlns="http://schemas.openxmlformats.org/spreadsheetml/2006/main" count="1175" uniqueCount="326">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</sst>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413.06888274647389</c:v>
                </c:pt>
                <c:pt idx="62">
                  <c:v>413.06888274647389</c:v>
                </c:pt>
                <c:pt idx="63">
                  <c:v>413.06888274647389</c:v>
                </c:pt>
                <c:pt idx="64">
                  <c:v>413.06888274647389</c:v>
                </c:pt>
                <c:pt idx="65">
                  <c:v>413.06888274647389</c:v>
                </c:pt>
                <c:pt idx="66">
                  <c:v>413.06888274647389</c:v>
                </c:pt>
                <c:pt idx="67">
                  <c:v>413.06888274647389</c:v>
                </c:pt>
                <c:pt idx="68">
                  <c:v>413.06888274647389</c:v>
                </c:pt>
                <c:pt idx="69">
                  <c:v>413.06888274647389</c:v>
                </c:pt>
                <c:pt idx="70">
                  <c:v>413.06888274647389</c:v>
                </c:pt>
                <c:pt idx="71">
                  <c:v>413.06888274647389</c:v>
                </c:pt>
                <c:pt idx="72">
                  <c:v>413.06888274647389</c:v>
                </c:pt>
                <c:pt idx="73">
                  <c:v>413.06888274647389</c:v>
                </c:pt>
                <c:pt idx="74">
                  <c:v>413.06888274647389</c:v>
                </c:pt>
                <c:pt idx="75">
                  <c:v>413.06888274647389</c:v>
                </c:pt>
                <c:pt idx="76">
                  <c:v>413.06888274647389</c:v>
                </c:pt>
                <c:pt idx="77">
                  <c:v>413.06888274647389</c:v>
                </c:pt>
                <c:pt idx="78">
                  <c:v>413.06888274647389</c:v>
                </c:pt>
                <c:pt idx="79">
                  <c:v>413.06888274647389</c:v>
                </c:pt>
                <c:pt idx="80">
                  <c:v>413.06888274647389</c:v>
                </c:pt>
                <c:pt idx="81">
                  <c:v>413.06888274647389</c:v>
                </c:pt>
                <c:pt idx="82">
                  <c:v>413.06888274647389</c:v>
                </c:pt>
                <c:pt idx="83">
                  <c:v>413.06888274647389</c:v>
                </c:pt>
                <c:pt idx="84">
                  <c:v>413.06888274647389</c:v>
                </c:pt>
                <c:pt idx="85">
                  <c:v>413.06888274647389</c:v>
                </c:pt>
                <c:pt idx="86">
                  <c:v>413.06888274647389</c:v>
                </c:pt>
                <c:pt idx="87">
                  <c:v>413.06888274647389</c:v>
                </c:pt>
                <c:pt idx="88">
                  <c:v>413.06888274647389</c:v>
                </c:pt>
                <c:pt idx="89">
                  <c:v>413.06888274647389</c:v>
                </c:pt>
                <c:pt idx="90">
                  <c:v>413.06888274647389</c:v>
                </c:pt>
                <c:pt idx="91">
                  <c:v>413.06888274647389</c:v>
                </c:pt>
                <c:pt idx="92">
                  <c:v>413.06888274647389</c:v>
                </c:pt>
                <c:pt idx="93">
                  <c:v>413.06888274647389</c:v>
                </c:pt>
                <c:pt idx="94">
                  <c:v>413.06888274647389</c:v>
                </c:pt>
                <c:pt idx="95">
                  <c:v>413.06888274647389</c:v>
                </c:pt>
                <c:pt idx="96">
                  <c:v>413.06888274647389</c:v>
                </c:pt>
                <c:pt idx="97">
                  <c:v>413.06888274647389</c:v>
                </c:pt>
                <c:pt idx="98">
                  <c:v>413.06888274647389</c:v>
                </c:pt>
                <c:pt idx="99">
                  <c:v>413.06888274647389</c:v>
                </c:pt>
                <c:pt idx="100">
                  <c:v>413.06888274647389</c:v>
                </c:pt>
                <c:pt idx="101">
                  <c:v>413.06888274647389</c:v>
                </c:pt>
                <c:pt idx="102">
                  <c:v>413.06888274647389</c:v>
                </c:pt>
                <c:pt idx="103">
                  <c:v>413.06888274647389</c:v>
                </c:pt>
                <c:pt idx="104">
                  <c:v>413.06888274647389</c:v>
                </c:pt>
                <c:pt idx="105">
                  <c:v>413.06888274647389</c:v>
                </c:pt>
                <c:pt idx="106">
                  <c:v>413.06888274647389</c:v>
                </c:pt>
                <c:pt idx="107">
                  <c:v>413.06888274647389</c:v>
                </c:pt>
                <c:pt idx="108">
                  <c:v>413.06888274647389</c:v>
                </c:pt>
                <c:pt idx="109">
                  <c:v>413.06888274647389</c:v>
                </c:pt>
                <c:pt idx="110">
                  <c:v>413.06888274647389</c:v>
                </c:pt>
                <c:pt idx="111">
                  <c:v>413.06888274647389</c:v>
                </c:pt>
                <c:pt idx="112">
                  <c:v>413.06888274647389</c:v>
                </c:pt>
                <c:pt idx="113">
                  <c:v>413.06888274647389</c:v>
                </c:pt>
                <c:pt idx="114">
                  <c:v>413.06888274647389</c:v>
                </c:pt>
                <c:pt idx="115">
                  <c:v>413.06888274647389</c:v>
                </c:pt>
                <c:pt idx="116">
                  <c:v>413.06888274647389</c:v>
                </c:pt>
                <c:pt idx="117">
                  <c:v>413.06888274647389</c:v>
                </c:pt>
                <c:pt idx="118">
                  <c:v>413.06888274647389</c:v>
                </c:pt>
                <c:pt idx="119">
                  <c:v>413.06888274647389</c:v>
                </c:pt>
                <c:pt idx="120">
                  <c:v>413.06888274647389</c:v>
                </c:pt>
                <c:pt idx="121">
                  <c:v>413.06888274647389</c:v>
                </c:pt>
                <c:pt idx="122">
                  <c:v>413.06888274647389</c:v>
                </c:pt>
                <c:pt idx="123">
                  <c:v>413.06888274647389</c:v>
                </c:pt>
                <c:pt idx="124">
                  <c:v>413.06888274647389</c:v>
                </c:pt>
                <c:pt idx="125">
                  <c:v>413.06888274647389</c:v>
                </c:pt>
                <c:pt idx="126">
                  <c:v>413.06888274647389</c:v>
                </c:pt>
                <c:pt idx="127">
                  <c:v>413.06888274647389</c:v>
                </c:pt>
                <c:pt idx="128">
                  <c:v>413.06888274647389</c:v>
                </c:pt>
                <c:pt idx="129">
                  <c:v>413.06888274647389</c:v>
                </c:pt>
                <c:pt idx="130">
                  <c:v>413.06888274647389</c:v>
                </c:pt>
                <c:pt idx="131">
                  <c:v>413.06888274647389</c:v>
                </c:pt>
                <c:pt idx="132">
                  <c:v>413.06888274647389</c:v>
                </c:pt>
                <c:pt idx="133">
                  <c:v>413.06888274647389</c:v>
                </c:pt>
                <c:pt idx="134">
                  <c:v>413.06888274647389</c:v>
                </c:pt>
                <c:pt idx="135">
                  <c:v>413.06888274647389</c:v>
                </c:pt>
                <c:pt idx="136">
                  <c:v>413.06888274647389</c:v>
                </c:pt>
                <c:pt idx="137">
                  <c:v>413.06888274647389</c:v>
                </c:pt>
                <c:pt idx="138">
                  <c:v>413.06888274647389</c:v>
                </c:pt>
                <c:pt idx="139">
                  <c:v>413.06888274647389</c:v>
                </c:pt>
                <c:pt idx="140">
                  <c:v>413.06888274647389</c:v>
                </c:pt>
                <c:pt idx="141">
                  <c:v>413.06888274647389</c:v>
                </c:pt>
                <c:pt idx="142">
                  <c:v>413.06888274647389</c:v>
                </c:pt>
                <c:pt idx="143">
                  <c:v>413.06888274647389</c:v>
                </c:pt>
                <c:pt idx="144">
                  <c:v>413.06888274647389</c:v>
                </c:pt>
                <c:pt idx="145">
                  <c:v>413.06888274647389</c:v>
                </c:pt>
                <c:pt idx="146">
                  <c:v>413.06888274647389</c:v>
                </c:pt>
                <c:pt idx="147">
                  <c:v>413.06888274647389</c:v>
                </c:pt>
                <c:pt idx="148">
                  <c:v>413.06888274647389</c:v>
                </c:pt>
                <c:pt idx="149">
                  <c:v>413.06888274647389</c:v>
                </c:pt>
                <c:pt idx="150">
                  <c:v>413.06888274647389</c:v>
                </c:pt>
                <c:pt idx="151">
                  <c:v>413.06888274647389</c:v>
                </c:pt>
                <c:pt idx="152">
                  <c:v>413.06888274647389</c:v>
                </c:pt>
                <c:pt idx="153">
                  <c:v>413.06888274647389</c:v>
                </c:pt>
                <c:pt idx="154">
                  <c:v>413.06888274647389</c:v>
                </c:pt>
                <c:pt idx="155">
                  <c:v>413.06888274647389</c:v>
                </c:pt>
                <c:pt idx="156">
                  <c:v>413.06888274647389</c:v>
                </c:pt>
                <c:pt idx="157">
                  <c:v>413.06888274647389</c:v>
                </c:pt>
                <c:pt idx="158">
                  <c:v>413.06888274647389</c:v>
                </c:pt>
                <c:pt idx="159">
                  <c:v>413.06888274647389</c:v>
                </c:pt>
                <c:pt idx="160">
                  <c:v>413.06888274647389</c:v>
                </c:pt>
                <c:pt idx="161">
                  <c:v>413.06888274647389</c:v>
                </c:pt>
                <c:pt idx="162">
                  <c:v>413.06888274647389</c:v>
                </c:pt>
                <c:pt idx="163">
                  <c:v>413.06888274647389</c:v>
                </c:pt>
                <c:pt idx="164">
                  <c:v>413.06888274647389</c:v>
                </c:pt>
                <c:pt idx="165">
                  <c:v>413.06888274647389</c:v>
                </c:pt>
                <c:pt idx="166">
                  <c:v>413.06888274647389</c:v>
                </c:pt>
                <c:pt idx="167">
                  <c:v>413.06888274647389</c:v>
                </c:pt>
                <c:pt idx="168">
                  <c:v>413.06888274647389</c:v>
                </c:pt>
                <c:pt idx="169">
                  <c:v>413.06888274647389</c:v>
                </c:pt>
                <c:pt idx="170">
                  <c:v>413.06888274647389</c:v>
                </c:pt>
                <c:pt idx="171">
                  <c:v>413.06888274647389</c:v>
                </c:pt>
                <c:pt idx="172">
                  <c:v>413.06888274647389</c:v>
                </c:pt>
                <c:pt idx="173">
                  <c:v>413.06888274647389</c:v>
                </c:pt>
                <c:pt idx="174">
                  <c:v>413.06888274647389</c:v>
                </c:pt>
                <c:pt idx="175">
                  <c:v>413.06888274647389</c:v>
                </c:pt>
                <c:pt idx="176">
                  <c:v>413.06888274647389</c:v>
                </c:pt>
                <c:pt idx="177">
                  <c:v>413.06888274647389</c:v>
                </c:pt>
                <c:pt idx="178">
                  <c:v>413.06888274647389</c:v>
                </c:pt>
                <c:pt idx="179">
                  <c:v>413.06888274647389</c:v>
                </c:pt>
                <c:pt idx="180">
                  <c:v>413.06888274647389</c:v>
                </c:pt>
                <c:pt idx="181">
                  <c:v>413.06888274647389</c:v>
                </c:pt>
                <c:pt idx="182">
                  <c:v>413.06888274647389</c:v>
                </c:pt>
                <c:pt idx="183">
                  <c:v>413.06888274647389</c:v>
                </c:pt>
                <c:pt idx="184">
                  <c:v>413.06888274647389</c:v>
                </c:pt>
                <c:pt idx="185">
                  <c:v>413.06888274647389</c:v>
                </c:pt>
                <c:pt idx="186">
                  <c:v>413.06888274647389</c:v>
                </c:pt>
                <c:pt idx="187">
                  <c:v>413.06888274647389</c:v>
                </c:pt>
                <c:pt idx="188">
                  <c:v>413.06888274647389</c:v>
                </c:pt>
                <c:pt idx="189">
                  <c:v>413.06888274647389</c:v>
                </c:pt>
                <c:pt idx="190">
                  <c:v>413.06888274647389</c:v>
                </c:pt>
                <c:pt idx="191">
                  <c:v>413.06888274647389</c:v>
                </c:pt>
                <c:pt idx="192">
                  <c:v>413.06888274647389</c:v>
                </c:pt>
                <c:pt idx="193">
                  <c:v>413.06888274647389</c:v>
                </c:pt>
                <c:pt idx="194">
                  <c:v>413.06888274647389</c:v>
                </c:pt>
                <c:pt idx="195">
                  <c:v>413.06888274647389</c:v>
                </c:pt>
                <c:pt idx="196">
                  <c:v>413.06888274647389</c:v>
                </c:pt>
                <c:pt idx="197">
                  <c:v>413.06888274647389</c:v>
                </c:pt>
                <c:pt idx="198">
                  <c:v>413.06888274647389</c:v>
                </c:pt>
                <c:pt idx="199">
                  <c:v>413.06888274647389</c:v>
                </c:pt>
                <c:pt idx="200">
                  <c:v>413.06888274647389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1.8763377409098443</c:v>
                </c:pt>
                <c:pt idx="2">
                  <c:v>2.422372176511109</c:v>
                </c:pt>
                <c:pt idx="3">
                  <c:v>3.1279540249702222</c:v>
                </c:pt>
                <c:pt idx="4">
                  <c:v>4.0398799711020787</c:v>
                </c:pt>
                <c:pt idx="5">
                  <c:v>5.2187215006547545</c:v>
                </c:pt>
                <c:pt idx="6">
                  <c:v>6.7428929571577996</c:v>
                </c:pt>
                <c:pt idx="7">
                  <c:v>8.7139246521141267</c:v>
                </c:pt>
                <c:pt idx="8">
                  <c:v>11.263298985621878</c:v>
                </c:pt>
                <c:pt idx="9">
                  <c:v>14.561314133329104</c:v>
                </c:pt>
                <c:pt idx="10">
                  <c:v>18.828578271979808</c:v>
                </c:pt>
                <c:pt idx="11">
                  <c:v>24.350917066164246</c:v>
                </c:pt>
                <c:pt idx="12">
                  <c:v>31.498710591288084</c:v>
                </c:pt>
                <c:pt idx="13">
                  <c:v>40.751979097748922</c:v>
                </c:pt>
                <c:pt idx="14">
                  <c:v>52.732930925010812</c:v>
                </c:pt>
                <c:pt idx="15">
                  <c:v>68.248197616337976</c:v>
                </c:pt>
                <c:pt idx="16">
                  <c:v>88.343646181836576</c:v>
                </c:pt>
                <c:pt idx="17">
                  <c:v>114.37552242732642</c:v>
                </c:pt>
                <c:pt idx="18">
                  <c:v>148.10280201651287</c:v>
                </c:pt>
                <c:pt idx="19">
                  <c:v>191.80708510654699</c:v>
                </c:pt>
                <c:pt idx="20">
                  <c:v>216.38548841484211</c:v>
                </c:pt>
                <c:pt idx="21">
                  <c:v>240.89965063717693</c:v>
                </c:pt>
                <c:pt idx="22">
                  <c:v>189.06276949960724</c:v>
                </c:pt>
                <c:pt idx="23">
                  <c:v>215.1706574179826</c:v>
                </c:pt>
                <c:pt idx="24">
                  <c:v>241.20559712875288</c:v>
                </c:pt>
                <c:pt idx="25">
                  <c:v>267.17656944643591</c:v>
                </c:pt>
                <c:pt idx="26">
                  <c:v>293.09066442485249</c:v>
                </c:pt>
                <c:pt idx="27">
                  <c:v>318.95361516283236</c:v>
                </c:pt>
                <c:pt idx="28">
                  <c:v>344.77014888445575</c:v>
                </c:pt>
                <c:pt idx="29">
                  <c:v>291.74213676931345</c:v>
                </c:pt>
                <c:pt idx="30">
                  <c:v>319.58044725555516</c:v>
                </c:pt>
                <c:pt idx="31">
                  <c:v>347.3650917815408</c:v>
                </c:pt>
                <c:pt idx="32">
                  <c:v>375.10096249415352</c:v>
                </c:pt>
                <c:pt idx="33">
                  <c:v>402.79216923187323</c:v>
                </c:pt>
                <c:pt idx="34">
                  <c:v>430.44221092604931</c:v>
                </c:pt>
                <c:pt idx="35">
                  <c:v>458.05410062543018</c:v>
                </c:pt>
                <c:pt idx="36">
                  <c:v>382.19155242819892</c:v>
                </c:pt>
                <c:pt idx="37">
                  <c:v>409.38098677427575</c:v>
                </c:pt>
                <c:pt idx="38">
                  <c:v>436.53143673000062</c:v>
                </c:pt>
                <c:pt idx="39">
                  <c:v>463.64566514390276</c:v>
                </c:pt>
                <c:pt idx="40">
                  <c:v>490.72608563222957</c:v>
                </c:pt>
                <c:pt idx="41">
                  <c:v>517.77482394809624</c:v>
                </c:pt>
                <c:pt idx="42">
                  <c:v>544.79376586036358</c:v>
                </c:pt>
                <c:pt idx="43">
                  <c:v>452.40853026305803</c:v>
                </c:pt>
                <c:pt idx="44">
                  <c:v>478.45132795137823</c:v>
                </c:pt>
                <c:pt idx="45">
                  <c:v>504.46399689412675</c:v>
                </c:pt>
                <c:pt idx="46">
                  <c:v>530.44830735295693</c:v>
                </c:pt>
                <c:pt idx="47">
                  <c:v>556.40584219092329</c:v>
                </c:pt>
                <c:pt idx="48">
                  <c:v>582.33802470216574</c:v>
                </c:pt>
                <c:pt idx="49">
                  <c:v>608.24614122919218</c:v>
                </c:pt>
                <c:pt idx="50">
                  <c:v>499.22927826979145</c:v>
                </c:pt>
                <c:pt idx="51">
                  <c:v>523.30463692122237</c:v>
                </c:pt>
                <c:pt idx="52">
                  <c:v>547.35666400169259</c:v>
                </c:pt>
                <c:pt idx="53">
                  <c:v>571.38652784876081</c:v>
                </c:pt>
                <c:pt idx="54">
                  <c:v>595.39529062052509</c:v>
                </c:pt>
                <c:pt idx="55">
                  <c:v>619.3839219233638</c:v>
                </c:pt>
                <c:pt idx="56">
                  <c:v>643.35331022019761</c:v>
                </c:pt>
                <c:pt idx="57">
                  <c:v>553.74255670149489</c:v>
                </c:pt>
                <c:pt idx="58">
                  <c:v>575.71266875977381</c:v>
                </c:pt>
                <c:pt idx="59">
                  <c:v>597.66528756974321</c:v>
                </c:pt>
                <c:pt idx="60">
                  <c:v>619.60114542970234</c:v>
                </c:pt>
                <c:pt idx="61">
                  <c:v>641.5209186124597</c:v>
                </c:pt>
                <c:pt idx="62">
                  <c:v>663.42523345788516</c:v>
                </c:pt>
                <c:pt idx="63">
                  <c:v>685.31467161968328</c:v>
                </c:pt>
                <c:pt idx="64">
                  <c:v>587.74135630698083</c:v>
                </c:pt>
                <c:pt idx="65">
                  <c:v>607.40217294743786</c:v>
                </c:pt>
                <c:pt idx="66">
                  <c:v>627.04978212777098</c:v>
                </c:pt>
                <c:pt idx="67">
                  <c:v>646.6846555615416</c:v>
                </c:pt>
                <c:pt idx="68">
                  <c:v>666.30723400918055</c:v>
                </c:pt>
                <c:pt idx="69">
                  <c:v>685.91793017925022</c:v>
                </c:pt>
                <c:pt idx="70">
                  <c:v>705.51713128095264</c:v>
                </c:pt>
                <c:pt idx="71">
                  <c:v>1.1730586935990679</c:v>
                </c:pt>
                <c:pt idx="72">
                  <c:v>1.1730586935990679</c:v>
                </c:pt>
                <c:pt idx="73">
                  <c:v>1.1730586935990679</c:v>
                </c:pt>
                <c:pt idx="74">
                  <c:v>1.1730586935990679</c:v>
                </c:pt>
                <c:pt idx="75">
                  <c:v>1.1730586935990679</c:v>
                </c:pt>
                <c:pt idx="76">
                  <c:v>1.1730586935990679</c:v>
                </c:pt>
                <c:pt idx="77">
                  <c:v>1.1730586935990679</c:v>
                </c:pt>
                <c:pt idx="78">
                  <c:v>1.1730586935990679</c:v>
                </c:pt>
                <c:pt idx="79">
                  <c:v>1.1730586935990679</c:v>
                </c:pt>
                <c:pt idx="80">
                  <c:v>1.1730586935990679</c:v>
                </c:pt>
                <c:pt idx="81">
                  <c:v>1.1730586935990679</c:v>
                </c:pt>
                <c:pt idx="82">
                  <c:v>1.1730586935990679</c:v>
                </c:pt>
                <c:pt idx="83">
                  <c:v>1.1730586935990679</c:v>
                </c:pt>
                <c:pt idx="84">
                  <c:v>1.1730586935990679</c:v>
                </c:pt>
                <c:pt idx="85">
                  <c:v>1.1730586935990679</c:v>
                </c:pt>
                <c:pt idx="86">
                  <c:v>1.1730586935990679</c:v>
                </c:pt>
                <c:pt idx="87">
                  <c:v>1.1730586935990679</c:v>
                </c:pt>
                <c:pt idx="88">
                  <c:v>1.1730586935990679</c:v>
                </c:pt>
                <c:pt idx="89">
                  <c:v>1.1730586935990679</c:v>
                </c:pt>
                <c:pt idx="90">
                  <c:v>1.1730586935990679</c:v>
                </c:pt>
                <c:pt idx="91">
                  <c:v>1.1730586935990679</c:v>
                </c:pt>
                <c:pt idx="92">
                  <c:v>1.1730586935990679</c:v>
                </c:pt>
                <c:pt idx="93">
                  <c:v>1.1730586935990679</c:v>
                </c:pt>
                <c:pt idx="94">
                  <c:v>1.1730586935990679</c:v>
                </c:pt>
                <c:pt idx="95">
                  <c:v>1.1730586935990679</c:v>
                </c:pt>
                <c:pt idx="96">
                  <c:v>1.1730586935990679</c:v>
                </c:pt>
                <c:pt idx="97">
                  <c:v>1.1730586935990679</c:v>
                </c:pt>
                <c:pt idx="98">
                  <c:v>1.1730586935990679</c:v>
                </c:pt>
                <c:pt idx="99">
                  <c:v>1.1730586935990679</c:v>
                </c:pt>
                <c:pt idx="100">
                  <c:v>1.1730586935990679</c:v>
                </c:pt>
                <c:pt idx="101">
                  <c:v>1.1730586935990679</c:v>
                </c:pt>
                <c:pt idx="102">
                  <c:v>1.1730586935990679</c:v>
                </c:pt>
                <c:pt idx="103">
                  <c:v>1.1730586935990679</c:v>
                </c:pt>
                <c:pt idx="104">
                  <c:v>1.1730586935990679</c:v>
                </c:pt>
                <c:pt idx="105">
                  <c:v>1.1730586935990679</c:v>
                </c:pt>
                <c:pt idx="106">
                  <c:v>1.1730586935990679</c:v>
                </c:pt>
                <c:pt idx="107">
                  <c:v>1.1730586935990679</c:v>
                </c:pt>
                <c:pt idx="108">
                  <c:v>1.1730586935990679</c:v>
                </c:pt>
                <c:pt idx="109">
                  <c:v>1.1730586935990679</c:v>
                </c:pt>
                <c:pt idx="110">
                  <c:v>1.1730586935990679</c:v>
                </c:pt>
                <c:pt idx="111">
                  <c:v>1.1730586935990679</c:v>
                </c:pt>
                <c:pt idx="112">
                  <c:v>1.1730586935990679</c:v>
                </c:pt>
                <c:pt idx="113">
                  <c:v>1.1730586935990679</c:v>
                </c:pt>
                <c:pt idx="114">
                  <c:v>1.1730586935990679</c:v>
                </c:pt>
                <c:pt idx="115">
                  <c:v>1.1730586935990679</c:v>
                </c:pt>
                <c:pt idx="116">
                  <c:v>1.1730586935990679</c:v>
                </c:pt>
                <c:pt idx="117">
                  <c:v>1.1730586935990679</c:v>
                </c:pt>
                <c:pt idx="118">
                  <c:v>1.1730586935990679</c:v>
                </c:pt>
                <c:pt idx="119">
                  <c:v>1.1730586935990679</c:v>
                </c:pt>
                <c:pt idx="120">
                  <c:v>1.1730586935990679</c:v>
                </c:pt>
                <c:pt idx="121">
                  <c:v>1.1730586935990679</c:v>
                </c:pt>
                <c:pt idx="122">
                  <c:v>1.1730586935990679</c:v>
                </c:pt>
                <c:pt idx="123">
                  <c:v>1.1730586935990679</c:v>
                </c:pt>
                <c:pt idx="124">
                  <c:v>1.1730586935990679</c:v>
                </c:pt>
                <c:pt idx="125">
                  <c:v>1.1730586935990679</c:v>
                </c:pt>
                <c:pt idx="126">
                  <c:v>1.1730586935990679</c:v>
                </c:pt>
                <c:pt idx="127">
                  <c:v>1.1730586935990679</c:v>
                </c:pt>
                <c:pt idx="128">
                  <c:v>1.1730586935990679</c:v>
                </c:pt>
                <c:pt idx="129">
                  <c:v>1.1730586935990679</c:v>
                </c:pt>
                <c:pt idx="130">
                  <c:v>1.1730586935990679</c:v>
                </c:pt>
                <c:pt idx="131">
                  <c:v>1.1730586935990679</c:v>
                </c:pt>
                <c:pt idx="132">
                  <c:v>1.1730586935990679</c:v>
                </c:pt>
                <c:pt idx="133">
                  <c:v>1.1730586935990679</c:v>
                </c:pt>
                <c:pt idx="134">
                  <c:v>1.1730586935990679</c:v>
                </c:pt>
                <c:pt idx="135">
                  <c:v>1.1730586935990679</c:v>
                </c:pt>
                <c:pt idx="136">
                  <c:v>1.1730586935990679</c:v>
                </c:pt>
                <c:pt idx="137">
                  <c:v>1.1730586935990679</c:v>
                </c:pt>
                <c:pt idx="138">
                  <c:v>1.1730586935990679</c:v>
                </c:pt>
                <c:pt idx="139">
                  <c:v>1.1730586935990679</c:v>
                </c:pt>
                <c:pt idx="140">
                  <c:v>1.1730586935990679</c:v>
                </c:pt>
                <c:pt idx="141">
                  <c:v>1.1730586935990679</c:v>
                </c:pt>
                <c:pt idx="142">
                  <c:v>1.1730586935990679</c:v>
                </c:pt>
                <c:pt idx="143">
                  <c:v>1.1730586935990679</c:v>
                </c:pt>
                <c:pt idx="144">
                  <c:v>1.1730586935990679</c:v>
                </c:pt>
                <c:pt idx="145">
                  <c:v>1.1730586935990679</c:v>
                </c:pt>
                <c:pt idx="146">
                  <c:v>1.1730586935990679</c:v>
                </c:pt>
                <c:pt idx="147">
                  <c:v>1.1730586935990679</c:v>
                </c:pt>
                <c:pt idx="148">
                  <c:v>1.1730586935990679</c:v>
                </c:pt>
                <c:pt idx="149">
                  <c:v>1.1730586935990679</c:v>
                </c:pt>
                <c:pt idx="150">
                  <c:v>1.1730586935990679</c:v>
                </c:pt>
                <c:pt idx="151">
                  <c:v>1.1730586935990679</c:v>
                </c:pt>
                <c:pt idx="152">
                  <c:v>1.1730586935990679</c:v>
                </c:pt>
                <c:pt idx="153">
                  <c:v>1.1730586935990679</c:v>
                </c:pt>
                <c:pt idx="154">
                  <c:v>1.1730586935990679</c:v>
                </c:pt>
                <c:pt idx="155">
                  <c:v>1.1730586935990679</c:v>
                </c:pt>
                <c:pt idx="156">
                  <c:v>1.1730586935990679</c:v>
                </c:pt>
                <c:pt idx="157">
                  <c:v>1.1730586935990679</c:v>
                </c:pt>
                <c:pt idx="158">
                  <c:v>1.1730586935990679</c:v>
                </c:pt>
                <c:pt idx="159">
                  <c:v>1.1730586935990679</c:v>
                </c:pt>
                <c:pt idx="160">
                  <c:v>1.1730586935990679</c:v>
                </c:pt>
                <c:pt idx="161">
                  <c:v>1.1730586935990679</c:v>
                </c:pt>
                <c:pt idx="162">
                  <c:v>1.1730586935990679</c:v>
                </c:pt>
                <c:pt idx="163">
                  <c:v>1.1730586935990679</c:v>
                </c:pt>
                <c:pt idx="164">
                  <c:v>1.1730586935990679</c:v>
                </c:pt>
                <c:pt idx="165">
                  <c:v>1.1730586935990679</c:v>
                </c:pt>
                <c:pt idx="166">
                  <c:v>1.1730586935990679</c:v>
                </c:pt>
                <c:pt idx="167">
                  <c:v>1.1730586935990679</c:v>
                </c:pt>
                <c:pt idx="168">
                  <c:v>1.1730586935990679</c:v>
                </c:pt>
                <c:pt idx="169">
                  <c:v>1.1730586935990679</c:v>
                </c:pt>
                <c:pt idx="170">
                  <c:v>1.1730586935990679</c:v>
                </c:pt>
                <c:pt idx="171">
                  <c:v>1.1730586935990679</c:v>
                </c:pt>
                <c:pt idx="172">
                  <c:v>1.1730586935990679</c:v>
                </c:pt>
                <c:pt idx="173">
                  <c:v>1.1730586935990679</c:v>
                </c:pt>
                <c:pt idx="174">
                  <c:v>1.1730586935990679</c:v>
                </c:pt>
                <c:pt idx="175">
                  <c:v>1.1730586935990679</c:v>
                </c:pt>
                <c:pt idx="176">
                  <c:v>1.1730586935990679</c:v>
                </c:pt>
                <c:pt idx="177">
                  <c:v>1.1730586935990679</c:v>
                </c:pt>
                <c:pt idx="178">
                  <c:v>1.1730586935990679</c:v>
                </c:pt>
                <c:pt idx="179">
                  <c:v>1.1730586935990679</c:v>
                </c:pt>
                <c:pt idx="180">
                  <c:v>1.1730586935990679</c:v>
                </c:pt>
                <c:pt idx="181">
                  <c:v>1.1730586935990679</c:v>
                </c:pt>
                <c:pt idx="182">
                  <c:v>1.1730586935990679</c:v>
                </c:pt>
                <c:pt idx="183">
                  <c:v>1.1730586935990679</c:v>
                </c:pt>
                <c:pt idx="184">
                  <c:v>1.1730586935990679</c:v>
                </c:pt>
                <c:pt idx="185">
                  <c:v>1.1730586935990679</c:v>
                </c:pt>
                <c:pt idx="186">
                  <c:v>1.1730586935990679</c:v>
                </c:pt>
                <c:pt idx="187">
                  <c:v>1.1730586935990679</c:v>
                </c:pt>
                <c:pt idx="188">
                  <c:v>1.1730586935990679</c:v>
                </c:pt>
                <c:pt idx="189">
                  <c:v>1.1730586935990679</c:v>
                </c:pt>
                <c:pt idx="190">
                  <c:v>1.1730586935990679</c:v>
                </c:pt>
                <c:pt idx="191">
                  <c:v>1.1730586935990679</c:v>
                </c:pt>
                <c:pt idx="192">
                  <c:v>1.1730586935990679</c:v>
                </c:pt>
                <c:pt idx="193">
                  <c:v>1.1730586935990679</c:v>
                </c:pt>
                <c:pt idx="194">
                  <c:v>1.1730586935990679</c:v>
                </c:pt>
                <c:pt idx="195">
                  <c:v>1.1730586935990679</c:v>
                </c:pt>
                <c:pt idx="196">
                  <c:v>1.1730586935990679</c:v>
                </c:pt>
                <c:pt idx="197">
                  <c:v>1.1730586935990679</c:v>
                </c:pt>
                <c:pt idx="198">
                  <c:v>1.1730586935990679</c:v>
                </c:pt>
                <c:pt idx="199">
                  <c:v>1.1730586935990679</c:v>
                </c:pt>
                <c:pt idx="200">
                  <c:v>1.1730586935990679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E51" sqref="E5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5.9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35</v>
      </c>
      <c r="C9" s="264">
        <v>0.2236024845</v>
      </c>
      <c r="D9" s="33">
        <f t="shared" ref="D9:D18" si="0">C9*$C$5</f>
        <v>1.31925465855</v>
      </c>
      <c r="E9" s="265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27</v>
      </c>
      <c r="C10" s="264">
        <v>0.26086956519999999</v>
      </c>
      <c r="D10" s="33">
        <f t="shared" si="0"/>
        <v>1.5391304346800001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18</v>
      </c>
      <c r="C11" s="264">
        <v>0.51552795029999998</v>
      </c>
      <c r="D11" s="33">
        <f t="shared" si="0"/>
        <v>3.04161490677</v>
      </c>
      <c r="E11" s="265">
        <v>70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5.9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laricio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110</v>
      </c>
      <c r="C36" s="259">
        <v>1</v>
      </c>
      <c r="D36" s="259">
        <v>14</v>
      </c>
      <c r="E36" s="260"/>
      <c r="F36" s="260"/>
      <c r="G36" s="260">
        <v>1</v>
      </c>
      <c r="H36" s="260"/>
      <c r="I36" s="49">
        <f>IFERROR(B36/A36,"")</f>
        <v>7.333333333333333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203</v>
      </c>
      <c r="C37" s="259">
        <v>2</v>
      </c>
      <c r="D37" s="259">
        <v>63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21.4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254</v>
      </c>
      <c r="C38" s="259">
        <v>3</v>
      </c>
      <c r="D38" s="259">
        <v>63</v>
      </c>
      <c r="E38" s="260"/>
      <c r="F38" s="260">
        <v>1</v>
      </c>
      <c r="G38" s="260"/>
      <c r="H38" s="260"/>
      <c r="I38" s="53">
        <f t="shared" si="1"/>
        <v>22.8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311</v>
      </c>
      <c r="C39" s="259">
        <v>4</v>
      </c>
      <c r="D39" s="259">
        <v>63</v>
      </c>
      <c r="E39" s="260"/>
      <c r="F39" s="260">
        <v>1</v>
      </c>
      <c r="G39" s="260"/>
      <c r="H39" s="260"/>
      <c r="I39" s="49">
        <f t="shared" si="1"/>
        <v>24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369</v>
      </c>
      <c r="C40" s="259">
        <v>5</v>
      </c>
      <c r="D40" s="259">
        <v>63</v>
      </c>
      <c r="E40" s="260">
        <v>1</v>
      </c>
      <c r="F40" s="260"/>
      <c r="G40" s="260"/>
      <c r="H40" s="260"/>
      <c r="I40" s="49">
        <f t="shared" si="1"/>
        <v>24.2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424</v>
      </c>
      <c r="C41" s="259">
        <v>6</v>
      </c>
      <c r="D41" s="259">
        <v>63</v>
      </c>
      <c r="E41" s="260">
        <v>1</v>
      </c>
      <c r="F41" s="260"/>
      <c r="G41" s="260"/>
      <c r="H41" s="260"/>
      <c r="I41" s="53">
        <f t="shared" si="1"/>
        <v>23.6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469</v>
      </c>
      <c r="C42" s="259">
        <v>7</v>
      </c>
      <c r="D42" s="259">
        <v>60</v>
      </c>
      <c r="E42" s="260">
        <v>1</v>
      </c>
      <c r="F42" s="260"/>
      <c r="G42" s="260"/>
      <c r="H42" s="260"/>
      <c r="I42" s="53">
        <f t="shared" si="1"/>
        <v>21.6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509</v>
      </c>
      <c r="C43" s="259">
        <v>8</v>
      </c>
      <c r="D43" s="259">
        <v>53</v>
      </c>
      <c r="E43" s="260">
        <v>1</v>
      </c>
      <c r="F43" s="260"/>
      <c r="G43" s="260"/>
      <c r="H43" s="260"/>
      <c r="I43" s="49">
        <f t="shared" si="1"/>
        <v>20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548</v>
      </c>
      <c r="C44" s="259">
        <v>9</v>
      </c>
      <c r="D44" s="259">
        <v>45</v>
      </c>
      <c r="E44" s="260">
        <v>1</v>
      </c>
      <c r="F44" s="260"/>
      <c r="G44" s="260"/>
      <c r="H44" s="260"/>
      <c r="I44" s="49">
        <f t="shared" si="1"/>
        <v>18.399999999999999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588</v>
      </c>
      <c r="C45" s="259">
        <v>10</v>
      </c>
      <c r="D45" s="261">
        <v>39</v>
      </c>
      <c r="E45" s="260">
        <v>1</v>
      </c>
      <c r="F45" s="260"/>
      <c r="G45" s="260"/>
      <c r="H45" s="260"/>
      <c r="I45" s="49">
        <f t="shared" si="1"/>
        <v>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627</v>
      </c>
      <c r="C46" s="259">
        <v>11</v>
      </c>
      <c r="D46" s="262">
        <v>34</v>
      </c>
      <c r="E46" s="260">
        <v>1</v>
      </c>
      <c r="F46" s="260"/>
      <c r="G46" s="260"/>
      <c r="H46" s="260"/>
      <c r="I46" s="49">
        <f t="shared" si="1"/>
        <v>15.6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662</v>
      </c>
      <c r="C47" s="259">
        <v>12</v>
      </c>
      <c r="D47" s="261">
        <v>31</v>
      </c>
      <c r="E47" s="260">
        <v>1</v>
      </c>
      <c r="F47" s="260"/>
      <c r="G47" s="260"/>
      <c r="H47" s="260"/>
      <c r="I47" s="49">
        <f t="shared" si="1"/>
        <v>13.8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75</v>
      </c>
      <c r="B48" s="261">
        <v>693</v>
      </c>
      <c r="C48" s="259">
        <v>13</v>
      </c>
      <c r="D48" s="261">
        <v>30</v>
      </c>
      <c r="E48" s="260">
        <v>1</v>
      </c>
      <c r="F48" s="260"/>
      <c r="G48" s="260"/>
      <c r="H48" s="260"/>
      <c r="I48" s="49">
        <f t="shared" si="1"/>
        <v>12.4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80</v>
      </c>
      <c r="B49" s="261">
        <v>718</v>
      </c>
      <c r="C49" s="259">
        <v>14</v>
      </c>
      <c r="D49" s="261">
        <v>29</v>
      </c>
      <c r="E49" s="260">
        <v>1</v>
      </c>
      <c r="F49" s="260"/>
      <c r="G49" s="260"/>
      <c r="H49" s="260"/>
      <c r="I49" s="49">
        <f t="shared" si="1"/>
        <v>11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d'Europe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18</v>
      </c>
      <c r="B62" s="261">
        <v>112</v>
      </c>
      <c r="C62" s="261">
        <v>1</v>
      </c>
      <c r="D62" s="261">
        <v>20</v>
      </c>
      <c r="E62" s="260"/>
      <c r="F62" s="260"/>
      <c r="G62" s="260">
        <v>1</v>
      </c>
      <c r="H62" s="260"/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21</v>
      </c>
      <c r="B63" s="261">
        <v>146</v>
      </c>
      <c r="C63" s="261">
        <v>2</v>
      </c>
      <c r="D63" s="261">
        <v>26</v>
      </c>
      <c r="E63" s="260"/>
      <c r="F63" s="260">
        <v>1</v>
      </c>
      <c r="G63" s="260"/>
      <c r="H63" s="260"/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24</v>
      </c>
      <c r="B64" s="261">
        <v>168</v>
      </c>
      <c r="C64" s="261">
        <v>3</v>
      </c>
      <c r="D64" s="261">
        <v>29</v>
      </c>
      <c r="E64" s="260"/>
      <c r="F64" s="260">
        <v>1</v>
      </c>
      <c r="G64" s="260"/>
      <c r="H64" s="260"/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224</v>
      </c>
      <c r="C65" s="261">
        <v>4</v>
      </c>
      <c r="D65" s="261">
        <v>53</v>
      </c>
      <c r="E65" s="260"/>
      <c r="F65" s="260">
        <v>1</v>
      </c>
      <c r="G65" s="260"/>
      <c r="H65" s="260"/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36</v>
      </c>
      <c r="B66" s="261">
        <v>248</v>
      </c>
      <c r="C66" s="261">
        <v>5</v>
      </c>
      <c r="D66" s="261">
        <v>62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42</v>
      </c>
      <c r="B67" s="261">
        <v>255</v>
      </c>
      <c r="C67" s="261">
        <v>6</v>
      </c>
      <c r="D67" s="261">
        <v>67</v>
      </c>
      <c r="E67" s="260">
        <v>1</v>
      </c>
      <c r="F67" s="260"/>
      <c r="G67" s="260"/>
      <c r="H67" s="260"/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48</v>
      </c>
      <c r="B68" s="261">
        <v>252</v>
      </c>
      <c r="C68" s="261">
        <v>7</v>
      </c>
      <c r="D68" s="261">
        <v>65</v>
      </c>
      <c r="E68" s="260">
        <v>1</v>
      </c>
      <c r="F68" s="260"/>
      <c r="G68" s="260"/>
      <c r="H68" s="260"/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60</v>
      </c>
      <c r="B69" s="261">
        <v>304</v>
      </c>
      <c r="C69" s="261"/>
      <c r="D69" s="261"/>
      <c r="E69" s="260"/>
      <c r="F69" s="260"/>
      <c r="G69" s="260"/>
      <c r="H69" s="260"/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Douglas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19</v>
      </c>
      <c r="B88" s="261">
        <v>154.61000000000001</v>
      </c>
      <c r="C88" s="261"/>
      <c r="D88" s="261"/>
      <c r="E88" s="260"/>
      <c r="F88" s="260"/>
      <c r="G88" s="260"/>
      <c r="H88" s="260"/>
      <c r="I88" s="53">
        <f>IFERROR(B88/A88,"")</f>
        <v>8.1373684210526331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21</v>
      </c>
      <c r="B89" s="261">
        <v>195.31</v>
      </c>
      <c r="C89" s="261">
        <v>1</v>
      </c>
      <c r="D89" s="261">
        <v>64.58</v>
      </c>
      <c r="E89" s="260"/>
      <c r="F89" s="260"/>
      <c r="G89" s="260">
        <v>1</v>
      </c>
      <c r="H89" s="260"/>
      <c r="I89" s="53">
        <f t="shared" ref="I89:I107" si="3">IF(A89&lt;&gt;0,(B89-(B88-D88))/(A89-A88),"")</f>
        <v>20.349999999999994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28</v>
      </c>
      <c r="B90" s="261">
        <v>282.01</v>
      </c>
      <c r="C90" s="261">
        <v>2</v>
      </c>
      <c r="D90" s="261">
        <v>67.61</v>
      </c>
      <c r="E90" s="260"/>
      <c r="F90" s="260">
        <v>1</v>
      </c>
      <c r="G90" s="260"/>
      <c r="H90" s="260"/>
      <c r="I90" s="53">
        <f t="shared" si="3"/>
        <v>21.611428571428569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35</v>
      </c>
      <c r="B91" s="261">
        <v>377.23</v>
      </c>
      <c r="C91" s="261">
        <v>3</v>
      </c>
      <c r="D91" s="261">
        <v>86.68</v>
      </c>
      <c r="E91" s="260">
        <v>1</v>
      </c>
      <c r="F91" s="260"/>
      <c r="G91" s="260"/>
      <c r="H91" s="260"/>
      <c r="I91" s="53">
        <f t="shared" si="3"/>
        <v>23.261428571428578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42</v>
      </c>
      <c r="B92" s="261">
        <v>450.49</v>
      </c>
      <c r="C92" s="261">
        <v>4</v>
      </c>
      <c r="D92" s="261">
        <v>99.98</v>
      </c>
      <c r="E92" s="260">
        <v>1</v>
      </c>
      <c r="F92" s="260"/>
      <c r="G92" s="260"/>
      <c r="H92" s="260"/>
      <c r="I92" s="53">
        <f t="shared" si="3"/>
        <v>22.848571428571429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49</v>
      </c>
      <c r="B93" s="261">
        <v>504.24</v>
      </c>
      <c r="C93" s="261">
        <v>5</v>
      </c>
      <c r="D93" s="261">
        <v>112.61</v>
      </c>
      <c r="E93" s="260">
        <v>1</v>
      </c>
      <c r="F93" s="260"/>
      <c r="G93" s="260"/>
      <c r="H93" s="260"/>
      <c r="I93" s="53">
        <f t="shared" si="3"/>
        <v>21.961428571428574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56</v>
      </c>
      <c r="B94" s="261">
        <v>534.03</v>
      </c>
      <c r="C94" s="261">
        <v>6</v>
      </c>
      <c r="D94" s="261">
        <v>94.57</v>
      </c>
      <c r="E94" s="260">
        <v>1</v>
      </c>
      <c r="F94" s="260"/>
      <c r="G94" s="260"/>
      <c r="H94" s="260"/>
      <c r="I94" s="53">
        <f t="shared" si="3"/>
        <v>20.342857142857138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63</v>
      </c>
      <c r="B95" s="261">
        <v>569.67999999999995</v>
      </c>
      <c r="C95" s="261">
        <v>7</v>
      </c>
      <c r="D95" s="261">
        <v>99.49</v>
      </c>
      <c r="E95" s="260">
        <v>1</v>
      </c>
      <c r="F95" s="260"/>
      <c r="G95" s="260"/>
      <c r="H95" s="260"/>
      <c r="I95" s="53">
        <f t="shared" si="3"/>
        <v>18.60285714285714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70</v>
      </c>
      <c r="B96" s="261">
        <v>586.86</v>
      </c>
      <c r="C96" s="261">
        <v>8</v>
      </c>
      <c r="D96" s="261">
        <v>586.05999999999995</v>
      </c>
      <c r="E96" s="260">
        <v>1</v>
      </c>
      <c r="F96" s="260"/>
      <c r="G96" s="260"/>
      <c r="H96" s="260"/>
      <c r="I96" s="53">
        <f t="shared" si="3"/>
        <v>16.667142857142867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laricio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Mélèze d'Europe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Douglas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430.93760474982633</v>
      </c>
      <c r="T3" s="59">
        <f>IF('Données projet'!E9&gt;30,$R$33-$H$33,LOOKUP('Données projet'!$E$9,$A$3:$A$203,R3:R203)-LOOKUP('Données projet'!$E$9,$A$3:$A$203,$H$3:$H$203))</f>
        <v>371.5387876502981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179.44051550872138</v>
      </c>
      <c r="AO3" s="59">
        <f>IF('Données projet'!E10&gt;30,$AM$33-$H$33,LOOKUP('Données projet'!$E$10,$A$3:$A$203,AM3:AM203)-LOOKUP('Données projet'!$E$10,$A$3:$A$203,$H$3:$H$203))</f>
        <v>272.9500808380069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321.85808080442411</v>
      </c>
      <c r="BJ3" s="59">
        <f>IF('Données projet'!E11&gt;30,$BH$33-$H$33,LOOKUP('Données projet'!$E$11,$A$3:$A$203,BH3:BH203)-LOOKUP('Données projet'!$E$11,$A$3:$A$203,$H$3:$H$203))</f>
        <v>285.95942591879702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7.333333333333333</v>
      </c>
      <c r="N4" s="13">
        <f>IF('Données projet'!$A$36&gt;35,N3+M4-V3,IF(A4&lt;'Données projet'!$A$36,$K$205^A4,IF(A4='Données projet'!$A$36,'Données projet'!$B$36,N3+M4-V3)))</f>
        <v>1.3680212568593273</v>
      </c>
      <c r="O4" s="13">
        <f>N4*VLOOKUP('Données projet'!$B$9,Paramètres!$A$1:$I$89,3,0)*VLOOKUP('Données projet'!$B$9,Paramètres!$A$1:$I$89,5,0)</f>
        <v>0.81807671160187789</v>
      </c>
      <c r="P4" s="13">
        <f>EXP(-1.0587+0.8836*LN(O4)+0.284)</f>
        <v>0.38591962976646654</v>
      </c>
      <c r="Q4" s="20">
        <f t="shared" ref="Q4:Q34" si="2">(O4+P4)*0.475*44/12</f>
        <v>2.0969602945498664</v>
      </c>
      <c r="R4" s="59">
        <f t="shared" si="0"/>
        <v>295.4302936278832</v>
      </c>
      <c r="S4" s="59">
        <f ca="1">AVERAGE(OFFSET($R$3,0,0,'Données projet'!$E$9+1,1))-AVERAGE(OFFSET($H$3,0,0,'Données projet'!$E$9+1,1))</f>
        <v>430.93760474982633</v>
      </c>
      <c r="T4" s="59">
        <f>$T$3</f>
        <v>371.5387876502981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179.44051550872138</v>
      </c>
      <c r="AO4" s="59">
        <f>$AO$3</f>
        <v>272.9500808380069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8.1373684210526331</v>
      </c>
      <c r="BD4" s="12">
        <f>IF('Données projet'!$A$88&gt;35,BD3+BC4-BL3,IF(A4&lt;'Données projet'!$A$88,$BA$205^A4,IF(A4='Données projet'!$A$88,'Données projet'!$B$88,BD3+BC4-BL3)))</f>
        <v>1.3038361874339111</v>
      </c>
      <c r="BE4" s="13">
        <f>BD4*VLOOKUP('Données projet'!$B$11,Paramètres!$A$1:$I$89,3,0)*VLOOKUP('Données projet'!$B$11,Paramètres!$A$1:$I$89,5,0)</f>
        <v>0.72884442877555633</v>
      </c>
      <c r="BF4" s="13">
        <f>EXP(-1.0587+0.8836*LN(BE4)+0.284)</f>
        <v>0.34847867605306254</v>
      </c>
      <c r="BG4" s="20">
        <f t="shared" ref="BG4:BG67" si="7">(BE4+BF4)*0.475*44/12</f>
        <v>1.8763377409098443</v>
      </c>
      <c r="BH4" s="59">
        <f t="shared" ref="BH4:BH67" si="8">BG4+(AY4+AZ4)*44/12</f>
        <v>295.20967107424315</v>
      </c>
      <c r="BI4" s="59">
        <f ca="1">AVERAGE(OFFSET($BH$3,0,0,'Données projet'!$E$11+1,1))-AVERAGE(OFFSET($H$3,0,0,'Données projet'!$E$11+1,1))</f>
        <v>321.85808080442411</v>
      </c>
      <c r="BJ4" s="59">
        <f>$BJ$3</f>
        <v>285.95942591879702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7.333333333333333</v>
      </c>
      <c r="N5" s="13">
        <f>IF('Données projet'!$A$36&gt;35,N4+M5-V4,IF(A5&lt;'Données projet'!$A$36,$K$205^A5,IF(A5='Données projet'!$A$36,'Données projet'!$B$36,N4+M5-V4)))</f>
        <v>1.8714821592189737</v>
      </c>
      <c r="O5" s="13">
        <f>N5*VLOOKUP('Données projet'!$B$9,Paramètres!$A$1:$I$89,3,0)*VLOOKUP('Données projet'!$B$9,Paramètres!$A$1:$I$89,5,0)</f>
        <v>1.1191463312129464</v>
      </c>
      <c r="P5" s="13">
        <f t="shared" ref="P5:P68" si="33">EXP(-1.0587+0.8836*LN(O5)+0.284)</f>
        <v>0.50903601214619809</v>
      </c>
      <c r="Q5" s="20">
        <f t="shared" si="2"/>
        <v>2.8357509146838429</v>
      </c>
      <c r="R5" s="59">
        <f t="shared" si="0"/>
        <v>296.16908424801716</v>
      </c>
      <c r="S5" s="59">
        <f ca="1">AVERAGE(OFFSET($R$3,0,0,'Données projet'!$E$9+1,1))-AVERAGE(OFFSET($H$3,0,0,'Données projet'!$E$9+1,1))</f>
        <v>430.93760474982633</v>
      </c>
      <c r="T5" s="59">
        <f t="shared" ref="T5:T68" si="34">$T$3</f>
        <v>371.5387876502981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179.44051550872138</v>
      </c>
      <c r="AO5" s="59">
        <f t="shared" ref="AO5:AO68" si="36">$AO$3</f>
        <v>272.9500808380069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8.1373684210526331</v>
      </c>
      <c r="BD5" s="12">
        <f>IF('Données projet'!$A$88&gt;35,BD4+BC5-BL4,IF(A5&lt;'Données projet'!$A$88,$BA$205^A5,IF(A5='Données projet'!$A$88,'Données projet'!$B$88,BD4+BC5-BL4)))</f>
        <v>1.6999888036621968</v>
      </c>
      <c r="BE5" s="13">
        <f>BD5*VLOOKUP('Données projet'!$B$11,Paramètres!$A$1:$I$89,3,0)*VLOOKUP('Données projet'!$B$11,Paramètres!$A$1:$I$89,5,0)</f>
        <v>0.95029374124716803</v>
      </c>
      <c r="BF5" s="13">
        <f t="shared" ref="BF5:BF68" si="37">EXP(-1.0587+0.8836*LN(BE5)+0.284)</f>
        <v>0.44054195818504782</v>
      </c>
      <c r="BG5" s="20">
        <f t="shared" si="7"/>
        <v>2.422372176511109</v>
      </c>
      <c r="BH5" s="59">
        <f t="shared" si="8"/>
        <v>295.7557055098444</v>
      </c>
      <c r="BI5" s="59">
        <f ca="1">AVERAGE(OFFSET($BH$3,0,0,'Données projet'!$E$11+1,1))-AVERAGE(OFFSET($H$3,0,0,'Données projet'!$E$11+1,1))</f>
        <v>321.85808080442411</v>
      </c>
      <c r="BJ5" s="59">
        <f t="shared" ref="BJ5:BJ68" si="38">$BJ$3</f>
        <v>285.95942591879702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7.333333333333333</v>
      </c>
      <c r="N6" s="13">
        <f>IF('Données projet'!$A$36&gt;35,N5+M6-V5,IF(A6&lt;'Données projet'!$A$36,$K$205^A6,IF(A6='Données projet'!$A$36,'Données projet'!$B$36,N5+M6-V5)))</f>
        <v>2.5602273756445482</v>
      </c>
      <c r="O6" s="13">
        <f>N6*VLOOKUP('Données projet'!$B$9,Paramètres!$A$1:$I$89,3,0)*VLOOKUP('Données projet'!$B$9,Paramètres!$A$1:$I$89,5,0)</f>
        <v>1.5310159706354398</v>
      </c>
      <c r="P6" s="13">
        <f t="shared" si="33"/>
        <v>0.67142907920622097</v>
      </c>
      <c r="Q6" s="20">
        <f t="shared" si="2"/>
        <v>3.8359251284742251</v>
      </c>
      <c r="R6" s="59">
        <f t="shared" si="0"/>
        <v>297.16925846180754</v>
      </c>
      <c r="S6" s="59">
        <f ca="1">AVERAGE(OFFSET($R$3,0,0,'Données projet'!$E$9+1,1))-AVERAGE(OFFSET($H$3,0,0,'Données projet'!$E$9+1,1))</f>
        <v>430.93760474982633</v>
      </c>
      <c r="T6" s="59">
        <f t="shared" si="34"/>
        <v>371.5387876502981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179.44051550872138</v>
      </c>
      <c r="AO6" s="59">
        <f t="shared" si="36"/>
        <v>272.9500808380069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8.1373684210526331</v>
      </c>
      <c r="BD6" s="12">
        <f>IF('Données projet'!$A$88&gt;35,BD5+BC6-BL5,IF(A6&lt;'Données projet'!$A$88,$BA$205^A6,IF(A6='Données projet'!$A$88,'Données projet'!$B$88,BD5+BC6-BL5)))</f>
        <v>2.2165069204472543</v>
      </c>
      <c r="BE6" s="13">
        <f>BD6*VLOOKUP('Données projet'!$B$11,Paramètres!$A$1:$I$89,3,0)*VLOOKUP('Données projet'!$B$11,Paramètres!$A$1:$I$89,5,0)</f>
        <v>1.2390273685300153</v>
      </c>
      <c r="BF6" s="13">
        <f t="shared" si="37"/>
        <v>0.55692709556771991</v>
      </c>
      <c r="BG6" s="20">
        <f t="shared" si="7"/>
        <v>3.1279540249702222</v>
      </c>
      <c r="BH6" s="59">
        <f t="shared" si="8"/>
        <v>296.46128735830354</v>
      </c>
      <c r="BI6" s="59">
        <f ca="1">AVERAGE(OFFSET($BH$3,0,0,'Données projet'!$E$11+1,1))-AVERAGE(OFFSET($H$3,0,0,'Données projet'!$E$11+1,1))</f>
        <v>321.85808080442411</v>
      </c>
      <c r="BJ6" s="59">
        <f t="shared" si="38"/>
        <v>285.95942591879702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7.333333333333333</v>
      </c>
      <c r="N7" s="13">
        <f>IF('Données projet'!$A$36&gt;35,N6+M7-V6,IF(A7&lt;'Données projet'!$A$36,$K$205^A7,IF(A7='Données projet'!$A$36,'Données projet'!$B$36,N6+M7-V6)))</f>
        <v>3.5024454722749119</v>
      </c>
      <c r="O7" s="13">
        <f>N7*VLOOKUP('Données projet'!$B$9,Paramètres!$A$1:$I$89,3,0)*VLOOKUP('Données projet'!$B$9,Paramètres!$A$1:$I$89,5,0)</f>
        <v>2.0944623924203976</v>
      </c>
      <c r="P7" s="13">
        <f t="shared" si="33"/>
        <v>0.88562890963839402</v>
      </c>
      <c r="Q7" s="20">
        <f t="shared" si="2"/>
        <v>5.1903256844190615</v>
      </c>
      <c r="R7" s="59">
        <f t="shared" si="0"/>
        <v>298.52365901775238</v>
      </c>
      <c r="S7" s="59">
        <f ca="1">AVERAGE(OFFSET($R$3,0,0,'Données projet'!$E$9+1,1))-AVERAGE(OFFSET($H$3,0,0,'Données projet'!$E$9+1,1))</f>
        <v>430.93760474982633</v>
      </c>
      <c r="T7" s="59">
        <f t="shared" si="34"/>
        <v>371.5387876502981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179.44051550872138</v>
      </c>
      <c r="AO7" s="59">
        <f t="shared" si="36"/>
        <v>272.9500808380069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8.1373684210526331</v>
      </c>
      <c r="BD7" s="12">
        <f>IF('Données projet'!$A$88&gt;35,BD6+BC7-BL6,IF(A7&lt;'Données projet'!$A$88,$BA$205^A7,IF(A7='Données projet'!$A$88,'Données projet'!$B$88,BD6+BC7-BL6)))</f>
        <v>2.8899619325768273</v>
      </c>
      <c r="BE7" s="13">
        <f>BD7*VLOOKUP('Données projet'!$B$11,Paramètres!$A$1:$I$89,3,0)*VLOOKUP('Données projet'!$B$11,Paramètres!$A$1:$I$89,5,0)</f>
        <v>1.6154887203104467</v>
      </c>
      <c r="BF7" s="13">
        <f t="shared" si="37"/>
        <v>0.70405958845629735</v>
      </c>
      <c r="BG7" s="20">
        <f t="shared" si="7"/>
        <v>4.0398799711020787</v>
      </c>
      <c r="BH7" s="59">
        <f t="shared" si="8"/>
        <v>297.37321330443541</v>
      </c>
      <c r="BI7" s="59">
        <f ca="1">AVERAGE(OFFSET($BH$3,0,0,'Données projet'!$E$11+1,1))-AVERAGE(OFFSET($H$3,0,0,'Données projet'!$E$11+1,1))</f>
        <v>321.85808080442411</v>
      </c>
      <c r="BJ7" s="59">
        <f t="shared" si="38"/>
        <v>285.95942591879702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7.333333333333333</v>
      </c>
      <c r="N8" s="13">
        <f>IF('Données projet'!$A$36&gt;35,N7+M8-V7,IF(A8&lt;'Données projet'!$A$36,$K$205^A8,IF(A8='Données projet'!$A$36,'Données projet'!$B$36,N7+M8-V7)))</f>
        <v>4.7914198570627855</v>
      </c>
      <c r="O8" s="13">
        <f>N8*VLOOKUP('Données projet'!$B$9,Paramètres!$A$1:$I$89,3,0)*VLOOKUP('Données projet'!$B$9,Paramètres!$A$1:$I$89,5,0)</f>
        <v>2.8652690745235461</v>
      </c>
      <c r="P8" s="13">
        <f t="shared" si="33"/>
        <v>1.1681629376471956</v>
      </c>
      <c r="Q8" s="20">
        <f t="shared" si="2"/>
        <v>7.024894087864042</v>
      </c>
      <c r="R8" s="59">
        <f t="shared" si="0"/>
        <v>300.35822742119734</v>
      </c>
      <c r="S8" s="59">
        <f ca="1">AVERAGE(OFFSET($R$3,0,0,'Données projet'!$E$9+1,1))-AVERAGE(OFFSET($H$3,0,0,'Données projet'!$E$9+1,1))</f>
        <v>430.93760474982633</v>
      </c>
      <c r="T8" s="59">
        <f t="shared" si="34"/>
        <v>371.5387876502981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179.44051550872138</v>
      </c>
      <c r="AO8" s="59">
        <f t="shared" si="36"/>
        <v>272.9500808380069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8.1373684210526331</v>
      </c>
      <c r="BD8" s="12">
        <f>IF('Données projet'!$A$88&gt;35,BD7+BC8-BL7,IF(A8&lt;'Données projet'!$A$88,$BA$205^A8,IF(A8='Données projet'!$A$88,'Données projet'!$B$88,BD7+BC8-BL7)))</f>
        <v>3.7680369480001081</v>
      </c>
      <c r="BE8" s="13">
        <f>BD8*VLOOKUP('Données projet'!$B$11,Paramètres!$A$1:$I$89,3,0)*VLOOKUP('Données projet'!$B$11,Paramètres!$A$1:$I$89,5,0)</f>
        <v>2.1063326539320606</v>
      </c>
      <c r="BF8" s="13">
        <f t="shared" si="37"/>
        <v>0.8900624660611004</v>
      </c>
      <c r="BG8" s="20">
        <f t="shared" si="7"/>
        <v>5.2187215006547545</v>
      </c>
      <c r="BH8" s="59">
        <f t="shared" si="8"/>
        <v>298.55205483398805</v>
      </c>
      <c r="BI8" s="59">
        <f ca="1">AVERAGE(OFFSET($BH$3,0,0,'Données projet'!$E$11+1,1))-AVERAGE(OFFSET($H$3,0,0,'Données projet'!$E$11+1,1))</f>
        <v>321.85808080442411</v>
      </c>
      <c r="BJ8" s="59">
        <f t="shared" si="38"/>
        <v>285.95942591879702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7.333333333333333</v>
      </c>
      <c r="N9" s="13">
        <f>IF('Données projet'!$A$36&gt;35,N8+M9-V8,IF(A9&lt;'Données projet'!$A$36,$K$205^A9,IF(A9='Données projet'!$A$36,'Données projet'!$B$36,N8+M9-V8)))</f>
        <v>6.5547642149997696</v>
      </c>
      <c r="O9" s="13">
        <f>N9*VLOOKUP('Données projet'!$B$9,Paramètres!$A$1:$I$89,3,0)*VLOOKUP('Données projet'!$B$9,Paramètres!$A$1:$I$89,5,0)</f>
        <v>3.9197490005698628</v>
      </c>
      <c r="P9" s="13">
        <f t="shared" si="33"/>
        <v>1.5408311924344247</v>
      </c>
      <c r="Q9" s="20">
        <f t="shared" si="2"/>
        <v>9.5105105028157997</v>
      </c>
      <c r="R9" s="59">
        <f t="shared" si="0"/>
        <v>302.84384383614912</v>
      </c>
      <c r="S9" s="59">
        <f ca="1">AVERAGE(OFFSET($R$3,0,0,'Données projet'!$E$9+1,1))-AVERAGE(OFFSET($H$3,0,0,'Données projet'!$E$9+1,1))</f>
        <v>430.93760474982633</v>
      </c>
      <c r="T9" s="59">
        <f t="shared" si="34"/>
        <v>371.5387876502981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179.44051550872138</v>
      </c>
      <c r="AO9" s="59">
        <f t="shared" si="36"/>
        <v>272.9500808380069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8.1373684210526331</v>
      </c>
      <c r="BD9" s="12">
        <f>IF('Données projet'!$A$88&gt;35,BD8+BC9-BL8,IF(A9&lt;'Données projet'!$A$88,$BA$205^A9,IF(A9='Données projet'!$A$88,'Données projet'!$B$88,BD8+BC9-BL8)))</f>
        <v>4.9129029283905714</v>
      </c>
      <c r="BE9" s="13">
        <f>BD9*VLOOKUP('Données projet'!$B$11,Paramètres!$A$1:$I$89,3,0)*VLOOKUP('Données projet'!$B$11,Paramètres!$A$1:$I$89,5,0)</f>
        <v>2.7463127369703293</v>
      </c>
      <c r="BF9" s="13">
        <f t="shared" si="37"/>
        <v>1.1252047503930012</v>
      </c>
      <c r="BG9" s="20">
        <f t="shared" si="7"/>
        <v>6.7428929571577996</v>
      </c>
      <c r="BH9" s="59">
        <f t="shared" si="8"/>
        <v>300.07622629049109</v>
      </c>
      <c r="BI9" s="59">
        <f ca="1">AVERAGE(OFFSET($BH$3,0,0,'Données projet'!$E$11+1,1))-AVERAGE(OFFSET($H$3,0,0,'Données projet'!$E$11+1,1))</f>
        <v>321.85808080442411</v>
      </c>
      <c r="BJ9" s="59">
        <f t="shared" si="38"/>
        <v>285.95942591879702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7.333333333333333</v>
      </c>
      <c r="N10" s="13">
        <f>IF('Données projet'!$A$36&gt;35,N9+M10-V9,IF(A10&lt;'Données projet'!$A$36,$K$205^A10,IF(A10='Données projet'!$A$36,'Données projet'!$B$36,N9+M10-V9)))</f>
        <v>8.9670567798205276</v>
      </c>
      <c r="O10" s="13">
        <f>N10*VLOOKUP('Données projet'!$B$9,Paramètres!$A$1:$I$89,3,0)*VLOOKUP('Données projet'!$B$9,Paramètres!$A$1:$I$89,5,0)</f>
        <v>5.3622999543326761</v>
      </c>
      <c r="P10" s="13">
        <f t="shared" si="33"/>
        <v>2.032388365582547</v>
      </c>
      <c r="Q10" s="20">
        <f t="shared" si="2"/>
        <v>12.87908215718568</v>
      </c>
      <c r="R10" s="59">
        <f t="shared" si="0"/>
        <v>306.21241549051899</v>
      </c>
      <c r="S10" s="59">
        <f ca="1">AVERAGE(OFFSET($R$3,0,0,'Données projet'!$E$9+1,1))-AVERAGE(OFFSET($H$3,0,0,'Données projet'!$E$9+1,1))</f>
        <v>430.93760474982633</v>
      </c>
      <c r="T10" s="59">
        <f t="shared" si="34"/>
        <v>371.5387876502981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179.44051550872138</v>
      </c>
      <c r="AO10" s="59">
        <f t="shared" si="36"/>
        <v>272.9500808380069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8.1373684210526331</v>
      </c>
      <c r="BD10" s="12">
        <f>IF('Données projet'!$A$88&gt;35,BD9+BC10-BL9,IF(A10&lt;'Données projet'!$A$88,$BA$205^A10,IF(A10='Données projet'!$A$88,'Données projet'!$B$88,BD9+BC10-BL9)))</f>
        <v>6.4056206233856594</v>
      </c>
      <c r="BE10" s="13">
        <f>BD10*VLOOKUP('Données projet'!$B$11,Paramètres!$A$1:$I$89,3,0)*VLOOKUP('Données projet'!$B$11,Paramètres!$A$1:$I$89,5,0)</f>
        <v>3.5807419284725834</v>
      </c>
      <c r="BF10" s="13">
        <f t="shared" si="37"/>
        <v>1.4224683981001205</v>
      </c>
      <c r="BG10" s="20">
        <f t="shared" si="7"/>
        <v>8.7139246521141267</v>
      </c>
      <c r="BH10" s="59">
        <f t="shared" si="8"/>
        <v>302.04725798544746</v>
      </c>
      <c r="BI10" s="59">
        <f ca="1">AVERAGE(OFFSET($BH$3,0,0,'Données projet'!$E$11+1,1))-AVERAGE(OFFSET($H$3,0,0,'Données projet'!$E$11+1,1))</f>
        <v>321.85808080442411</v>
      </c>
      <c r="BJ10" s="59">
        <f t="shared" si="38"/>
        <v>285.95942591879702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7.333333333333333</v>
      </c>
      <c r="N11" s="13">
        <f>IF('Données projet'!$A$36&gt;35,N10+M11-V10,IF(A11&lt;'Données projet'!$A$36,$K$205^A11,IF(A11='Données projet'!$A$36,'Données projet'!$B$36,N10+M11-V10)))</f>
        <v>12.26712428625903</v>
      </c>
      <c r="O11" s="13">
        <f>N11*VLOOKUP('Données projet'!$B$9,Paramètres!$A$1:$I$89,3,0)*VLOOKUP('Données projet'!$B$9,Paramètres!$A$1:$I$89,5,0)</f>
        <v>7.3357403231829004</v>
      </c>
      <c r="P11" s="13">
        <f t="shared" si="33"/>
        <v>2.6807624928913736</v>
      </c>
      <c r="Q11" s="20">
        <f t="shared" si="2"/>
        <v>17.445409071329362</v>
      </c>
      <c r="R11" s="59">
        <f t="shared" si="0"/>
        <v>310.77874240466269</v>
      </c>
      <c r="S11" s="59">
        <f ca="1">AVERAGE(OFFSET($R$3,0,0,'Données projet'!$E$9+1,1))-AVERAGE(OFFSET($H$3,0,0,'Données projet'!$E$9+1,1))</f>
        <v>430.93760474982633</v>
      </c>
      <c r="T11" s="59">
        <f t="shared" si="34"/>
        <v>371.5387876502981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179.44051550872138</v>
      </c>
      <c r="AO11" s="59">
        <f t="shared" si="36"/>
        <v>272.9500808380069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8.1373684210526331</v>
      </c>
      <c r="BD11" s="12">
        <f>IF('Données projet'!$A$88&gt;35,BD10+BC11-BL10,IF(A11&lt;'Données projet'!$A$88,$BA$205^A11,IF(A11='Données projet'!$A$88,'Données projet'!$B$88,BD10+BC11-BL10)))</f>
        <v>8.3518799717431911</v>
      </c>
      <c r="BE11" s="13">
        <f>BD11*VLOOKUP('Données projet'!$B$11,Paramètres!$A$1:$I$89,3,0)*VLOOKUP('Données projet'!$B$11,Paramètres!$A$1:$I$89,5,0)</f>
        <v>4.6687009042044441</v>
      </c>
      <c r="BF11" s="13">
        <f t="shared" si="37"/>
        <v>1.7982650205545287</v>
      </c>
      <c r="BG11" s="20">
        <f t="shared" si="7"/>
        <v>11.263298985621878</v>
      </c>
      <c r="BH11" s="59">
        <f t="shared" si="8"/>
        <v>304.59663231895519</v>
      </c>
      <c r="BI11" s="59">
        <f ca="1">AVERAGE(OFFSET($BH$3,0,0,'Données projet'!$E$11+1,1))-AVERAGE(OFFSET($H$3,0,0,'Données projet'!$E$11+1,1))</f>
        <v>321.85808080442411</v>
      </c>
      <c r="BJ11" s="59">
        <f t="shared" si="38"/>
        <v>285.95942591879702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7.333333333333333</v>
      </c>
      <c r="N12" s="13">
        <f>IF('Données projet'!$A$36&gt;35,N11+M12-V11,IF(A12&lt;'Données projet'!$A$36,$K$205^A12,IF(A12='Données projet'!$A$36,'Données projet'!$B$36,N11+M12-V11)))</f>
        <v>16.781686784137655</v>
      </c>
      <c r="O12" s="13">
        <f>N12*VLOOKUP('Données projet'!$B$9,Paramètres!$A$1:$I$89,3,0)*VLOOKUP('Données projet'!$B$9,Paramètres!$A$1:$I$89,5,0)</f>
        <v>10.035448696914319</v>
      </c>
      <c r="P12" s="13">
        <f t="shared" si="33"/>
        <v>3.5359814418310247</v>
      </c>
      <c r="Q12" s="20">
        <f t="shared" si="2"/>
        <v>23.636907491648142</v>
      </c>
      <c r="R12" s="59">
        <f t="shared" si="0"/>
        <v>316.97024082498143</v>
      </c>
      <c r="S12" s="59">
        <f ca="1">AVERAGE(OFFSET($R$3,0,0,'Données projet'!$E$9+1,1))-AVERAGE(OFFSET($H$3,0,0,'Données projet'!$E$9+1,1))</f>
        <v>430.93760474982633</v>
      </c>
      <c r="T12" s="59">
        <f t="shared" si="34"/>
        <v>371.5387876502981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179.44051550872138</v>
      </c>
      <c r="AO12" s="59">
        <f t="shared" si="36"/>
        <v>272.9500808380069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8.1373684210526331</v>
      </c>
      <c r="BD12" s="12">
        <f>IF('Données projet'!$A$88&gt;35,BD11+BC12-BL11,IF(A12&lt;'Données projet'!$A$88,$BA$205^A12,IF(A12='Données projet'!$A$88,'Données projet'!$B$88,BD11+BC12-BL11)))</f>
        <v>10.889483340263283</v>
      </c>
      <c r="BE12" s="13">
        <f>BD12*VLOOKUP('Données projet'!$B$11,Paramètres!$A$1:$I$89,3,0)*VLOOKUP('Données projet'!$B$11,Paramètres!$A$1:$I$89,5,0)</f>
        <v>6.0872211872071746</v>
      </c>
      <c r="BF12" s="13">
        <f t="shared" si="37"/>
        <v>2.273341951546378</v>
      </c>
      <c r="BG12" s="20">
        <f t="shared" si="7"/>
        <v>14.561314133329104</v>
      </c>
      <c r="BH12" s="59">
        <f t="shared" si="8"/>
        <v>307.89464746666243</v>
      </c>
      <c r="BI12" s="59">
        <f ca="1">AVERAGE(OFFSET($BH$3,0,0,'Données projet'!$E$11+1,1))-AVERAGE(OFFSET($H$3,0,0,'Données projet'!$E$11+1,1))</f>
        <v>321.85808080442411</v>
      </c>
      <c r="BJ12" s="59">
        <f t="shared" si="38"/>
        <v>285.95942591879702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7.333333333333333</v>
      </c>
      <c r="N13" s="13">
        <f>IF('Données projet'!$A$36&gt;35,N12+M13-V12,IF(A13&lt;'Données projet'!$A$36,$K$205^A13,IF(A13='Données projet'!$A$36,'Données projet'!$B$36,N12+M13-V12)))</f>
        <v>22.95770424665556</v>
      </c>
      <c r="O13" s="13">
        <f>N13*VLOOKUP('Données projet'!$B$9,Paramètres!$A$1:$I$89,3,0)*VLOOKUP('Données projet'!$B$9,Paramètres!$A$1:$I$89,5,0)</f>
        <v>13.728707139500026</v>
      </c>
      <c r="P13" s="13">
        <f t="shared" si="33"/>
        <v>4.6640330093129414</v>
      </c>
      <c r="Q13" s="20">
        <f t="shared" si="2"/>
        <v>32.034022425849251</v>
      </c>
      <c r="R13" s="59">
        <f t="shared" si="0"/>
        <v>325.36735575918254</v>
      </c>
      <c r="S13" s="59">
        <f ca="1">AVERAGE(OFFSET($R$3,0,0,'Données projet'!$E$9+1,1))-AVERAGE(OFFSET($H$3,0,0,'Données projet'!$E$9+1,1))</f>
        <v>430.93760474982633</v>
      </c>
      <c r="T13" s="59">
        <f t="shared" si="34"/>
        <v>371.5387876502981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179.44051550872138</v>
      </c>
      <c r="AO13" s="59">
        <f t="shared" si="36"/>
        <v>272.9500808380069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8.1373684210526331</v>
      </c>
      <c r="BD13" s="12">
        <f>IF('Données projet'!$A$88&gt;35,BD12+BC13-BL12,IF(A13&lt;'Données projet'!$A$88,$BA$205^A13,IF(A13='Données projet'!$A$88,'Données projet'!$B$88,BD12+BC13-BL12)))</f>
        <v>14.198102441493969</v>
      </c>
      <c r="BE13" s="13">
        <f>BD13*VLOOKUP('Données projet'!$B$11,Paramètres!$A$1:$I$89,3,0)*VLOOKUP('Données projet'!$B$11,Paramètres!$A$1:$I$89,5,0)</f>
        <v>7.9367392647951283</v>
      </c>
      <c r="BF13" s="13">
        <f t="shared" si="37"/>
        <v>2.8739276856239013</v>
      </c>
      <c r="BG13" s="20">
        <f t="shared" si="7"/>
        <v>18.828578271979808</v>
      </c>
      <c r="BH13" s="59">
        <f t="shared" si="8"/>
        <v>312.16191160531309</v>
      </c>
      <c r="BI13" s="59">
        <f ca="1">AVERAGE(OFFSET($BH$3,0,0,'Données projet'!$E$11+1,1))-AVERAGE(OFFSET($H$3,0,0,'Données projet'!$E$11+1,1))</f>
        <v>321.85808080442411</v>
      </c>
      <c r="BJ13" s="59">
        <f t="shared" si="38"/>
        <v>285.95942591879702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7.333333333333333</v>
      </c>
      <c r="N14" s="13">
        <f>IF('Données projet'!$A$36&gt;35,N13+M14-V13,IF(A14&lt;'Données projet'!$A$36,$K$205^A14,IF(A14='Données projet'!$A$36,'Données projet'!$B$36,N13+M14-V13)))</f>
        <v>31.406627418114457</v>
      </c>
      <c r="O14" s="13">
        <f>N14*VLOOKUP('Données projet'!$B$9,Paramètres!$A$1:$I$89,3,0)*VLOOKUP('Données projet'!$B$9,Paramètres!$A$1:$I$89,5,0)</f>
        <v>18.781163196032448</v>
      </c>
      <c r="P14" s="13">
        <f t="shared" si="33"/>
        <v>6.1519564708734276</v>
      </c>
      <c r="Q14" s="20">
        <f t="shared" si="2"/>
        <v>43.425183419861064</v>
      </c>
      <c r="R14" s="59">
        <f t="shared" si="0"/>
        <v>336.75851675319439</v>
      </c>
      <c r="S14" s="59">
        <f ca="1">AVERAGE(OFFSET($R$3,0,0,'Données projet'!$E$9+1,1))-AVERAGE(OFFSET($H$3,0,0,'Données projet'!$E$9+1,1))</f>
        <v>430.93760474982633</v>
      </c>
      <c r="T14" s="59">
        <f t="shared" si="34"/>
        <v>371.5387876502981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179.44051550872138</v>
      </c>
      <c r="AO14" s="59">
        <f t="shared" si="36"/>
        <v>272.9500808380069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8.1373684210526331</v>
      </c>
      <c r="BD14" s="12">
        <f>IF('Données projet'!$A$88&gt;35,BD13+BC14-BL13,IF(A14&lt;'Données projet'!$A$88,$BA$205^A14,IF(A14='Données projet'!$A$88,'Données projet'!$B$88,BD13+BC14-BL13)))</f>
        <v>18.511999756113603</v>
      </c>
      <c r="BE14" s="13">
        <f>BD14*VLOOKUP('Données projet'!$B$11,Paramètres!$A$1:$I$89,3,0)*VLOOKUP('Données projet'!$B$11,Paramètres!$A$1:$I$89,5,0)</f>
        <v>10.348207863667504</v>
      </c>
      <c r="BF14" s="13">
        <f t="shared" si="37"/>
        <v>3.6331799255177111</v>
      </c>
      <c r="BG14" s="20">
        <f t="shared" si="7"/>
        <v>24.350917066164246</v>
      </c>
      <c r="BH14" s="59">
        <f t="shared" si="8"/>
        <v>317.68425039949756</v>
      </c>
      <c r="BI14" s="59">
        <f ca="1">AVERAGE(OFFSET($BH$3,0,0,'Données projet'!$E$11+1,1))-AVERAGE(OFFSET($H$3,0,0,'Données projet'!$E$11+1,1))</f>
        <v>321.85808080442411</v>
      </c>
      <c r="BJ14" s="59">
        <f t="shared" si="38"/>
        <v>285.95942591879702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7.333333333333333</v>
      </c>
      <c r="N15" s="13">
        <f>IF('Données projet'!$A$36&gt;35,N14+M15-V14,IF(A15&lt;'Données projet'!$A$36,$K$205^A15,IF(A15='Données projet'!$A$36,'Données projet'!$B$36,N14+M15-V14)))</f>
        <v>42.964933914241549</v>
      </c>
      <c r="O15" s="13">
        <f>N15*VLOOKUP('Données projet'!$B$9,Paramètres!$A$1:$I$89,3,0)*VLOOKUP('Données projet'!$B$9,Paramètres!$A$1:$I$89,5,0)</f>
        <v>25.693030480716448</v>
      </c>
      <c r="P15" s="13">
        <f t="shared" si="33"/>
        <v>8.1145584398633126</v>
      </c>
      <c r="Q15" s="20">
        <f t="shared" si="2"/>
        <v>58.881550703343073</v>
      </c>
      <c r="R15" s="59">
        <f t="shared" si="0"/>
        <v>352.21488403667638</v>
      </c>
      <c r="S15" s="59">
        <f ca="1">AVERAGE(OFFSET($R$3,0,0,'Données projet'!$E$9+1,1))-AVERAGE(OFFSET($H$3,0,0,'Données projet'!$E$9+1,1))</f>
        <v>430.93760474982633</v>
      </c>
      <c r="T15" s="59">
        <f t="shared" si="34"/>
        <v>371.5387876502981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179.44051550872138</v>
      </c>
      <c r="AO15" s="59">
        <f t="shared" si="36"/>
        <v>272.9500808380069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8.1373684210526331</v>
      </c>
      <c r="BD15" s="12">
        <f>IF('Données projet'!$A$88&gt;35,BD14+BC15-BL14,IF(A15&lt;'Données projet'!$A$88,$BA$205^A15,IF(A15='Données projet'!$A$88,'Données projet'!$B$88,BD14+BC15-BL14)))</f>
        <v>24.136615183788649</v>
      </c>
      <c r="BE15" s="13">
        <f>BD15*VLOOKUP('Données projet'!$B$11,Paramètres!$A$1:$I$89,3,0)*VLOOKUP('Données projet'!$B$11,Paramètres!$A$1:$I$89,5,0)</f>
        <v>13.492367887737855</v>
      </c>
      <c r="BF15" s="13">
        <f t="shared" si="37"/>
        <v>4.5930161838151102</v>
      </c>
      <c r="BG15" s="20">
        <f t="shared" si="7"/>
        <v>31.498710591288084</v>
      </c>
      <c r="BH15" s="59">
        <f t="shared" si="8"/>
        <v>324.83204392462142</v>
      </c>
      <c r="BI15" s="59">
        <f ca="1">AVERAGE(OFFSET($BH$3,0,0,'Données projet'!$E$11+1,1))-AVERAGE(OFFSET($H$3,0,0,'Données projet'!$E$11+1,1))</f>
        <v>321.85808080442411</v>
      </c>
      <c r="BJ15" s="59">
        <f t="shared" si="38"/>
        <v>285.95942591879702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7.333333333333333</v>
      </c>
      <c r="N16" s="13">
        <f>IF('Données projet'!$A$36&gt;35,N15+M16-V15,IF(A16&lt;'Données projet'!$A$36,$K$205^A16,IF(A16='Données projet'!$A$36,'Données projet'!$B$36,N15+M16-V15)))</f>
        <v>58.776942894238665</v>
      </c>
      <c r="O16" s="13">
        <f>N16*VLOOKUP('Données projet'!$B$9,Paramètres!$A$1:$I$89,3,0)*VLOOKUP('Données projet'!$B$9,Paramètres!$A$1:$I$89,5,0)</f>
        <v>35.148611850754726</v>
      </c>
      <c r="P16" s="13">
        <f t="shared" si="33"/>
        <v>10.703271225293379</v>
      </c>
      <c r="Q16" s="20">
        <f t="shared" si="2"/>
        <v>79.858696357450455</v>
      </c>
      <c r="R16" s="59">
        <f t="shared" si="0"/>
        <v>373.19202969078378</v>
      </c>
      <c r="S16" s="59">
        <f ca="1">AVERAGE(OFFSET($R$3,0,0,'Données projet'!$E$9+1,1))-AVERAGE(OFFSET($H$3,0,0,'Données projet'!$E$9+1,1))</f>
        <v>430.93760474982633</v>
      </c>
      <c r="T16" s="59">
        <f t="shared" si="34"/>
        <v>371.5387876502981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179.44051550872138</v>
      </c>
      <c r="AO16" s="59">
        <f t="shared" si="36"/>
        <v>272.9500808380069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8.1373684210526331</v>
      </c>
      <c r="BD16" s="12">
        <f>IF('Données projet'!$A$88&gt;35,BD15+BC16-BL15,IF(A16&lt;'Données projet'!$A$88,$BA$205^A16,IF(A16='Données projet'!$A$88,'Données projet'!$B$88,BD15+BC16-BL15)))</f>
        <v>31.470192318790442</v>
      </c>
      <c r="BE16" s="13">
        <f>BD16*VLOOKUP('Données projet'!$B$11,Paramètres!$A$1:$I$89,3,0)*VLOOKUP('Données projet'!$B$11,Paramètres!$A$1:$I$89,5,0)</f>
        <v>17.591837506203856</v>
      </c>
      <c r="BF16" s="13">
        <f t="shared" si="37"/>
        <v>5.8064280044653849</v>
      </c>
      <c r="BG16" s="20">
        <f t="shared" si="7"/>
        <v>40.751979097748922</v>
      </c>
      <c r="BH16" s="59">
        <f t="shared" si="8"/>
        <v>334.08531243108223</v>
      </c>
      <c r="BI16" s="59">
        <f ca="1">AVERAGE(OFFSET($BH$3,0,0,'Données projet'!$E$11+1,1))-AVERAGE(OFFSET($H$3,0,0,'Données projet'!$E$11+1,1))</f>
        <v>321.85808080442411</v>
      </c>
      <c r="BJ16" s="59">
        <f t="shared" si="38"/>
        <v>285.95942591879702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7.333333333333333</v>
      </c>
      <c r="N17" s="13">
        <f>IF('Données projet'!$A$36&gt;35,N16+M17-V16,IF(A17&lt;'Données projet'!$A$36,$K$205^A17,IF(A17='Données projet'!$A$36,'Données projet'!$B$36,N16+M17-V16)))</f>
        <v>80.408107292525273</v>
      </c>
      <c r="O17" s="13">
        <f>N17*VLOOKUP('Données projet'!$B$9,Paramètres!$A$1:$I$89,3,0)*VLOOKUP('Données projet'!$B$9,Paramètres!$A$1:$I$89,5,0)</f>
        <v>48.084048160930124</v>
      </c>
      <c r="P17" s="13">
        <f t="shared" si="33"/>
        <v>14.11783718993377</v>
      </c>
      <c r="Q17" s="20">
        <f t="shared" si="2"/>
        <v>108.33495031942128</v>
      </c>
      <c r="R17" s="59">
        <f t="shared" si="0"/>
        <v>401.66828365275461</v>
      </c>
      <c r="S17" s="59">
        <f ca="1">AVERAGE(OFFSET($R$3,0,0,'Données projet'!$E$9+1,1))-AVERAGE(OFFSET($H$3,0,0,'Données projet'!$E$9+1,1))</f>
        <v>430.93760474982633</v>
      </c>
      <c r="T17" s="59">
        <f t="shared" si="34"/>
        <v>371.5387876502981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179.44051550872138</v>
      </c>
      <c r="AO17" s="59">
        <f t="shared" si="36"/>
        <v>272.9500808380069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8.1373684210526331</v>
      </c>
      <c r="BD17" s="12">
        <f>IF('Données projet'!$A$88&gt;35,BD16+BC17-BL16,IF(A17&lt;'Données projet'!$A$88,$BA$205^A17,IF(A17='Données projet'!$A$88,'Données projet'!$B$88,BD16+BC17-BL16)))</f>
        <v>41.03197557074369</v>
      </c>
      <c r="BE17" s="13">
        <f>BD17*VLOOKUP('Données projet'!$B$11,Paramètres!$A$1:$I$89,3,0)*VLOOKUP('Données projet'!$B$11,Paramètres!$A$1:$I$89,5,0)</f>
        <v>22.936874344045723</v>
      </c>
      <c r="BF17" s="13">
        <f t="shared" si="37"/>
        <v>7.3404065698360856</v>
      </c>
      <c r="BG17" s="20">
        <f t="shared" si="7"/>
        <v>52.732930925010812</v>
      </c>
      <c r="BH17" s="59">
        <f t="shared" si="8"/>
        <v>346.06626425834412</v>
      </c>
      <c r="BI17" s="59">
        <f ca="1">AVERAGE(OFFSET($BH$3,0,0,'Données projet'!$E$11+1,1))-AVERAGE(OFFSET($H$3,0,0,'Données projet'!$E$11+1,1))</f>
        <v>321.85808080442411</v>
      </c>
      <c r="BJ17" s="59">
        <f t="shared" si="38"/>
        <v>285.95942591879702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110</v>
      </c>
      <c r="L18" s="12">
        <f>VLOOKUP(A18,'Données projet'!$A$35:$I$55,9,0)</f>
        <v>7.333333333333333</v>
      </c>
      <c r="M18" s="12">
        <f t="array" ref="M18">INDEX(L:L,MIN(IF(ISNUMBER(L18:L214),ROW(L18:L214),"")))</f>
        <v>7.333333333333333</v>
      </c>
      <c r="N18" s="13">
        <f>IF('Données projet'!$A$36&gt;35,N17+M18-V17,IF(A18&lt;'Données projet'!$A$36,$K$205^A18,IF(A18='Données projet'!$A$36,'Données projet'!$B$36,N17+M18-V17)))</f>
        <v>110</v>
      </c>
      <c r="O18" s="13">
        <f>N18*VLOOKUP('Données projet'!$B$9,Paramètres!$A$1:$I$89,3,0)*VLOOKUP('Données projet'!$B$9,Paramètres!$A$1:$I$89,5,0)</f>
        <v>65.78</v>
      </c>
      <c r="P18" s="13">
        <f t="shared" si="33"/>
        <v>18.621720661480644</v>
      </c>
      <c r="Q18" s="20">
        <f t="shared" si="2"/>
        <v>146.99966348541213</v>
      </c>
      <c r="R18" s="59">
        <f t="shared" si="0"/>
        <v>440.33299681874541</v>
      </c>
      <c r="S18" s="59">
        <f ca="1">AVERAGE(OFFSET($R$3,0,0,'Données projet'!$E$9+1,1))-AVERAGE(OFFSET($H$3,0,0,'Données projet'!$E$9+1,1))</f>
        <v>430.93760474982633</v>
      </c>
      <c r="T18" s="59">
        <f t="shared" si="34"/>
        <v>371.5387876502981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14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1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9.4790487948915736</v>
      </c>
      <c r="AC18" s="22">
        <f t="shared" si="3"/>
        <v>9.4790487948915736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179.44051550872138</v>
      </c>
      <c r="AO18" s="59">
        <f t="shared" si="36"/>
        <v>272.9500808380069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8.1373684210526331</v>
      </c>
      <c r="BD18" s="12">
        <f>IF('Données projet'!$A$88&gt;35,BD17+BC18-BL17,IF(A18&lt;'Données projet'!$A$88,$BA$205^A18,IF(A18='Données projet'!$A$88,'Données projet'!$B$88,BD17+BC18-BL17)))</f>
        <v>53.498974591039826</v>
      </c>
      <c r="BE18" s="13">
        <f>BD18*VLOOKUP('Données projet'!$B$11,Paramètres!$A$1:$I$89,3,0)*VLOOKUP('Données projet'!$B$11,Paramètres!$A$1:$I$89,5,0)</f>
        <v>29.905926796391263</v>
      </c>
      <c r="BF18" s="13">
        <f t="shared" si="37"/>
        <v>9.2796412129893913</v>
      </c>
      <c r="BG18" s="20">
        <f t="shared" si="7"/>
        <v>68.248197616337976</v>
      </c>
      <c r="BH18" s="59">
        <f t="shared" si="8"/>
        <v>361.58153094967128</v>
      </c>
      <c r="BI18" s="59">
        <f ca="1">AVERAGE(OFFSET($BH$3,0,0,'Données projet'!$E$11+1,1))-AVERAGE(OFFSET($H$3,0,0,'Données projet'!$E$11+1,1))</f>
        <v>321.85808080442411</v>
      </c>
      <c r="BJ18" s="59">
        <f t="shared" si="38"/>
        <v>285.95942591879702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21.4</v>
      </c>
      <c r="N19" s="13">
        <f>IF('Données projet'!$A$36&gt;35,N18+M19-V18,IF(A19&lt;'Données projet'!$A$36,$K$205^A19,IF(A19='Données projet'!$A$36,'Données projet'!$B$36,N18+M19-V18)))</f>
        <v>117.4</v>
      </c>
      <c r="O19" s="13">
        <f>N19*VLOOKUP('Données projet'!$B$9,Paramètres!$A$1:$I$89,3,0)*VLOOKUP('Données projet'!$B$9,Paramètres!$A$1:$I$89,5,0)</f>
        <v>70.205200000000005</v>
      </c>
      <c r="P19" s="13">
        <f t="shared" si="33"/>
        <v>19.724407279037784</v>
      </c>
      <c r="Q19" s="20">
        <f t="shared" si="2"/>
        <v>156.62739934432412</v>
      </c>
      <c r="R19" s="59">
        <f t="shared" si="0"/>
        <v>449.96073267765746</v>
      </c>
      <c r="S19" s="59">
        <f ca="1">AVERAGE(OFFSET($R$3,0,0,'Données projet'!$E$9+1,1))-AVERAGE(OFFSET($H$3,0,0,'Données projet'!$E$9+1,1))</f>
        <v>430.93760474982633</v>
      </c>
      <c r="T19" s="59">
        <f t="shared" si="34"/>
        <v>371.5387876502981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6.7026996820660036</v>
      </c>
      <c r="AC19" s="22">
        <f t="shared" si="3"/>
        <v>6.7026996820660036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179.44051550872138</v>
      </c>
      <c r="AO19" s="59">
        <f t="shared" si="36"/>
        <v>272.9500808380069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8.1373684210526331</v>
      </c>
      <c r="BD19" s="12">
        <f>IF('Données projet'!$A$88&gt;35,BD18+BC19-BL18,IF(A19&lt;'Données projet'!$A$88,$BA$205^A19,IF(A19='Données projet'!$A$88,'Données projet'!$B$88,BD18+BC19-BL18)))</f>
        <v>69.75389906240504</v>
      </c>
      <c r="BE19" s="13">
        <f>BD19*VLOOKUP('Données projet'!$B$11,Paramètres!$A$1:$I$89,3,0)*VLOOKUP('Données projet'!$B$11,Paramètres!$A$1:$I$89,5,0)</f>
        <v>38.992429575884415</v>
      </c>
      <c r="BF19" s="13">
        <f t="shared" si="37"/>
        <v>11.731195026127027</v>
      </c>
      <c r="BG19" s="20">
        <f t="shared" si="7"/>
        <v>88.343646181836576</v>
      </c>
      <c r="BH19" s="59">
        <f t="shared" si="8"/>
        <v>381.67697951516988</v>
      </c>
      <c r="BI19" s="59">
        <f ca="1">AVERAGE(OFFSET($BH$3,0,0,'Données projet'!$E$11+1,1))-AVERAGE(OFFSET($H$3,0,0,'Données projet'!$E$11+1,1))</f>
        <v>321.85808080442411</v>
      </c>
      <c r="BJ19" s="59">
        <f t="shared" si="38"/>
        <v>285.95942591879702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21.4</v>
      </c>
      <c r="N20" s="13">
        <f>IF('Données projet'!$A$36&gt;35,N19+M20-V19,IF(A20&lt;'Données projet'!$A$36,$K$205^A20,IF(A20='Données projet'!$A$36,'Données projet'!$B$36,N19+M20-V19)))</f>
        <v>138.80000000000001</v>
      </c>
      <c r="O20" s="13">
        <f>N20*VLOOKUP('Données projet'!$B$9,Paramètres!$A$1:$I$89,3,0)*VLOOKUP('Données projet'!$B$9,Paramètres!$A$1:$I$89,5,0)</f>
        <v>83.002400000000009</v>
      </c>
      <c r="P20" s="13">
        <f t="shared" si="33"/>
        <v>22.869705036637765</v>
      </c>
      <c r="Q20" s="20">
        <f t="shared" si="2"/>
        <v>184.39391627214411</v>
      </c>
      <c r="R20" s="59">
        <f t="shared" si="0"/>
        <v>477.72724960547743</v>
      </c>
      <c r="S20" s="59">
        <f ca="1">AVERAGE(OFFSET($R$3,0,0,'Données projet'!$E$9+1,1))-AVERAGE(OFFSET($H$3,0,0,'Données projet'!$E$9+1,1))</f>
        <v>430.93760474982633</v>
      </c>
      <c r="T20" s="59">
        <f t="shared" si="34"/>
        <v>371.5387876502981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4.7395243974457877</v>
      </c>
      <c r="AC20" s="22">
        <f t="shared" si="3"/>
        <v>4.7395243974457877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179.44051550872138</v>
      </c>
      <c r="AO20" s="59">
        <f t="shared" si="36"/>
        <v>272.9500808380069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8.1373684210526331</v>
      </c>
      <c r="BD20" s="12">
        <f>IF('Données projet'!$A$88&gt;35,BD19+BC20-BL19,IF(A20&lt;'Données projet'!$A$88,$BA$205^A20,IF(A20='Données projet'!$A$88,'Données projet'!$B$88,BD19+BC20-BL19)))</f>
        <v>90.947657812176047</v>
      </c>
      <c r="BE20" s="13">
        <f>BD20*VLOOKUP('Données projet'!$B$11,Paramètres!$A$1:$I$89,3,0)*VLOOKUP('Données projet'!$B$11,Paramètres!$A$1:$I$89,5,0)</f>
        <v>50.839740717006407</v>
      </c>
      <c r="BF20" s="13">
        <f t="shared" si="37"/>
        <v>14.830415700597285</v>
      </c>
      <c r="BG20" s="20">
        <f t="shared" si="7"/>
        <v>114.37552242732642</v>
      </c>
      <c r="BH20" s="59">
        <f t="shared" si="8"/>
        <v>407.70885576065973</v>
      </c>
      <c r="BI20" s="59">
        <f ca="1">AVERAGE(OFFSET($BH$3,0,0,'Données projet'!$E$11+1,1))-AVERAGE(OFFSET($H$3,0,0,'Données projet'!$E$11+1,1))</f>
        <v>321.85808080442411</v>
      </c>
      <c r="BJ20" s="59">
        <f t="shared" si="38"/>
        <v>285.95942591879702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21.4</v>
      </c>
      <c r="N21" s="13">
        <f>IF('Données projet'!$A$36&gt;35,N20+M21-V20,IF(A21&lt;'Données projet'!$A$36,$K$205^A21,IF(A21='Données projet'!$A$36,'Données projet'!$B$36,N20+M21-V20)))</f>
        <v>160.20000000000002</v>
      </c>
      <c r="O21" s="13">
        <f>N21*VLOOKUP('Données projet'!$B$9,Paramètres!$A$1:$I$89,3,0)*VLOOKUP('Données projet'!$B$9,Paramètres!$A$1:$I$89,5,0)</f>
        <v>95.799600000000012</v>
      </c>
      <c r="P21" s="13">
        <f t="shared" si="33"/>
        <v>25.958824745990441</v>
      </c>
      <c r="Q21" s="20">
        <f t="shared" si="2"/>
        <v>212.06258976593335</v>
      </c>
      <c r="R21" s="59">
        <f t="shared" si="0"/>
        <v>505.39592309926667</v>
      </c>
      <c r="S21" s="59">
        <f ca="1">AVERAGE(OFFSET($R$3,0,0,'Données projet'!$E$9+1,1))-AVERAGE(OFFSET($H$3,0,0,'Données projet'!$E$9+1,1))</f>
        <v>430.93760474982633</v>
      </c>
      <c r="T21" s="59">
        <f t="shared" si="34"/>
        <v>371.5387876502981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3.3513498410330023</v>
      </c>
      <c r="AC21" s="22">
        <f t="shared" si="3"/>
        <v>3.3513498410330023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179.44051550872138</v>
      </c>
      <c r="AO21" s="59">
        <f t="shared" si="36"/>
        <v>272.9500808380069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1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14.130259073130295</v>
      </c>
      <c r="AX21" s="21">
        <f t="shared" si="6"/>
        <v>14.130259073130295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8.1373684210526331</v>
      </c>
      <c r="BD21" s="12">
        <f>IF('Données projet'!$A$88&gt;35,BD20+BC21-BL20,IF(A21&lt;'Données projet'!$A$88,$BA$205^A21,IF(A21='Données projet'!$A$88,'Données projet'!$B$88,BD20+BC21-BL20)))</f>
        <v>118.58084741787158</v>
      </c>
      <c r="BE21" s="13">
        <f>BD21*VLOOKUP('Données projet'!$B$11,Paramètres!$A$1:$I$89,3,0)*VLOOKUP('Données projet'!$B$11,Paramètres!$A$1:$I$89,5,0)</f>
        <v>66.286693706590214</v>
      </c>
      <c r="BF21" s="13">
        <f t="shared" si="37"/>
        <v>18.748407929685108</v>
      </c>
      <c r="BG21" s="20">
        <f t="shared" si="7"/>
        <v>148.10280201651287</v>
      </c>
      <c r="BH21" s="59">
        <f t="shared" si="8"/>
        <v>441.43613534984615</v>
      </c>
      <c r="BI21" s="59">
        <f ca="1">AVERAGE(OFFSET($BH$3,0,0,'Données projet'!$E$11+1,1))-AVERAGE(OFFSET($H$3,0,0,'Données projet'!$E$11+1,1))</f>
        <v>321.85808080442411</v>
      </c>
      <c r="BJ21" s="59">
        <f t="shared" si="38"/>
        <v>285.95942591879702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21.4</v>
      </c>
      <c r="N22" s="13">
        <f>IF('Données projet'!$A$36&gt;35,N21+M22-V21,IF(A22&lt;'Données projet'!$A$36,$K$205^A22,IF(A22='Données projet'!$A$36,'Données projet'!$B$36,N21+M22-V21)))</f>
        <v>181.60000000000002</v>
      </c>
      <c r="O22" s="13">
        <f>N22*VLOOKUP('Données projet'!$B$9,Paramètres!$A$1:$I$89,3,0)*VLOOKUP('Données projet'!$B$9,Paramètres!$A$1:$I$89,5,0)</f>
        <v>108.59680000000003</v>
      </c>
      <c r="P22" s="13">
        <f t="shared" si="33"/>
        <v>29.000133087134955</v>
      </c>
      <c r="Q22" s="20">
        <f t="shared" si="2"/>
        <v>239.64799179342674</v>
      </c>
      <c r="R22" s="59">
        <f t="shared" si="0"/>
        <v>532.98132512676011</v>
      </c>
      <c r="S22" s="59">
        <f ca="1">AVERAGE(OFFSET($R$3,0,0,'Données projet'!$E$9+1,1))-AVERAGE(OFFSET($H$3,0,0,'Données projet'!$E$9+1,1))</f>
        <v>430.93760474982633</v>
      </c>
      <c r="T22" s="59">
        <f t="shared" si="34"/>
        <v>371.5387876502981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2.3697621987228943</v>
      </c>
      <c r="AC22" s="22">
        <f t="shared" si="3"/>
        <v>2.3697621987228943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179.44051550872138</v>
      </c>
      <c r="AO22" s="59">
        <f t="shared" si="36"/>
        <v>272.9500808380069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9.9916020105331729</v>
      </c>
      <c r="AX22" s="21">
        <f t="shared" si="6"/>
        <v>9.9916020105331729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>
        <f>VLOOKUP(A22,'Données projet'!$A$87:$I$107,2,0)</f>
        <v>154.61000000000001</v>
      </c>
      <c r="BB22" s="12">
        <f>VLOOKUP(A22,'Données projet'!$A$87:$I$107,9,0)</f>
        <v>8.1373684210526331</v>
      </c>
      <c r="BC22" s="12">
        <f t="array" ref="BC22">INDEX(BB:BB,MIN(IF(ISNUMBER(BB22:BB218),ROW(BB22:BB218),"")))</f>
        <v>8.1373684210526331</v>
      </c>
      <c r="BD22" s="12">
        <f>IF('Données projet'!$A$88&gt;35,BD21+BC22-BL21,IF(A22&lt;'Données projet'!$A$88,$BA$205^A22,IF(A22='Données projet'!$A$88,'Données projet'!$B$88,BD21+BC22-BL21)))</f>
        <v>154.61000000000001</v>
      </c>
      <c r="BE22" s="13">
        <f>BD22*VLOOKUP('Données projet'!$B$11,Paramètres!$A$1:$I$89,3,0)*VLOOKUP('Données projet'!$B$11,Paramètres!$A$1:$I$89,5,0)</f>
        <v>86.426990000000018</v>
      </c>
      <c r="BF22" s="13">
        <f t="shared" si="37"/>
        <v>23.701479917634611</v>
      </c>
      <c r="BG22" s="20">
        <f t="shared" si="7"/>
        <v>191.80708510654699</v>
      </c>
      <c r="BH22" s="59">
        <f t="shared" si="8"/>
        <v>485.14041843988031</v>
      </c>
      <c r="BI22" s="59">
        <f ca="1">AVERAGE(OFFSET($BH$3,0,0,'Données projet'!$E$11+1,1))-AVERAGE(OFFSET($H$3,0,0,'Données projet'!$E$11+1,1))</f>
        <v>321.85808080442411</v>
      </c>
      <c r="BJ22" s="59">
        <f t="shared" si="38"/>
        <v>285.95942591879702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203</v>
      </c>
      <c r="L23" s="12">
        <f>VLOOKUP(A23,'Données projet'!$A$35:$I$55,9,0)</f>
        <v>21.4</v>
      </c>
      <c r="M23" s="12">
        <f t="array" ref="M23">INDEX(L:L,MIN(IF(ISNUMBER(L23:L219),ROW(L23:L219),"")))</f>
        <v>21.4</v>
      </c>
      <c r="N23" s="13">
        <f>IF('Données projet'!$A$36&gt;35,N22+M23-V22,IF(A23&lt;'Données projet'!$A$36,$K$205^A23,IF(A23='Données projet'!$A$36,'Données projet'!$B$36,N22+M23-V22)))</f>
        <v>203.00000000000003</v>
      </c>
      <c r="O23" s="13">
        <f>N23*VLOOKUP('Données projet'!$B$9,Paramètres!$A$1:$I$89,3,0)*VLOOKUP('Données projet'!$B$9,Paramètres!$A$1:$I$89,5,0)</f>
        <v>121.39400000000003</v>
      </c>
      <c r="P23" s="13">
        <f t="shared" si="33"/>
        <v>31.999908030972463</v>
      </c>
      <c r="Q23" s="20">
        <f t="shared" si="2"/>
        <v>267.16105648727711</v>
      </c>
      <c r="R23" s="59">
        <f t="shared" si="0"/>
        <v>560.49438982061042</v>
      </c>
      <c r="S23" s="59">
        <f ca="1">AVERAGE(OFFSET($R$3,0,0,'Données projet'!$E$9+1,1))-AVERAGE(OFFSET($H$3,0,0,'Données projet'!$E$9+1,1))</f>
        <v>430.93760474982633</v>
      </c>
      <c r="T23" s="59">
        <f t="shared" si="34"/>
        <v>371.5387876502981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63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0.45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22.401094880093407</v>
      </c>
      <c r="AB23" s="21">
        <f>EXP(-LN(2)/2)*AB22+(1-EXP(-LN(2)/2))/(LN(2)/2)*V23*Y23*VLOOKUP('Données projet'!$B$9,Paramètres!$A$1:$I$89,3,0)*0.475*44/12</f>
        <v>1.6756749205165016</v>
      </c>
      <c r="AC23" s="22">
        <f t="shared" si="3"/>
        <v>24.07676980060991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179.44051550872138</v>
      </c>
      <c r="AO23" s="59">
        <f t="shared" si="36"/>
        <v>272.9500808380069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7.0651295365651494</v>
      </c>
      <c r="AX23" s="21">
        <f t="shared" si="6"/>
        <v>7.0651295365651494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20.349999999999994</v>
      </c>
      <c r="BD23" s="12">
        <f>IF('Données projet'!$A$88&gt;35,BD22+BC23-BL22,IF(A23&lt;'Données projet'!$A$88,$BA$205^A23,IF(A23='Données projet'!$A$88,'Données projet'!$B$88,BD22+BC23-BL22)))</f>
        <v>174.96</v>
      </c>
      <c r="BE23" s="13">
        <f>BD23*VLOOKUP('Données projet'!$B$11,Paramètres!$A$1:$I$89,3,0)*VLOOKUP('Données projet'!$B$11,Paramètres!$A$1:$I$89,5,0)</f>
        <v>97.802639999999997</v>
      </c>
      <c r="BF23" s="13">
        <f t="shared" si="37"/>
        <v>26.437831817134231</v>
      </c>
      <c r="BG23" s="20">
        <f t="shared" si="7"/>
        <v>216.38548841484211</v>
      </c>
      <c r="BH23" s="59">
        <f t="shared" si="8"/>
        <v>509.7188217481754</v>
      </c>
      <c r="BI23" s="59">
        <f ca="1">AVERAGE(OFFSET($BH$3,0,0,'Données projet'!$E$11+1,1))-AVERAGE(OFFSET($H$3,0,0,'Données projet'!$E$11+1,1))</f>
        <v>321.85808080442411</v>
      </c>
      <c r="BJ23" s="59">
        <f t="shared" si="38"/>
        <v>285.95942591879702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22.8</v>
      </c>
      <c r="N24" s="13">
        <f>IF('Données projet'!$A$36&gt;35,N23+M24-V23,IF(A24&lt;'Données projet'!$A$36,$K$205^A24,IF(A24='Données projet'!$A$36,'Données projet'!$B$36,N23+M24-V23)))</f>
        <v>162.80000000000004</v>
      </c>
      <c r="O24" s="13">
        <f>N24*VLOOKUP('Données projet'!$B$9,Paramètres!$A$1:$I$89,3,0)*VLOOKUP('Données projet'!$B$9,Paramètres!$A$1:$I$89,5,0)</f>
        <v>97.354400000000027</v>
      </c>
      <c r="P24" s="13">
        <f t="shared" si="33"/>
        <v>26.330739676620471</v>
      </c>
      <c r="Q24" s="20">
        <f t="shared" si="2"/>
        <v>215.41828493678068</v>
      </c>
      <c r="R24" s="59">
        <f t="shared" si="0"/>
        <v>508.75161827011402</v>
      </c>
      <c r="S24" s="59">
        <f ca="1">AVERAGE(OFFSET($R$3,0,0,'Données projet'!$E$9+1,1))-AVERAGE(OFFSET($H$3,0,0,'Données projet'!$E$9+1,1))</f>
        <v>430.93760474982633</v>
      </c>
      <c r="T24" s="59">
        <f t="shared" si="34"/>
        <v>371.5387876502981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21.78853576257487</v>
      </c>
      <c r="AB24" s="21">
        <f>EXP(-LN(2)/2)*AB23+(1-EXP(-LN(2)/2))/(LN(2)/2)*V24*Y24*VLOOKUP('Données projet'!$B$9,Paramètres!$A$1:$I$89,3,0)*0.475*44/12</f>
        <v>1.1848810993614474</v>
      </c>
      <c r="AC24" s="22">
        <f t="shared" si="3"/>
        <v>22.973416861936318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179.44051550872138</v>
      </c>
      <c r="AO24" s="59">
        <f t="shared" si="36"/>
        <v>272.9500808380069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0.6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12.862464417003251</v>
      </c>
      <c r="AW24" s="21">
        <f>EXP(-LN(2)/2)*AW23+(1-EXP(-LN(2)/2))/(LN(2)/2)*AQ24*AT24*VLOOKUP('Données projet'!$B$10,Paramètres!$A$1:$I$89,3,0)*0.475*44/12</f>
        <v>4.9958010052665873</v>
      </c>
      <c r="AX24" s="21">
        <f t="shared" si="6"/>
        <v>17.858265422269838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>
        <f>VLOOKUP(A24,'Données projet'!$A$87:$I$107,2,0)</f>
        <v>195.31</v>
      </c>
      <c r="BB24" s="12">
        <f>VLOOKUP(A24,'Données projet'!$A$87:$I$107,9,0)</f>
        <v>20.349999999999994</v>
      </c>
      <c r="BC24" s="12">
        <f t="array" ref="BC24">INDEX(BB:BB,MIN(IF(ISNUMBER(BB24:BB220),ROW(BB24:BB220),"")))</f>
        <v>20.349999999999994</v>
      </c>
      <c r="BD24" s="12">
        <f>IF('Données projet'!$A$88&gt;35,BD23+BC24-BL23,IF(A24&lt;'Données projet'!$A$88,$BA$205^A24,IF(A24='Données projet'!$A$88,'Données projet'!$B$88,BD23+BC24-BL23)))</f>
        <v>195.31</v>
      </c>
      <c r="BE24" s="13">
        <f>BD24*VLOOKUP('Données projet'!$B$11,Paramètres!$A$1:$I$89,3,0)*VLOOKUP('Données projet'!$B$11,Paramètres!$A$1:$I$89,5,0)</f>
        <v>109.17829</v>
      </c>
      <c r="BF24" s="13">
        <f t="shared" si="37"/>
        <v>29.137298882589644</v>
      </c>
      <c r="BG24" s="20">
        <f t="shared" si="7"/>
        <v>240.89965063717693</v>
      </c>
      <c r="BH24" s="59">
        <f t="shared" si="8"/>
        <v>534.2329839705103</v>
      </c>
      <c r="BI24" s="59">
        <f ca="1">AVERAGE(OFFSET($BH$3,0,0,'Données projet'!$E$11+1,1))-AVERAGE(OFFSET($H$3,0,0,'Données projet'!$E$11+1,1))</f>
        <v>321.85808080442411</v>
      </c>
      <c r="BJ24" s="59">
        <f t="shared" si="38"/>
        <v>285.95942591879702</v>
      </c>
      <c r="BK24" s="15">
        <f>IF(ISNA(VLOOKUP(A24,'Données projet'!$A$87:$I$107,3,0)),0,VLOOKUP(A24,'Données projet'!$A$87:$I$107,3,0))</f>
        <v>1</v>
      </c>
      <c r="BL24" s="15">
        <f>IF(ISNA(VLOOKUP(A24,'Données projet'!$A$87:$I$107,4,0)),0,VLOOKUP(A24,'Données projet'!$A$87:$I$107,4,0))</f>
        <v>64.58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1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40.873835031810877</v>
      </c>
      <c r="BS24" s="22">
        <f t="shared" si="9"/>
        <v>40.873835031810877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22.8</v>
      </c>
      <c r="N25" s="13">
        <f>IF('Données projet'!$A$36&gt;35,N24+M25-V24,IF(A25&lt;'Données projet'!$A$36,$K$205^A25,IF(A25='Données projet'!$A$36,'Données projet'!$B$36,N24+M25-V24)))</f>
        <v>185.60000000000005</v>
      </c>
      <c r="O25" s="13">
        <f>N25*VLOOKUP('Données projet'!$B$9,Paramètres!$A$1:$I$89,3,0)*VLOOKUP('Données projet'!$B$9,Paramètres!$A$1:$I$89,5,0)</f>
        <v>110.98880000000004</v>
      </c>
      <c r="P25" s="13">
        <f t="shared" si="33"/>
        <v>29.56383208945169</v>
      </c>
      <c r="Q25" s="20">
        <f t="shared" si="2"/>
        <v>244.79583422246174</v>
      </c>
      <c r="R25" s="59">
        <f t="shared" si="0"/>
        <v>538.12916755579499</v>
      </c>
      <c r="S25" s="59">
        <f ca="1">AVERAGE(OFFSET($R$3,0,0,'Données projet'!$E$9+1,1))-AVERAGE(OFFSET($H$3,0,0,'Données projet'!$E$9+1,1))</f>
        <v>430.93760474982633</v>
      </c>
      <c r="T25" s="59">
        <f t="shared" si="34"/>
        <v>371.5387876502981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21.192727106337962</v>
      </c>
      <c r="AB25" s="21">
        <f>EXP(-LN(2)/2)*AB24+(1-EXP(-LN(2)/2))/(LN(2)/2)*V25*Y25*VLOOKUP('Données projet'!$B$9,Paramètres!$A$1:$I$89,3,0)*0.475*44/12</f>
        <v>0.8378374602582509</v>
      </c>
      <c r="AC25" s="22">
        <f t="shared" si="3"/>
        <v>22.030564566596212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179.44051550872138</v>
      </c>
      <c r="AO25" s="59">
        <f t="shared" si="36"/>
        <v>272.9500808380069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12.51073965111269</v>
      </c>
      <c r="AW25" s="21">
        <f>EXP(-LN(2)/2)*AW24+(1-EXP(-LN(2)/2))/(LN(2)/2)*AQ25*AT25*VLOOKUP('Données projet'!$B$10,Paramètres!$A$1:$I$89,3,0)*0.475*44/12</f>
        <v>3.5325647682825752</v>
      </c>
      <c r="AX25" s="21">
        <f t="shared" si="6"/>
        <v>16.043304419395266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21.611428571428569</v>
      </c>
      <c r="BD25" s="12">
        <f>IF('Données projet'!$A$88&gt;35,BD24+BC25-BL24,IF(A25&lt;'Données projet'!$A$88,$BA$205^A25,IF(A25='Données projet'!$A$88,'Données projet'!$B$88,BD24+BC25-BL24)))</f>
        <v>152.34142857142859</v>
      </c>
      <c r="BE25" s="13">
        <f>BD25*VLOOKUP('Données projet'!$B$11,Paramètres!$A$1:$I$89,3,0)*VLOOKUP('Données projet'!$B$11,Paramètres!$A$1:$I$89,5,0)</f>
        <v>85.158858571428595</v>
      </c>
      <c r="BF25" s="13">
        <f t="shared" si="37"/>
        <v>23.393927744135361</v>
      </c>
      <c r="BG25" s="20">
        <f t="shared" si="7"/>
        <v>189.06276949960724</v>
      </c>
      <c r="BH25" s="59">
        <f t="shared" si="8"/>
        <v>482.39610283294053</v>
      </c>
      <c r="BI25" s="59">
        <f ca="1">AVERAGE(OFFSET($BH$3,0,0,'Données projet'!$E$11+1,1))-AVERAGE(OFFSET($H$3,0,0,'Données projet'!$E$11+1,1))</f>
        <v>321.85808080442411</v>
      </c>
      <c r="BJ25" s="59">
        <f t="shared" si="38"/>
        <v>285.95942591879702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28.902165924093737</v>
      </c>
      <c r="BS25" s="22">
        <f t="shared" si="9"/>
        <v>28.902165924093737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22.8</v>
      </c>
      <c r="N26" s="13">
        <f>IF('Données projet'!$A$36&gt;35,N25+M26-V25,IF(A26&lt;'Données projet'!$A$36,$K$205^A26,IF(A26='Données projet'!$A$36,'Données projet'!$B$36,N25+M26-V25)))</f>
        <v>208.40000000000006</v>
      </c>
      <c r="O26" s="13">
        <f>N26*VLOOKUP('Données projet'!$B$9,Paramètres!$A$1:$I$89,3,0)*VLOOKUP('Données projet'!$B$9,Paramètres!$A$1:$I$89,5,0)</f>
        <v>124.62320000000004</v>
      </c>
      <c r="P26" s="13">
        <f t="shared" si="33"/>
        <v>32.750900958675722</v>
      </c>
      <c r="Q26" s="20">
        <f t="shared" si="2"/>
        <v>274.09322583636032</v>
      </c>
      <c r="R26" s="59">
        <f t="shared" si="0"/>
        <v>567.42655916969363</v>
      </c>
      <c r="S26" s="59">
        <f ca="1">AVERAGE(OFFSET($R$3,0,0,'Données projet'!$E$9+1,1))-AVERAGE(OFFSET($H$3,0,0,'Données projet'!$E$9+1,1))</f>
        <v>430.93760474982633</v>
      </c>
      <c r="T26" s="59">
        <f t="shared" si="34"/>
        <v>371.5387876502981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20.613210869138069</v>
      </c>
      <c r="AB26" s="21">
        <f>EXP(-LN(2)/2)*AB25+(1-EXP(-LN(2)/2))/(LN(2)/2)*V26*Y26*VLOOKUP('Données projet'!$B$9,Paramètres!$A$1:$I$89,3,0)*0.475*44/12</f>
        <v>0.59244054968072379</v>
      </c>
      <c r="AC26" s="22">
        <f t="shared" si="3"/>
        <v>21.205651418818793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179.44051550872138</v>
      </c>
      <c r="AO26" s="59">
        <f t="shared" si="36"/>
        <v>272.9500808380069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12.168632817441809</v>
      </c>
      <c r="AW26" s="21">
        <f>EXP(-LN(2)/2)*AW25+(1-EXP(-LN(2)/2))/(LN(2)/2)*AQ26*AT26*VLOOKUP('Données projet'!$B$10,Paramètres!$A$1:$I$89,3,0)*0.475*44/12</f>
        <v>2.4979005026332941</v>
      </c>
      <c r="AX26" s="21">
        <f t="shared" si="6"/>
        <v>14.666533320075104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21.611428571428569</v>
      </c>
      <c r="BD26" s="12">
        <f>IF('Données projet'!$A$88&gt;35,BD25+BC26-BL25,IF(A26&lt;'Données projet'!$A$88,$BA$205^A26,IF(A26='Données projet'!$A$88,'Données projet'!$B$88,BD25+BC26-BL25)))</f>
        <v>173.95285714285717</v>
      </c>
      <c r="BE26" s="13">
        <f>BD26*VLOOKUP('Données projet'!$B$11,Paramètres!$A$1:$I$89,3,0)*VLOOKUP('Données projet'!$B$11,Paramètres!$A$1:$I$89,5,0)</f>
        <v>97.239647142857166</v>
      </c>
      <c r="BF26" s="13">
        <f t="shared" si="37"/>
        <v>26.303314054070633</v>
      </c>
      <c r="BG26" s="20">
        <f t="shared" si="7"/>
        <v>215.1706574179826</v>
      </c>
      <c r="BH26" s="59">
        <f t="shared" si="8"/>
        <v>508.50399075131588</v>
      </c>
      <c r="BI26" s="59">
        <f ca="1">AVERAGE(OFFSET($BH$3,0,0,'Données projet'!$E$11+1,1))-AVERAGE(OFFSET($H$3,0,0,'Données projet'!$E$11+1,1))</f>
        <v>321.85808080442411</v>
      </c>
      <c r="BJ26" s="59">
        <f t="shared" si="38"/>
        <v>285.95942591879702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20.436917515905442</v>
      </c>
      <c r="BS26" s="22">
        <f t="shared" si="9"/>
        <v>20.436917515905442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22.8</v>
      </c>
      <c r="N27" s="13">
        <f>IF('Données projet'!$A$36&gt;35,N26+M27-V26,IF(A27&lt;'Données projet'!$A$36,$K$205^A27,IF(A27='Données projet'!$A$36,'Données projet'!$B$36,N26+M27-V26)))</f>
        <v>231.20000000000007</v>
      </c>
      <c r="O27" s="13">
        <f>N27*VLOOKUP('Données projet'!$B$9,Paramètres!$A$1:$I$89,3,0)*VLOOKUP('Données projet'!$B$9,Paramètres!$A$1:$I$89,5,0)</f>
        <v>138.25760000000005</v>
      </c>
      <c r="P27" s="13">
        <f t="shared" si="33"/>
        <v>35.897555647294986</v>
      </c>
      <c r="Q27" s="20">
        <f t="shared" si="2"/>
        <v>303.32022941903887</v>
      </c>
      <c r="R27" s="59">
        <f t="shared" si="0"/>
        <v>596.65356275237218</v>
      </c>
      <c r="S27" s="59">
        <f ca="1">AVERAGE(OFFSET($R$3,0,0,'Données projet'!$E$9+1,1))-AVERAGE(OFFSET($H$3,0,0,'Données projet'!$E$9+1,1))</f>
        <v>430.93760474982633</v>
      </c>
      <c r="T27" s="59">
        <f t="shared" si="34"/>
        <v>371.5387876502981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20.04954153391984</v>
      </c>
      <c r="AB27" s="21">
        <f>EXP(-LN(2)/2)*AB26+(1-EXP(-LN(2)/2))/(LN(2)/2)*V27*Y27*VLOOKUP('Données projet'!$B$9,Paramètres!$A$1:$I$89,3,0)*0.475*44/12</f>
        <v>0.41891873012912551</v>
      </c>
      <c r="AC27" s="22">
        <f t="shared" si="3"/>
        <v>20.468460264048964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179.44051550872138</v>
      </c>
      <c r="AO27" s="59">
        <f t="shared" si="36"/>
        <v>272.9500808380069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0.6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26.182475839785749</v>
      </c>
      <c r="AW27" s="21">
        <f>EXP(-LN(2)/2)*AW26+(1-EXP(-LN(2)/2))/(LN(2)/2)*AQ27*AT27*VLOOKUP('Données projet'!$B$10,Paramètres!$A$1:$I$89,3,0)*0.475*44/12</f>
        <v>1.7662823841412878</v>
      </c>
      <c r="AX27" s="21">
        <f t="shared" si="6"/>
        <v>27.948758223927037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21.611428571428569</v>
      </c>
      <c r="BD27" s="12">
        <f>IF('Données projet'!$A$88&gt;35,BD26+BC27-BL26,IF(A27&lt;'Données projet'!$A$88,$BA$205^A27,IF(A27='Données projet'!$A$88,'Données projet'!$B$88,BD26+BC27-BL26)))</f>
        <v>195.56428571428575</v>
      </c>
      <c r="BE27" s="13">
        <f>BD27*VLOOKUP('Données projet'!$B$11,Paramètres!$A$1:$I$89,3,0)*VLOOKUP('Données projet'!$B$11,Paramètres!$A$1:$I$89,5,0)</f>
        <v>109.32043571428572</v>
      </c>
      <c r="BF27" s="13">
        <f t="shared" si="37"/>
        <v>29.170816225668112</v>
      </c>
      <c r="BG27" s="20">
        <f t="shared" si="7"/>
        <v>241.20559712875288</v>
      </c>
      <c r="BH27" s="59">
        <f t="shared" si="8"/>
        <v>534.53893046208623</v>
      </c>
      <c r="BI27" s="59">
        <f ca="1">AVERAGE(OFFSET($BH$3,0,0,'Données projet'!$E$11+1,1))-AVERAGE(OFFSET($H$3,0,0,'Données projet'!$E$11+1,1))</f>
        <v>321.85808080442411</v>
      </c>
      <c r="BJ27" s="59">
        <f t="shared" si="38"/>
        <v>285.95942591879702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14.45108296204687</v>
      </c>
      <c r="BS27" s="22">
        <f t="shared" si="9"/>
        <v>14.45108296204687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254</v>
      </c>
      <c r="L28" s="12">
        <f>VLOOKUP(A28,'Données projet'!$A$35:$I$55,9,0)</f>
        <v>22.8</v>
      </c>
      <c r="M28" s="12">
        <f t="array" ref="M28">INDEX(L:L,MIN(IF(ISNUMBER(L28:L224),ROW(L28:L224),"")))</f>
        <v>22.8</v>
      </c>
      <c r="N28" s="13">
        <f>IF('Données projet'!$A$36&gt;35,N27+M28-V27,IF(A28&lt;'Données projet'!$A$36,$K$205^A28,IF(A28='Données projet'!$A$36,'Données projet'!$B$36,N27+M28-V27)))</f>
        <v>254.00000000000009</v>
      </c>
      <c r="O28" s="13">
        <f>N28*VLOOKUP('Données projet'!$B$9,Paramètres!$A$1:$I$89,3,0)*VLOOKUP('Données projet'!$B$9,Paramètres!$A$1:$I$89,5,0)</f>
        <v>151.89200000000005</v>
      </c>
      <c r="P28" s="13">
        <f t="shared" si="33"/>
        <v>39.008235247069457</v>
      </c>
      <c r="Q28" s="20">
        <f t="shared" si="2"/>
        <v>332.48457638864602</v>
      </c>
      <c r="R28" s="59">
        <f t="shared" si="0"/>
        <v>625.81790972197928</v>
      </c>
      <c r="S28" s="59">
        <f ca="1">AVERAGE(OFFSET($R$3,0,0,'Données projet'!$E$9+1,1))-AVERAGE(OFFSET($H$3,0,0,'Données projet'!$E$9+1,1))</f>
        <v>430.93760474982633</v>
      </c>
      <c r="T28" s="59">
        <f t="shared" si="34"/>
        <v>371.5387876502981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63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0.45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41.902380646408645</v>
      </c>
      <c r="AB28" s="21">
        <f>EXP(-LN(2)/2)*AB27+(1-EXP(-LN(2)/2))/(LN(2)/2)*V28*Y28*VLOOKUP('Données projet'!$B$9,Paramètres!$A$1:$I$89,3,0)*0.475*44/12</f>
        <v>0.2962202748403619</v>
      </c>
      <c r="AC28" s="22">
        <f t="shared" si="3"/>
        <v>42.198600921249003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179.44051550872138</v>
      </c>
      <c r="AO28" s="59">
        <f t="shared" si="36"/>
        <v>272.9500808380069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25.466514661070242</v>
      </c>
      <c r="AW28" s="21">
        <f>EXP(-LN(2)/2)*AW27+(1-EXP(-LN(2)/2))/(LN(2)/2)*AQ28*AT28*VLOOKUP('Données projet'!$B$10,Paramètres!$A$1:$I$89,3,0)*0.475*44/12</f>
        <v>1.2489502513166471</v>
      </c>
      <c r="AX28" s="21">
        <f t="shared" si="6"/>
        <v>26.715464912386889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21.611428571428569</v>
      </c>
      <c r="BD28" s="12">
        <f>IF('Données projet'!$A$88&gt;35,BD27+BC28-BL27,IF(A28&lt;'Données projet'!$A$88,$BA$205^A28,IF(A28='Données projet'!$A$88,'Données projet'!$B$88,BD27+BC28-BL27)))</f>
        <v>217.17571428571432</v>
      </c>
      <c r="BE28" s="13">
        <f>BD28*VLOOKUP('Données projet'!$B$11,Paramètres!$A$1:$I$89,3,0)*VLOOKUP('Données projet'!$B$11,Paramètres!$A$1:$I$89,5,0)</f>
        <v>121.40122428571431</v>
      </c>
      <c r="BF28" s="13">
        <f t="shared" si="37"/>
        <v>32.00159070745466</v>
      </c>
      <c r="BG28" s="20">
        <f t="shared" si="7"/>
        <v>267.17656944643591</v>
      </c>
      <c r="BH28" s="59">
        <f t="shared" si="8"/>
        <v>560.50990277976916</v>
      </c>
      <c r="BI28" s="59">
        <f ca="1">AVERAGE(OFFSET($BH$3,0,0,'Données projet'!$E$11+1,1))-AVERAGE(OFFSET($H$3,0,0,'Données projet'!$E$11+1,1))</f>
        <v>321.85808080442411</v>
      </c>
      <c r="BJ28" s="59">
        <f t="shared" si="38"/>
        <v>285.95942591879702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10.218458757952723</v>
      </c>
      <c r="BS28" s="22">
        <f t="shared" si="9"/>
        <v>10.218458757952723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</v>
      </c>
      <c r="N29" s="13">
        <f>IF('Données projet'!$A$36&gt;35,N28+M29-V28,IF(A29&lt;'Données projet'!$A$36,$K$205^A29,IF(A29='Données projet'!$A$36,'Données projet'!$B$36,N28+M29-V28)))</f>
        <v>215.00000000000011</v>
      </c>
      <c r="O29" s="13">
        <f>N29*VLOOKUP('Données projet'!$B$9,Paramètres!$A$1:$I$89,3,0)*VLOOKUP('Données projet'!$B$9,Paramètres!$A$1:$I$89,5,0)</f>
        <v>128.57000000000008</v>
      </c>
      <c r="P29" s="13">
        <f t="shared" si="33"/>
        <v>33.665715905233277</v>
      </c>
      <c r="Q29" s="20">
        <f t="shared" si="2"/>
        <v>282.56053853494808</v>
      </c>
      <c r="R29" s="59">
        <f t="shared" si="0"/>
        <v>575.89387186828139</v>
      </c>
      <c r="S29" s="59">
        <f ca="1">AVERAGE(OFFSET($R$3,0,0,'Données projet'!$E$9+1,1))-AVERAGE(OFFSET($H$3,0,0,'Données projet'!$E$9+1,1))</f>
        <v>430.93760474982633</v>
      </c>
      <c r="T29" s="59">
        <f t="shared" si="34"/>
        <v>371.5387876502981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40.756557844082174</v>
      </c>
      <c r="AB29" s="21">
        <f>EXP(-LN(2)/2)*AB28+(1-EXP(-LN(2)/2))/(LN(2)/2)*V29*Y29*VLOOKUP('Données projet'!$B$9,Paramètres!$A$1:$I$89,3,0)*0.475*44/12</f>
        <v>0.20945936506456275</v>
      </c>
      <c r="AC29" s="22">
        <f t="shared" si="3"/>
        <v>40.966017209146735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179.44051550872138</v>
      </c>
      <c r="AO29" s="59">
        <f t="shared" si="36"/>
        <v>272.9500808380069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24.770131478437474</v>
      </c>
      <c r="AW29" s="21">
        <f>EXP(-LN(2)/2)*AW28+(1-EXP(-LN(2)/2))/(LN(2)/2)*AQ29*AT29*VLOOKUP('Données projet'!$B$10,Paramètres!$A$1:$I$89,3,0)*0.475*44/12</f>
        <v>0.8831411920706439</v>
      </c>
      <c r="AX29" s="21">
        <f t="shared" si="6"/>
        <v>25.653272670508116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21.611428571428569</v>
      </c>
      <c r="BD29" s="12">
        <f>IF('Données projet'!$A$88&gt;35,BD28+BC29-BL28,IF(A29&lt;'Données projet'!$A$88,$BA$205^A29,IF(A29='Données projet'!$A$88,'Données projet'!$B$88,BD28+BC29-BL28)))</f>
        <v>238.7871428571429</v>
      </c>
      <c r="BE29" s="13">
        <f>BD29*VLOOKUP('Données projet'!$B$11,Paramètres!$A$1:$I$89,3,0)*VLOOKUP('Données projet'!$B$11,Paramètres!$A$1:$I$89,5,0)</f>
        <v>133.48201285714288</v>
      </c>
      <c r="BF29" s="13">
        <f t="shared" si="37"/>
        <v>34.799708343729343</v>
      </c>
      <c r="BG29" s="20">
        <f t="shared" si="7"/>
        <v>293.09066442485249</v>
      </c>
      <c r="BH29" s="59">
        <f t="shared" si="8"/>
        <v>586.42399775818581</v>
      </c>
      <c r="BI29" s="59">
        <f ca="1">AVERAGE(OFFSET($BH$3,0,0,'Données projet'!$E$11+1,1))-AVERAGE(OFFSET($H$3,0,0,'Données projet'!$E$11+1,1))</f>
        <v>321.85808080442411</v>
      </c>
      <c r="BJ29" s="59">
        <f t="shared" si="38"/>
        <v>285.95942591879702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7.2255414810234369</v>
      </c>
      <c r="BS29" s="22">
        <f t="shared" si="9"/>
        <v>7.2255414810234369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</v>
      </c>
      <c r="N30" s="13">
        <f>IF('Données projet'!$A$36&gt;35,N29+M30-V29,IF(A30&lt;'Données projet'!$A$36,$K$205^A30,IF(A30='Données projet'!$A$36,'Données projet'!$B$36,N29+M30-V29)))</f>
        <v>239.00000000000011</v>
      </c>
      <c r="O30" s="13">
        <f>N30*VLOOKUP('Données projet'!$B$9,Paramètres!$A$1:$I$89,3,0)*VLOOKUP('Données projet'!$B$9,Paramètres!$A$1:$I$89,5,0)</f>
        <v>142.92200000000008</v>
      </c>
      <c r="P30" s="13">
        <f t="shared" si="33"/>
        <v>36.965587791044591</v>
      </c>
      <c r="Q30" s="20">
        <f t="shared" si="2"/>
        <v>313.30421540273613</v>
      </c>
      <c r="R30" s="59">
        <f t="shared" si="0"/>
        <v>606.63754873606945</v>
      </c>
      <c r="S30" s="59">
        <f ca="1">AVERAGE(OFFSET($R$3,0,0,'Données projet'!$E$9+1,1))-AVERAGE(OFFSET($H$3,0,0,'Données projet'!$E$9+1,1))</f>
        <v>430.93760474982633</v>
      </c>
      <c r="T30" s="59">
        <f t="shared" si="34"/>
        <v>371.5387876502981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39.642067626541518</v>
      </c>
      <c r="AB30" s="21">
        <f>EXP(-LN(2)/2)*AB29+(1-EXP(-LN(2)/2))/(LN(2)/2)*V30*Y30*VLOOKUP('Données projet'!$B$9,Paramètres!$A$1:$I$89,3,0)*0.475*44/12</f>
        <v>0.14811013742018095</v>
      </c>
      <c r="AC30" s="22">
        <f t="shared" si="3"/>
        <v>39.790177763961701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179.44051550872138</v>
      </c>
      <c r="AO30" s="59">
        <f t="shared" si="36"/>
        <v>272.9500808380069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24.092790930555001</v>
      </c>
      <c r="AW30" s="21">
        <f>EXP(-LN(2)/2)*AW29+(1-EXP(-LN(2)/2))/(LN(2)/2)*AQ30*AT30*VLOOKUP('Données projet'!$B$10,Paramètres!$A$1:$I$89,3,0)*0.475*44/12</f>
        <v>0.62447512565832353</v>
      </c>
      <c r="AX30" s="21">
        <f t="shared" si="6"/>
        <v>24.717266056213326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21.611428571428569</v>
      </c>
      <c r="BD30" s="12">
        <f>IF('Données projet'!$A$88&gt;35,BD29+BC30-BL29,IF(A30&lt;'Données projet'!$A$88,$BA$205^A30,IF(A30='Données projet'!$A$88,'Données projet'!$B$88,BD29+BC30-BL29)))</f>
        <v>260.39857142857147</v>
      </c>
      <c r="BE30" s="13">
        <f>BD30*VLOOKUP('Données projet'!$B$11,Paramètres!$A$1:$I$89,3,0)*VLOOKUP('Données projet'!$B$11,Paramètres!$A$1:$I$89,5,0)</f>
        <v>145.56280142857145</v>
      </c>
      <c r="BF30" s="13">
        <f t="shared" si="37"/>
        <v>37.568460865877768</v>
      </c>
      <c r="BG30" s="20">
        <f t="shared" si="7"/>
        <v>318.95361516283236</v>
      </c>
      <c r="BH30" s="59">
        <f t="shared" si="8"/>
        <v>612.28694849616568</v>
      </c>
      <c r="BI30" s="59">
        <f ca="1">AVERAGE(OFFSET($BH$3,0,0,'Données projet'!$E$11+1,1))-AVERAGE(OFFSET($H$3,0,0,'Données projet'!$E$11+1,1))</f>
        <v>321.85808080442411</v>
      </c>
      <c r="BJ30" s="59">
        <f t="shared" si="38"/>
        <v>285.95942591879702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5.1092293789763623</v>
      </c>
      <c r="BS30" s="22">
        <f t="shared" si="9"/>
        <v>5.1092293789763623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</v>
      </c>
      <c r="N31" s="13">
        <f>IF('Données projet'!$A$36&gt;35,N30+M31-V30,IF(A31&lt;'Données projet'!$A$36,$K$205^A31,IF(A31='Données projet'!$A$36,'Données projet'!$B$36,N30+M31-V30)))</f>
        <v>263.00000000000011</v>
      </c>
      <c r="O31" s="13">
        <f>N31*VLOOKUP('Données projet'!$B$9,Paramètres!$A$1:$I$89,3,0)*VLOOKUP('Données projet'!$B$9,Paramètres!$A$1:$I$89,5,0)</f>
        <v>157.27400000000009</v>
      </c>
      <c r="P31" s="13">
        <f t="shared" si="33"/>
        <v>40.22704491543449</v>
      </c>
      <c r="Q31" s="20">
        <f t="shared" si="2"/>
        <v>343.98098656104861</v>
      </c>
      <c r="R31" s="59">
        <f t="shared" si="0"/>
        <v>637.31431989438192</v>
      </c>
      <c r="S31" s="59">
        <f ca="1">AVERAGE(OFFSET($R$3,0,0,'Données projet'!$E$9+1,1))-AVERAGE(OFFSET($H$3,0,0,'Données projet'!$E$9+1,1))</f>
        <v>430.93760474982633</v>
      </c>
      <c r="T31" s="59">
        <f t="shared" si="34"/>
        <v>371.5387876502981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38.558053202608008</v>
      </c>
      <c r="AB31" s="21">
        <f>EXP(-LN(2)/2)*AB30+(1-EXP(-LN(2)/2))/(LN(2)/2)*V31*Y31*VLOOKUP('Données projet'!$B$9,Paramètres!$A$1:$I$89,3,0)*0.475*44/12</f>
        <v>0.10472968253228138</v>
      </c>
      <c r="AC31" s="22">
        <f t="shared" si="3"/>
        <v>38.662782885140288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179.44051550872138</v>
      </c>
      <c r="AO31" s="59">
        <f t="shared" si="36"/>
        <v>272.9500808380069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23.433972295574165</v>
      </c>
      <c r="AW31" s="21">
        <f>EXP(-LN(2)/2)*AW30+(1-EXP(-LN(2)/2))/(LN(2)/2)*AQ31*AT31*VLOOKUP('Données projet'!$B$10,Paramètres!$A$1:$I$89,3,0)*0.475*44/12</f>
        <v>0.44157059603532195</v>
      </c>
      <c r="AX31" s="21">
        <f t="shared" si="6"/>
        <v>23.875542891609488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>
        <f>VLOOKUP(A31,'Données projet'!$A$87:$I$107,2,0)</f>
        <v>282.01</v>
      </c>
      <c r="BB31" s="12">
        <f>VLOOKUP(A31,'Données projet'!$A$87:$I$107,9,0)</f>
        <v>21.611428571428569</v>
      </c>
      <c r="BC31" s="12">
        <f t="array" ref="BC31">INDEX(BB:BB,MIN(IF(ISNUMBER(BB31:BB227),ROW(BB31:BB227),"")))</f>
        <v>21.611428571428569</v>
      </c>
      <c r="BD31" s="12">
        <f>IF('Données projet'!$A$88&gt;35,BD30+BC31-BL30,IF(A31&lt;'Données projet'!$A$88,$BA$205^A31,IF(A31='Données projet'!$A$88,'Données projet'!$B$88,BD30+BC31-BL30)))</f>
        <v>282.01000000000005</v>
      </c>
      <c r="BE31" s="13">
        <f>BD31*VLOOKUP('Données projet'!$B$11,Paramètres!$A$1:$I$89,3,0)*VLOOKUP('Données projet'!$B$11,Paramètres!$A$1:$I$89,5,0)</f>
        <v>157.64359000000002</v>
      </c>
      <c r="BF31" s="13">
        <f t="shared" si="37"/>
        <v>40.310562469543989</v>
      </c>
      <c r="BG31" s="20">
        <f t="shared" si="7"/>
        <v>344.77014888445575</v>
      </c>
      <c r="BH31" s="59">
        <f t="shared" si="8"/>
        <v>638.10348221778906</v>
      </c>
      <c r="BI31" s="59">
        <f ca="1">AVERAGE(OFFSET($BH$3,0,0,'Données projet'!$E$11+1,1))-AVERAGE(OFFSET($H$3,0,0,'Données projet'!$E$11+1,1))</f>
        <v>321.85808080442411</v>
      </c>
      <c r="BJ31" s="59">
        <f t="shared" si="38"/>
        <v>285.95942591879702</v>
      </c>
      <c r="BK31" s="15">
        <f>IF(ISNA(VLOOKUP(A31,'Données projet'!$A$87:$I$107,3,0)),0,VLOOKUP(A31,'Données projet'!$A$87:$I$107,3,0))</f>
        <v>2</v>
      </c>
      <c r="BL31" s="15">
        <f>IF(ISNA(VLOOKUP(A31,'Données projet'!$A$87:$I$107,4,0)),0,VLOOKUP(A31,'Données projet'!$A$87:$I$107,4,0))</f>
        <v>67.61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0.55000000000000004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27.466317220719024</v>
      </c>
      <c r="BR31" s="21">
        <f>EXP(-LN(2)/2)*BR30+(1-EXP(-LN(2)/2))/(LN(2)/2)*BL31*BO31*VLOOKUP('Données projet'!$B$11,Paramètres!$A$1:$I$89,3,0)*0.475*44/12</f>
        <v>3.6127707405117189</v>
      </c>
      <c r="BS31" s="22">
        <f t="shared" si="9"/>
        <v>31.079087961230741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</v>
      </c>
      <c r="N32" s="13">
        <f>IF('Données projet'!$A$36&gt;35,N31+M32-V31,IF(A32&lt;'Données projet'!$A$36,$K$205^A32,IF(A32='Données projet'!$A$36,'Données projet'!$B$36,N31+M32-V31)))</f>
        <v>287.00000000000011</v>
      </c>
      <c r="O32" s="13">
        <f>N32*VLOOKUP('Données projet'!$B$9,Paramètres!$A$1:$I$89,3,0)*VLOOKUP('Données projet'!$B$9,Paramètres!$A$1:$I$89,5,0)</f>
        <v>171.62600000000009</v>
      </c>
      <c r="P32" s="13">
        <f t="shared" si="33"/>
        <v>43.453991492329642</v>
      </c>
      <c r="Q32" s="20">
        <f t="shared" si="2"/>
        <v>374.5976518491409</v>
      </c>
      <c r="R32" s="59">
        <f t="shared" si="0"/>
        <v>667.93098518247416</v>
      </c>
      <c r="S32" s="59">
        <f ca="1">AVERAGE(OFFSET($R$3,0,0,'Données projet'!$E$9+1,1))-AVERAGE(OFFSET($H$3,0,0,'Données projet'!$E$9+1,1))</f>
        <v>430.93760474982633</v>
      </c>
      <c r="T32" s="59">
        <f t="shared" si="34"/>
        <v>371.5387876502981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37.503681210102798</v>
      </c>
      <c r="AB32" s="21">
        <f>EXP(-LN(2)/2)*AB31+(1-EXP(-LN(2)/2))/(LN(2)/2)*V32*Y32*VLOOKUP('Données projet'!$B$9,Paramètres!$A$1:$I$89,3,0)*0.475*44/12</f>
        <v>7.4055068710090474E-2</v>
      </c>
      <c r="AC32" s="22">
        <f t="shared" si="3"/>
        <v>37.577736278812885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179.44051550872138</v>
      </c>
      <c r="AO32" s="59">
        <f t="shared" si="36"/>
        <v>272.9500808380069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22.793169090812647</v>
      </c>
      <c r="AW32" s="21">
        <f>EXP(-LN(2)/2)*AW31+(1-EXP(-LN(2)/2))/(LN(2)/2)*AQ32*AT32*VLOOKUP('Données projet'!$B$10,Paramètres!$A$1:$I$89,3,0)*0.475*44/12</f>
        <v>0.31223756282916176</v>
      </c>
      <c r="AX32" s="21">
        <f t="shared" si="6"/>
        <v>23.105406653641808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23.261428571428578</v>
      </c>
      <c r="BD32" s="12">
        <f>IF('Données projet'!$A$88&gt;35,BD31+BC32-BL31,IF(A32&lt;'Données projet'!$A$88,$BA$205^A32,IF(A32='Données projet'!$A$88,'Données projet'!$B$88,BD31+BC32-BL31)))</f>
        <v>237.66142857142859</v>
      </c>
      <c r="BE32" s="13">
        <f>BD32*VLOOKUP('Données projet'!$B$11,Paramètres!$A$1:$I$89,3,0)*VLOOKUP('Données projet'!$B$11,Paramètres!$A$1:$I$89,5,0)</f>
        <v>132.85273857142857</v>
      </c>
      <c r="BF32" s="13">
        <f t="shared" si="37"/>
        <v>34.654708377459542</v>
      </c>
      <c r="BG32" s="20">
        <f t="shared" si="7"/>
        <v>291.74213676931345</v>
      </c>
      <c r="BH32" s="59">
        <f t="shared" si="8"/>
        <v>585.0754701026467</v>
      </c>
      <c r="BI32" s="59">
        <f ca="1">AVERAGE(OFFSET($BH$3,0,0,'Données projet'!$E$11+1,1))-AVERAGE(OFFSET($H$3,0,0,'Données projet'!$E$11+1,1))</f>
        <v>321.85808080442411</v>
      </c>
      <c r="BJ32" s="59">
        <f t="shared" si="38"/>
        <v>285.95942591879702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26.715249331927616</v>
      </c>
      <c r="BR32" s="21">
        <f>EXP(-LN(2)/2)*BR31+(1-EXP(-LN(2)/2))/(LN(2)/2)*BL32*BO32*VLOOKUP('Données projet'!$B$11,Paramètres!$A$1:$I$89,3,0)*0.475*44/12</f>
        <v>2.5546146894881816</v>
      </c>
      <c r="BS32" s="22">
        <f t="shared" si="9"/>
        <v>29.269864021415799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311</v>
      </c>
      <c r="L33" s="12">
        <f>VLOOKUP(A33,'Données projet'!$A$35:$I$55,9,0)</f>
        <v>24</v>
      </c>
      <c r="M33" s="12">
        <f t="array" ref="M33">INDEX(L:L,MIN(IF(ISNUMBER(L33:L229),ROW(L33:L229),"")))</f>
        <v>24</v>
      </c>
      <c r="N33" s="13">
        <f>IF('Données projet'!$A$36&gt;35,N32+M33-V32,IF(A33&lt;'Données projet'!$A$36,$K$205^A33,IF(A33='Données projet'!$A$36,'Données projet'!$B$36,N32+M33-V32)))</f>
        <v>311.00000000000011</v>
      </c>
      <c r="O33" s="13">
        <f>N33*VLOOKUP('Données projet'!$B$9,Paramètres!$A$1:$I$89,3,0)*VLOOKUP('Données projet'!$B$9,Paramètres!$A$1:$I$89,5,0)</f>
        <v>185.97800000000009</v>
      </c>
      <c r="P33" s="13">
        <f t="shared" si="33"/>
        <v>46.649641523668613</v>
      </c>
      <c r="Q33" s="20">
        <f t="shared" si="2"/>
        <v>405.15980898705629</v>
      </c>
      <c r="R33" s="59">
        <f t="shared" si="0"/>
        <v>698.49314232038955</v>
      </c>
      <c r="S33" s="59">
        <f ca="1">AVERAGE(OFFSET($R$3,0,0,'Données projet'!$E$9+1,1))-AVERAGE(OFFSET($H$3,0,0,'Données projet'!$E$9+1,1))</f>
        <v>430.93760474982633</v>
      </c>
      <c r="T33" s="59">
        <f t="shared" si="34"/>
        <v>371.5387876502981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63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0.45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58.87923595527306</v>
      </c>
      <c r="AB33" s="21">
        <f>EXP(-LN(2)/2)*AB32+(1-EXP(-LN(2)/2))/(LN(2)/2)*V33*Y33*VLOOKUP('Données projet'!$B$9,Paramètres!$A$1:$I$89,3,0)*0.475*44/12</f>
        <v>5.2364841266140688E-2</v>
      </c>
      <c r="AC33" s="22">
        <f t="shared" si="3"/>
        <v>58.9316007965392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179.44051550872138</v>
      </c>
      <c r="AO33" s="59">
        <f t="shared" si="36"/>
        <v>272.9500808380069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48.389527687274949</v>
      </c>
      <c r="AW33" s="21">
        <f>EXP(-LN(2)/2)*AW32+(1-EXP(-LN(2)/2))/(LN(2)/2)*AQ33*AT33*VLOOKUP('Données projet'!$B$10,Paramètres!$A$1:$I$89,3,0)*0.475*44/12</f>
        <v>0.22078529801766097</v>
      </c>
      <c r="AX33" s="21">
        <f t="shared" si="6"/>
        <v>48.610312985292609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23.261428571428578</v>
      </c>
      <c r="BD33" s="12">
        <f>IF('Données projet'!$A$88&gt;35,BD32+BC33-BL32,IF(A33&lt;'Données projet'!$A$88,$BA$205^A33,IF(A33='Données projet'!$A$88,'Données projet'!$B$88,BD32+BC33-BL32)))</f>
        <v>260.92285714285714</v>
      </c>
      <c r="BE33" s="13">
        <f>BD33*VLOOKUP('Données projet'!$B$11,Paramètres!$A$1:$I$89,3,0)*VLOOKUP('Données projet'!$B$11,Paramètres!$A$1:$I$89,5,0)</f>
        <v>145.85587714285714</v>
      </c>
      <c r="BF33" s="13">
        <f t="shared" si="37"/>
        <v>37.635288745499921</v>
      </c>
      <c r="BG33" s="20">
        <f t="shared" si="7"/>
        <v>319.58044725555516</v>
      </c>
      <c r="BH33" s="59">
        <f t="shared" si="8"/>
        <v>612.91378058888847</v>
      </c>
      <c r="BI33" s="59">
        <f ca="1">AVERAGE(OFFSET($BH$3,0,0,'Données projet'!$E$11+1,1))-AVERAGE(OFFSET($H$3,0,0,'Données projet'!$E$11+1,1))</f>
        <v>321.85808080442411</v>
      </c>
      <c r="BJ33" s="59">
        <f t="shared" si="38"/>
        <v>285.95942591879702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25.984719434052153</v>
      </c>
      <c r="BR33" s="21">
        <f>EXP(-LN(2)/2)*BR32+(1-EXP(-LN(2)/2))/(LN(2)/2)*BL33*BO33*VLOOKUP('Données projet'!$B$11,Paramètres!$A$1:$I$89,3,0)*0.475*44/12</f>
        <v>1.8063853702558599</v>
      </c>
      <c r="BS33" s="22">
        <f t="shared" si="9"/>
        <v>27.791104804308013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24.2</v>
      </c>
      <c r="N34" s="13">
        <f>IF('Données projet'!$A$36&gt;35,N33+M34-V33,IF(A34&lt;'Données projet'!$A$36,$K$205^A34,IF(A34='Données projet'!$A$36,'Données projet'!$B$36,N33+M34-V33)))</f>
        <v>272.2000000000001</v>
      </c>
      <c r="O34" s="13">
        <f>N34*VLOOKUP('Données projet'!$B$9,Paramètres!$A$1:$I$89,3,0)*VLOOKUP('Données projet'!$B$9,Paramètres!$A$1:$I$89,5,0)</f>
        <v>162.77560000000005</v>
      </c>
      <c r="P34" s="13">
        <f t="shared" si="33"/>
        <v>41.467931707956311</v>
      </c>
      <c r="Q34" s="20">
        <f t="shared" si="2"/>
        <v>355.72415105802401</v>
      </c>
      <c r="R34" s="59">
        <f t="shared" si="0"/>
        <v>649.05748439135732</v>
      </c>
      <c r="S34" s="59">
        <f ca="1">AVERAGE(OFFSET($R$3,0,0,'Données projet'!$E$9+1,1))-AVERAGE(OFFSET($H$3,0,0,'Données projet'!$E$9+1,1))</f>
        <v>430.93760474982633</v>
      </c>
      <c r="T34" s="59">
        <f t="shared" si="34"/>
        <v>371.5387876502981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57.269180151751669</v>
      </c>
      <c r="AB34" s="21">
        <f>EXP(-LN(2)/2)*AB33+(1-EXP(-LN(2)/2))/(LN(2)/2)*V34*Y34*VLOOKUP('Données projet'!$B$9,Paramètres!$A$1:$I$89,3,0)*0.475*44/12</f>
        <v>3.7027534355045237E-2</v>
      </c>
      <c r="AC34" s="22">
        <f t="shared" si="3"/>
        <v>57.306207686106717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179.44051550872138</v>
      </c>
      <c r="AO34" s="59">
        <f t="shared" si="36"/>
        <v>272.9500808380069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47.066313507971749</v>
      </c>
      <c r="AW34" s="21">
        <f>EXP(-LN(2)/2)*AW33+(1-EXP(-LN(2)/2))/(LN(2)/2)*AQ34*AT34*VLOOKUP('Données projet'!$B$10,Paramètres!$A$1:$I$89,3,0)*0.475*44/12</f>
        <v>0.15611878141458088</v>
      </c>
      <c r="AX34" s="21">
        <f t="shared" si="6"/>
        <v>47.222432289386333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23.261428571428578</v>
      </c>
      <c r="BD34" s="12">
        <f>IF('Données projet'!$A$88&gt;35,BD33+BC34-BL33,IF(A34&lt;'Données projet'!$A$88,$BA$205^A34,IF(A34='Données projet'!$A$88,'Données projet'!$B$88,BD33+BC34-BL33)))</f>
        <v>284.18428571428569</v>
      </c>
      <c r="BE34" s="13">
        <f>BD34*VLOOKUP('Données projet'!$B$11,Paramètres!$A$1:$I$89,3,0)*VLOOKUP('Données projet'!$B$11,Paramètres!$A$1:$I$89,5,0)</f>
        <v>158.8590157142857</v>
      </c>
      <c r="BF34" s="13">
        <f t="shared" si="37"/>
        <v>40.585056122005682</v>
      </c>
      <c r="BG34" s="20">
        <f t="shared" si="7"/>
        <v>347.3650917815408</v>
      </c>
      <c r="BH34" s="59">
        <f t="shared" si="8"/>
        <v>640.69842511487411</v>
      </c>
      <c r="BI34" s="59">
        <f ca="1">AVERAGE(OFFSET($BH$3,0,0,'Données projet'!$E$11+1,1))-AVERAGE(OFFSET($H$3,0,0,'Données projet'!$E$11+1,1))</f>
        <v>321.85808080442411</v>
      </c>
      <c r="BJ34" s="59">
        <f t="shared" si="38"/>
        <v>285.95942591879702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25.27416591465099</v>
      </c>
      <c r="BR34" s="21">
        <f>EXP(-LN(2)/2)*BR33+(1-EXP(-LN(2)/2))/(LN(2)/2)*BL34*BO34*VLOOKUP('Données projet'!$B$11,Paramètres!$A$1:$I$89,3,0)*0.475*44/12</f>
        <v>1.277307344744091</v>
      </c>
      <c r="BS34" s="22">
        <f t="shared" si="9"/>
        <v>26.551473259395081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24.2</v>
      </c>
      <c r="N35" s="13">
        <f>IF('Données projet'!$A$36&gt;35,N34+M35-V34,IF(A35&lt;'Données projet'!$A$36,$K$205^A35,IF(A35='Données projet'!$A$36,'Données projet'!$B$36,N34+M35-V34)))</f>
        <v>296.40000000000009</v>
      </c>
      <c r="O35" s="13">
        <f>N35*VLOOKUP('Données projet'!$B$9,Paramètres!$A$1:$I$89,3,0)*VLOOKUP('Données projet'!$B$9,Paramètres!$A$1:$I$89,5,0)</f>
        <v>177.24720000000008</v>
      </c>
      <c r="P35" s="13">
        <f t="shared" si="33"/>
        <v>44.709190633994517</v>
      </c>
      <c r="Q35" s="20">
        <f t="shared" ref="Q35:Q66" si="53">(O35+P35)*0.475*44/12</f>
        <v>386.57404702087388</v>
      </c>
      <c r="R35" s="59">
        <f t="shared" si="0"/>
        <v>679.90738035420713</v>
      </c>
      <c r="S35" s="59">
        <f ca="1">AVERAGE(OFFSET($R$3,0,0,'Données projet'!$E$9+1,1))-AVERAGE(OFFSET($H$3,0,0,'Données projet'!$E$9+1,1))</f>
        <v>430.93760474982633</v>
      </c>
      <c r="T35" s="59">
        <f t="shared" si="34"/>
        <v>371.5387876502981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55.703151408846729</v>
      </c>
      <c r="AB35" s="21">
        <f>EXP(-LN(2)/2)*AB34+(1-EXP(-LN(2)/2))/(LN(2)/2)*V35*Y35*VLOOKUP('Données projet'!$B$9,Paramètres!$A$1:$I$89,3,0)*0.475*44/12</f>
        <v>2.6182420633070344E-2</v>
      </c>
      <c r="AC35" s="22">
        <f t="shared" si="3"/>
        <v>55.729333829479799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179.44051550872138</v>
      </c>
      <c r="AO35" s="59">
        <f t="shared" si="36"/>
        <v>272.9500808380069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45.779282689986402</v>
      </c>
      <c r="AW35" s="21">
        <f>EXP(-LN(2)/2)*AW34+(1-EXP(-LN(2)/2))/(LN(2)/2)*AQ35*AT35*VLOOKUP('Données projet'!$B$10,Paramètres!$A$1:$I$89,3,0)*0.475*44/12</f>
        <v>0.11039264900883049</v>
      </c>
      <c r="AX35" s="21">
        <f t="shared" si="6"/>
        <v>45.889675338995232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23.261428571428578</v>
      </c>
      <c r="BD35" s="12">
        <f>IF('Données projet'!$A$88&gt;35,BD34+BC35-BL34,IF(A35&lt;'Données projet'!$A$88,$BA$205^A35,IF(A35='Données projet'!$A$88,'Données projet'!$B$88,BD34+BC35-BL34)))</f>
        <v>307.44571428571425</v>
      </c>
      <c r="BE35" s="13">
        <f>BD35*VLOOKUP('Données projet'!$B$11,Paramètres!$A$1:$I$89,3,0)*VLOOKUP('Données projet'!$B$11,Paramètres!$A$1:$I$89,5,0)</f>
        <v>171.86215428571427</v>
      </c>
      <c r="BF35" s="13">
        <f t="shared" si="37"/>
        <v>43.506819395139466</v>
      </c>
      <c r="BG35" s="20">
        <f t="shared" si="7"/>
        <v>375.10096249415352</v>
      </c>
      <c r="BH35" s="59">
        <f t="shared" si="8"/>
        <v>668.43429582748684</v>
      </c>
      <c r="BI35" s="59">
        <f ca="1">AVERAGE(OFFSET($BH$3,0,0,'Données projet'!$E$11+1,1))-AVERAGE(OFFSET($H$3,0,0,'Données projet'!$E$11+1,1))</f>
        <v>321.85808080442411</v>
      </c>
      <c r="BJ35" s="59">
        <f t="shared" si="38"/>
        <v>285.95942591879702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24.583042518604238</v>
      </c>
      <c r="BR35" s="21">
        <f>EXP(-LN(2)/2)*BR34+(1-EXP(-LN(2)/2))/(LN(2)/2)*BL35*BO35*VLOOKUP('Données projet'!$B$11,Paramètres!$A$1:$I$89,3,0)*0.475*44/12</f>
        <v>0.90319268512793005</v>
      </c>
      <c r="BS35" s="22">
        <f t="shared" si="9"/>
        <v>25.486235203732168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24.2</v>
      </c>
      <c r="N36" s="13">
        <f>IF('Données projet'!$A$36&gt;35,N35+M36-V35,IF(A36&lt;'Données projet'!$A$36,$K$205^A36,IF(A36='Données projet'!$A$36,'Données projet'!$B$36,N35+M36-V35)))</f>
        <v>320.60000000000008</v>
      </c>
      <c r="O36" s="13">
        <f>N36*VLOOKUP('Données projet'!$B$9,Paramètres!$A$1:$I$89,3,0)*VLOOKUP('Données projet'!$B$9,Paramètres!$A$1:$I$89,5,0)</f>
        <v>191.71880000000007</v>
      </c>
      <c r="P36" s="13">
        <f t="shared" si="33"/>
        <v>47.919755728134994</v>
      </c>
      <c r="Q36" s="20">
        <f t="shared" si="53"/>
        <v>417.37048455983518</v>
      </c>
      <c r="R36" s="59">
        <f t="shared" si="0"/>
        <v>710.70381789316843</v>
      </c>
      <c r="S36" s="59">
        <f ca="1">AVERAGE(OFFSET($R$3,0,0,'Données projet'!$E$9+1,1))-AVERAGE(OFFSET($H$3,0,0,'Données projet'!$E$9+1,1))</f>
        <v>430.93760474982633</v>
      </c>
      <c r="T36" s="59">
        <f t="shared" si="34"/>
        <v>371.5387876502981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54.179945804270396</v>
      </c>
      <c r="AB36" s="21">
        <f>EXP(-LN(2)/2)*AB35+(1-EXP(-LN(2)/2))/(LN(2)/2)*V36*Y36*VLOOKUP('Données projet'!$B$9,Paramètres!$A$1:$I$89,3,0)*0.475*44/12</f>
        <v>1.8513767177522619E-2</v>
      </c>
      <c r="AC36" s="22">
        <f t="shared" si="3"/>
        <v>54.19845957144792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179.44051550872138</v>
      </c>
      <c r="AO36" s="59">
        <f t="shared" si="36"/>
        <v>272.9500808380069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44.52744579740088</v>
      </c>
      <c r="AW36" s="21">
        <f>EXP(-LN(2)/2)*AW35+(1-EXP(-LN(2)/2))/(LN(2)/2)*AQ36*AT36*VLOOKUP('Données projet'!$B$10,Paramètres!$A$1:$I$89,3,0)*0.475*44/12</f>
        <v>7.8059390707290441E-2</v>
      </c>
      <c r="AX36" s="21">
        <f t="shared" si="6"/>
        <v>44.605505188108168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23.261428571428578</v>
      </c>
      <c r="BD36" s="12">
        <f>IF('Données projet'!$A$88&gt;35,BD35+BC36-BL35,IF(A36&lt;'Données projet'!$A$88,$BA$205^A36,IF(A36='Données projet'!$A$88,'Données projet'!$B$88,BD35+BC36-BL35)))</f>
        <v>330.7071428571428</v>
      </c>
      <c r="BE36" s="13">
        <f>BD36*VLOOKUP('Données projet'!$B$11,Paramètres!$A$1:$I$89,3,0)*VLOOKUP('Données projet'!$B$11,Paramètres!$A$1:$I$89,5,0)</f>
        <v>184.86529285714283</v>
      </c>
      <c r="BF36" s="13">
        <f t="shared" si="37"/>
        <v>46.402938280774841</v>
      </c>
      <c r="BG36" s="20">
        <f t="shared" si="7"/>
        <v>402.79216923187323</v>
      </c>
      <c r="BH36" s="59">
        <f t="shared" si="8"/>
        <v>696.12550256520649</v>
      </c>
      <c r="BI36" s="59">
        <f ca="1">AVERAGE(OFFSET($BH$3,0,0,'Données projet'!$E$11+1,1))-AVERAGE(OFFSET($H$3,0,0,'Données projet'!$E$11+1,1))</f>
        <v>321.85808080442411</v>
      </c>
      <c r="BJ36" s="59">
        <f t="shared" si="38"/>
        <v>285.95942591879702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23.910817928166985</v>
      </c>
      <c r="BR36" s="21">
        <f>EXP(-LN(2)/2)*BR35+(1-EXP(-LN(2)/2))/(LN(2)/2)*BL36*BO36*VLOOKUP('Données projet'!$B$11,Paramètres!$A$1:$I$89,3,0)*0.475*44/12</f>
        <v>0.63865367237204562</v>
      </c>
      <c r="BS36" s="22">
        <f t="shared" si="9"/>
        <v>24.549471600539029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24.2</v>
      </c>
      <c r="N37" s="13">
        <f>IF('Données projet'!$A$36&gt;35,N36+M37-V36,IF(A37&lt;'Données projet'!$A$36,$K$205^A37,IF(A37='Données projet'!$A$36,'Données projet'!$B$36,N36+M37-V36)))</f>
        <v>344.80000000000007</v>
      </c>
      <c r="O37" s="13">
        <f>N37*VLOOKUP('Données projet'!$B$9,Paramètres!$A$1:$I$89,3,0)*VLOOKUP('Données projet'!$B$9,Paramètres!$A$1:$I$89,5,0)</f>
        <v>206.19040000000004</v>
      </c>
      <c r="P37" s="13">
        <f t="shared" si="33"/>
        <v>51.102207309460546</v>
      </c>
      <c r="Q37" s="20">
        <f t="shared" si="53"/>
        <v>448.11795773064387</v>
      </c>
      <c r="R37" s="59">
        <f t="shared" si="0"/>
        <v>741.45129106397712</v>
      </c>
      <c r="S37" s="59">
        <f ca="1">AVERAGE(OFFSET($R$3,0,0,'Données projet'!$E$9+1,1))-AVERAGE(OFFSET($H$3,0,0,'Données projet'!$E$9+1,1))</f>
        <v>430.93760474982633</v>
      </c>
      <c r="T37" s="59">
        <f t="shared" si="34"/>
        <v>371.5387876502981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52.6983923370531</v>
      </c>
      <c r="AB37" s="21">
        <f>EXP(-LN(2)/2)*AB36+(1-EXP(-LN(2)/2))/(LN(2)/2)*V37*Y37*VLOOKUP('Données projet'!$B$9,Paramètres!$A$1:$I$89,3,0)*0.475*44/12</f>
        <v>1.3091210316535172E-2</v>
      </c>
      <c r="AC37" s="22">
        <f t="shared" si="3"/>
        <v>52.711483547369639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179.44051550872138</v>
      </c>
      <c r="AO37" s="59">
        <f t="shared" si="36"/>
        <v>272.9500808380069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43.309840450474347</v>
      </c>
      <c r="AW37" s="21">
        <f>EXP(-LN(2)/2)*AW36+(1-EXP(-LN(2)/2))/(LN(2)/2)*AQ37*AT37*VLOOKUP('Données projet'!$B$10,Paramètres!$A$1:$I$89,3,0)*0.475*44/12</f>
        <v>5.5196324504415244E-2</v>
      </c>
      <c r="AX37" s="21">
        <f t="shared" si="6"/>
        <v>43.365036774978762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23.261428571428578</v>
      </c>
      <c r="BD37" s="12">
        <f>IF('Données projet'!$A$88&gt;35,BD36+BC37-BL36,IF(A37&lt;'Données projet'!$A$88,$BA$205^A37,IF(A37='Données projet'!$A$88,'Données projet'!$B$88,BD36+BC37-BL36)))</f>
        <v>353.96857142857135</v>
      </c>
      <c r="BE37" s="13">
        <f>BD37*VLOOKUP('Données projet'!$B$11,Paramètres!$A$1:$I$89,3,0)*VLOOKUP('Données projet'!$B$11,Paramètres!$A$1:$I$89,5,0)</f>
        <v>197.8684314285714</v>
      </c>
      <c r="BF37" s="13">
        <f t="shared" si="37"/>
        <v>49.275421734710534</v>
      </c>
      <c r="BG37" s="20">
        <f t="shared" si="7"/>
        <v>430.44221092604931</v>
      </c>
      <c r="BH37" s="59">
        <f t="shared" si="8"/>
        <v>723.77554425938263</v>
      </c>
      <c r="BI37" s="59">
        <f ca="1">AVERAGE(OFFSET($BH$3,0,0,'Données projet'!$E$11+1,1))-AVERAGE(OFFSET($H$3,0,0,'Données projet'!$E$11+1,1))</f>
        <v>321.85808080442411</v>
      </c>
      <c r="BJ37" s="59">
        <f t="shared" si="38"/>
        <v>285.95942591879702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23.256975354505993</v>
      </c>
      <c r="BR37" s="21">
        <f>EXP(-LN(2)/2)*BR36+(1-EXP(-LN(2)/2))/(LN(2)/2)*BL37*BO37*VLOOKUP('Données projet'!$B$11,Paramètres!$A$1:$I$89,3,0)*0.475*44/12</f>
        <v>0.45159634256396508</v>
      </c>
      <c r="BS37" s="22">
        <f t="shared" si="9"/>
        <v>23.708571697069956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369</v>
      </c>
      <c r="L38" s="12">
        <f>VLOOKUP(A38,'Données projet'!$A$35:$I$55,9,0)</f>
        <v>24.2</v>
      </c>
      <c r="M38" s="12">
        <f t="array" ref="M38">INDEX(L:L,MIN(IF(ISNUMBER(L38:L234),ROW(L38:L234),"")))</f>
        <v>24.2</v>
      </c>
      <c r="N38" s="13">
        <f>IF('Données projet'!$A$36&gt;35,N37+M38-V37,IF(A38&lt;'Données projet'!$A$36,$K$205^A38,IF(A38='Données projet'!$A$36,'Données projet'!$B$36,N37+M38-V37)))</f>
        <v>369.00000000000006</v>
      </c>
      <c r="O38" s="13">
        <f>N38*VLOOKUP('Données projet'!$B$9,Paramètres!$A$1:$I$89,3,0)*VLOOKUP('Données projet'!$B$9,Paramètres!$A$1:$I$89,5,0)</f>
        <v>220.66200000000006</v>
      </c>
      <c r="P38" s="13">
        <f t="shared" si="33"/>
        <v>54.258742979955002</v>
      </c>
      <c r="Q38" s="20">
        <f t="shared" si="53"/>
        <v>478.82029402342181</v>
      </c>
      <c r="R38" s="59">
        <f t="shared" si="0"/>
        <v>772.15362735675512</v>
      </c>
      <c r="S38" s="59">
        <f ca="1">AVERAGE(OFFSET($R$3,0,0,'Données projet'!$E$9+1,1))-AVERAGE(OFFSET($H$3,0,0,'Données projet'!$E$9+1,1))</f>
        <v>430.93760474982633</v>
      </c>
      <c r="T38" s="59">
        <f t="shared" si="34"/>
        <v>371.5387876502981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63</v>
      </c>
      <c r="W38" s="16">
        <f>IF(ISNA(VLOOKUP(A38,'Données projet'!$A$35:$I$55,5,0)),0%,VLOOKUP(A38,'Données projet'!$A$35:$I$55,5,0)*VLOOKUP('Données projet'!$B$9,Paramètres!$A$1:$I$89,7,0))</f>
        <v>0.45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22.489645182403162</v>
      </c>
      <c r="AA38" s="21">
        <f>EXP(-LN(2)/25)*AA37+(1-EXP(-LN(2)/25))/(LN(2)/25)*Calculateur!V38*Calculateur!X38*VLOOKUP('Données projet'!$B$9,Paramètres!$A$1:$I$89,3,0)*0.475*44/12</f>
        <v>51.257352027308372</v>
      </c>
      <c r="AB38" s="21">
        <f>EXP(-LN(2)/2)*AB37+(1-EXP(-LN(2)/2))/(LN(2)/2)*V38*Y38*VLOOKUP('Données projet'!$B$9,Paramètres!$A$1:$I$89,3,0)*0.475*44/12</f>
        <v>9.2568835887613093E-3</v>
      </c>
      <c r="AC38" s="22">
        <f t="shared" si="3"/>
        <v>73.756254093300299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179.44051550872138</v>
      </c>
      <c r="AO38" s="59">
        <f t="shared" si="36"/>
        <v>272.9500808380069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42.1255305857906</v>
      </c>
      <c r="AW38" s="21">
        <f>EXP(-LN(2)/2)*AW37+(1-EXP(-LN(2)/2))/(LN(2)/2)*AQ38*AT38*VLOOKUP('Données projet'!$B$10,Paramètres!$A$1:$I$89,3,0)*0.475*44/12</f>
        <v>3.902969535364522E-2</v>
      </c>
      <c r="AX38" s="21">
        <f t="shared" si="6"/>
        <v>42.164560281144247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377.23</v>
      </c>
      <c r="BB38" s="12">
        <f>VLOOKUP(A38,'Données projet'!$A$87:$I$107,9,0)</f>
        <v>23.261428571428578</v>
      </c>
      <c r="BC38" s="12">
        <f t="array" ref="BC38">INDEX(BB:BB,MIN(IF(ISNUMBER(BB38:BB234),ROW(BB38:BB234),"")))</f>
        <v>23.261428571428578</v>
      </c>
      <c r="BD38" s="12">
        <f>IF('Données projet'!$A$88&gt;35,BD37+BC38-BL37,IF(A38&lt;'Données projet'!$A$88,$BA$205^A38,IF(A38='Données projet'!$A$88,'Données projet'!$B$88,BD37+BC38-BL37)))</f>
        <v>377.2299999999999</v>
      </c>
      <c r="BE38" s="13">
        <f>BD38*VLOOKUP('Données projet'!$B$11,Paramètres!$A$1:$I$89,3,0)*VLOOKUP('Données projet'!$B$11,Paramètres!$A$1:$I$89,5,0)</f>
        <v>210.87156999999993</v>
      </c>
      <c r="BF38" s="13">
        <f t="shared" si="37"/>
        <v>52.125999737089174</v>
      </c>
      <c r="BG38" s="20">
        <f t="shared" si="7"/>
        <v>458.05410062543018</v>
      </c>
      <c r="BH38" s="59">
        <f t="shared" si="8"/>
        <v>751.38743395876349</v>
      </c>
      <c r="BI38" s="59">
        <f ca="1">AVERAGE(OFFSET($BH$3,0,0,'Données projet'!$E$11+1,1))-AVERAGE(OFFSET($H$3,0,0,'Données projet'!$E$11+1,1))</f>
        <v>321.85808080442411</v>
      </c>
      <c r="BJ38" s="59">
        <f t="shared" si="38"/>
        <v>285.95942591879702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86.68</v>
      </c>
      <c r="BM38" s="16">
        <f>IF(ISNA(VLOOKUP(A38,'Données projet'!$A$87:$I$107,5,0)),0%,VLOOKUP(A38,'Données projet'!$A$87:$I$107,5,0)*VLOOKUP('Données projet'!$B$11,Paramètres!$A$1:$I$89,7,0))</f>
        <v>0.55000000000000004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35.352632321381179</v>
      </c>
      <c r="BQ38" s="21">
        <f>EXP(-LN(2)/25)*BQ37+(1-EXP(-LN(2)/25))/(LN(2)/25)*Calculateur!BL38*Calculateur!BN38*VLOOKUP('Données projet'!$B$11,Paramètres!$A$1:$I$89,3,0)*0.475*44/12</f>
        <v>22.621012140405849</v>
      </c>
      <c r="BR38" s="21">
        <f>EXP(-LN(2)/2)*BR37+(1-EXP(-LN(2)/2))/(LN(2)/2)*BL38*BO38*VLOOKUP('Données projet'!$B$11,Paramètres!$A$1:$I$89,3,0)*0.475*44/12</f>
        <v>0.31932683618602281</v>
      </c>
      <c r="BS38" s="22">
        <f t="shared" si="9"/>
        <v>58.292971297973054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23.6</v>
      </c>
      <c r="N39" s="13">
        <f>IF('Données projet'!$A$36&gt;35,N38+M39-V38,IF(A39&lt;'Données projet'!$A$36,$K$205^A39,IF(A39='Données projet'!$A$36,'Données projet'!$B$36,N38+M39-V38)))</f>
        <v>329.60000000000008</v>
      </c>
      <c r="O39" s="13">
        <f>N39*VLOOKUP('Données projet'!$B$9,Paramètres!$A$1:$I$89,3,0)*VLOOKUP('Données projet'!$B$9,Paramètres!$A$1:$I$89,5,0)</f>
        <v>197.10080000000005</v>
      </c>
      <c r="P39" s="13">
        <f t="shared" si="33"/>
        <v>49.10647084525754</v>
      </c>
      <c r="Q39" s="20">
        <f t="shared" si="53"/>
        <v>428.81099672215697</v>
      </c>
      <c r="R39" s="59">
        <f t="shared" si="0"/>
        <v>722.14433005549029</v>
      </c>
      <c r="S39" s="59">
        <f ca="1">AVERAGE(OFFSET($R$3,0,0,'Données projet'!$E$9+1,1))-AVERAGE(OFFSET($H$3,0,0,'Données projet'!$E$9+1,1))</f>
        <v>430.93760474982633</v>
      </c>
      <c r="T39" s="59">
        <f t="shared" si="34"/>
        <v>371.5387876502981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22.048636957705323</v>
      </c>
      <c r="AA39" s="21">
        <f>EXP(-LN(2)/25)*AA38+(1-EXP(-LN(2)/25))/(LN(2)/25)*Calculateur!V39*Calculateur!X39*VLOOKUP('Données projet'!$B$9,Paramètres!$A$1:$I$89,3,0)*0.475*44/12</f>
        <v>49.855717040614628</v>
      </c>
      <c r="AB39" s="21">
        <f>EXP(-LN(2)/2)*AB38+(1-EXP(-LN(2)/2))/(LN(2)/2)*V39*Y39*VLOOKUP('Données projet'!$B$9,Paramètres!$A$1:$I$89,3,0)*0.475*44/12</f>
        <v>6.545605158267586E-3</v>
      </c>
      <c r="AC39" s="22">
        <f t="shared" si="3"/>
        <v>71.910899603478214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179.44051550872138</v>
      </c>
      <c r="AO39" s="59">
        <f t="shared" si="36"/>
        <v>272.9500808380069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30.79327539122696</v>
      </c>
      <c r="AV39" s="21">
        <f>EXP(-LN(2)/25)*AV38+(1-EXP(-LN(2)/25))/(LN(2)/25)*Calculateur!AQ39*Calculateur!AS39*VLOOKUP('Données projet'!$B$10,Paramètres!$A$1:$I$89,3,0)*0.475*44/12</f>
        <v>40.973605736636785</v>
      </c>
      <c r="AW39" s="21">
        <f>EXP(-LN(2)/2)*AW38+(1-EXP(-LN(2)/2))/(LN(2)/2)*AQ39*AT39*VLOOKUP('Données projet'!$B$10,Paramètres!$A$1:$I$89,3,0)*0.475*44/12</f>
        <v>2.7598162252207622E-2</v>
      </c>
      <c r="AX39" s="21">
        <f t="shared" si="6"/>
        <v>71.794479290115945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22.848571428571429</v>
      </c>
      <c r="BD39" s="12">
        <f>IF('Données projet'!$A$88&gt;35,BD38+BC39-BL38,IF(A39&lt;'Données projet'!$A$88,$BA$205^A39,IF(A39='Données projet'!$A$88,'Données projet'!$B$88,BD38+BC39-BL38)))</f>
        <v>313.3985714285713</v>
      </c>
      <c r="BE39" s="13">
        <f>BD39*VLOOKUP('Données projet'!$B$11,Paramètres!$A$1:$I$89,3,0)*VLOOKUP('Données projet'!$B$11,Paramètres!$A$1:$I$89,5,0)</f>
        <v>175.18980142857137</v>
      </c>
      <c r="BF39" s="13">
        <f t="shared" si="37"/>
        <v>44.250324367523682</v>
      </c>
      <c r="BG39" s="20">
        <f t="shared" si="7"/>
        <v>382.19155242819892</v>
      </c>
      <c r="BH39" s="59">
        <f t="shared" si="8"/>
        <v>675.52488576153223</v>
      </c>
      <c r="BI39" s="59">
        <f ca="1">AVERAGE(OFFSET($BH$3,0,0,'Données projet'!$E$11+1,1))-AVERAGE(OFFSET($H$3,0,0,'Données projet'!$E$11+1,1))</f>
        <v>321.85808080442411</v>
      </c>
      <c r="BJ39" s="59">
        <f t="shared" si="38"/>
        <v>285.95942591879702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34.659388764535443</v>
      </c>
      <c r="BQ39" s="21">
        <f>EXP(-LN(2)/25)*BQ38+(1-EXP(-LN(2)/25))/(LN(2)/25)*Calculateur!BL39*Calculateur!BN39*VLOOKUP('Données projet'!$B$11,Paramètres!$A$1:$I$89,3,0)*0.475*44/12</f>
        <v>22.002439373839124</v>
      </c>
      <c r="BR39" s="21">
        <f>EXP(-LN(2)/2)*BR38+(1-EXP(-LN(2)/2))/(LN(2)/2)*BL39*BO39*VLOOKUP('Données projet'!$B$11,Paramètres!$A$1:$I$89,3,0)*0.475*44/12</f>
        <v>0.22579817128198254</v>
      </c>
      <c r="BS39" s="22">
        <f t="shared" si="9"/>
        <v>56.887626309656547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23.6</v>
      </c>
      <c r="N40" s="13">
        <f>IF('Données projet'!$A$36&gt;35,N39+M40-V39,IF(A40&lt;'Données projet'!$A$36,$K$205^A40,IF(A40='Données projet'!$A$36,'Données projet'!$B$36,N39+M40-V39)))</f>
        <v>353.2000000000001</v>
      </c>
      <c r="O40" s="13">
        <f>N40*VLOOKUP('Données projet'!$B$9,Paramètres!$A$1:$I$89,3,0)*VLOOKUP('Données projet'!$B$9,Paramètres!$A$1:$I$89,5,0)</f>
        <v>211.2136000000001</v>
      </c>
      <c r="P40" s="13">
        <f t="shared" si="33"/>
        <v>52.20069882503806</v>
      </c>
      <c r="Q40" s="20">
        <f t="shared" si="53"/>
        <v>458.77990378694136</v>
      </c>
      <c r="R40" s="59">
        <f t="shared" si="0"/>
        <v>752.11323712027468</v>
      </c>
      <c r="S40" s="59">
        <f ca="1">AVERAGE(OFFSET($R$3,0,0,'Données projet'!$E$9+1,1))-AVERAGE(OFFSET($H$3,0,0,'Données projet'!$E$9+1,1))</f>
        <v>430.93760474982633</v>
      </c>
      <c r="T40" s="59">
        <f t="shared" si="34"/>
        <v>371.5387876502981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21.616276635305354</v>
      </c>
      <c r="AA40" s="21">
        <f>EXP(-LN(2)/25)*AA39+(1-EXP(-LN(2)/25))/(LN(2)/25)*Calculateur!V40*Calculateur!X40*VLOOKUP('Données projet'!$B$9,Paramètres!$A$1:$I$89,3,0)*0.475*44/12</f>
        <v>48.492409836340812</v>
      </c>
      <c r="AB40" s="21">
        <f>EXP(-LN(2)/2)*AB39+(1-EXP(-LN(2)/2))/(LN(2)/2)*V40*Y40*VLOOKUP('Données projet'!$B$9,Paramètres!$A$1:$I$89,3,0)*0.475*44/12</f>
        <v>4.6284417943806546E-3</v>
      </c>
      <c r="AC40" s="22">
        <f t="shared" si="3"/>
        <v>70.113314913440547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179.44051550872138</v>
      </c>
      <c r="AO40" s="59">
        <f t="shared" si="36"/>
        <v>272.9500808380069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30.189438042848415</v>
      </c>
      <c r="AV40" s="21">
        <f>EXP(-LN(2)/25)*AV39+(1-EXP(-LN(2)/25))/(LN(2)/25)*Calculateur!AQ40*Calculateur!AS40*VLOOKUP('Données projet'!$B$10,Paramètres!$A$1:$I$89,3,0)*0.475*44/12</f>
        <v>39.853180333060173</v>
      </c>
      <c r="AW40" s="21">
        <f>EXP(-LN(2)/2)*AW39+(1-EXP(-LN(2)/2))/(LN(2)/2)*AQ40*AT40*VLOOKUP('Données projet'!$B$10,Paramètres!$A$1:$I$89,3,0)*0.475*44/12</f>
        <v>1.951484767682261E-2</v>
      </c>
      <c r="AX40" s="21">
        <f t="shared" si="6"/>
        <v>70.062133223585406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22.848571428571429</v>
      </c>
      <c r="BD40" s="12">
        <f>IF('Données projet'!$A$88&gt;35,BD39+BC40-BL39,IF(A40&lt;'Données projet'!$A$88,$BA$205^A40,IF(A40='Données projet'!$A$88,'Données projet'!$B$88,BD39+BC40-BL39)))</f>
        <v>336.24714285714271</v>
      </c>
      <c r="BE40" s="13">
        <f>BD40*VLOOKUP('Données projet'!$B$11,Paramètres!$A$1:$I$89,3,0)*VLOOKUP('Données projet'!$B$11,Paramètres!$A$1:$I$89,5,0)</f>
        <v>187.96215285714277</v>
      </c>
      <c r="BF40" s="13">
        <f t="shared" si="37"/>
        <v>47.089131415168701</v>
      </c>
      <c r="BG40" s="20">
        <f t="shared" si="7"/>
        <v>409.38098677427575</v>
      </c>
      <c r="BH40" s="59">
        <f t="shared" si="8"/>
        <v>702.71432010760907</v>
      </c>
      <c r="BI40" s="59">
        <f ca="1">AVERAGE(OFFSET($BH$3,0,0,'Données projet'!$E$11+1,1))-AVERAGE(OFFSET($H$3,0,0,'Données projet'!$E$11+1,1))</f>
        <v>321.85808080442411</v>
      </c>
      <c r="BJ40" s="59">
        <f t="shared" si="38"/>
        <v>285.95942591879702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33.97973929100263</v>
      </c>
      <c r="BQ40" s="21">
        <f>EXP(-LN(2)/25)*BQ39+(1-EXP(-LN(2)/25))/(LN(2)/25)*Calculateur!BL40*Calculateur!BN40*VLOOKUP('Données projet'!$B$11,Paramètres!$A$1:$I$89,3,0)*0.475*44/12</f>
        <v>21.400781512103492</v>
      </c>
      <c r="BR40" s="21">
        <f>EXP(-LN(2)/2)*BR39+(1-EXP(-LN(2)/2))/(LN(2)/2)*BL40*BO40*VLOOKUP('Données projet'!$B$11,Paramètres!$A$1:$I$89,3,0)*0.475*44/12</f>
        <v>0.15966341809301141</v>
      </c>
      <c r="BS40" s="22">
        <f t="shared" si="9"/>
        <v>55.540184221199134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23.6</v>
      </c>
      <c r="N41" s="13">
        <f>IF('Données projet'!$A$36&gt;35,N40+M41-V40,IF(A41&lt;'Données projet'!$A$36,$K$205^A41,IF(A41='Données projet'!$A$36,'Données projet'!$B$36,N40+M41-V40)))</f>
        <v>376.80000000000013</v>
      </c>
      <c r="O41" s="13">
        <f>N41*VLOOKUP('Données projet'!$B$9,Paramètres!$A$1:$I$89,3,0)*VLOOKUP('Données projet'!$B$9,Paramètres!$A$1:$I$89,5,0)</f>
        <v>225.32640000000009</v>
      </c>
      <c r="P41" s="13">
        <f t="shared" si="33"/>
        <v>55.270935716234675</v>
      </c>
      <c r="Q41" s="20">
        <f t="shared" si="53"/>
        <v>488.70702637244216</v>
      </c>
      <c r="R41" s="59">
        <f t="shared" si="0"/>
        <v>782.04035970577547</v>
      </c>
      <c r="S41" s="59">
        <f ca="1">AVERAGE(OFFSET($R$3,0,0,'Données projet'!$E$9+1,1))-AVERAGE(OFFSET($H$3,0,0,'Données projet'!$E$9+1,1))</f>
        <v>430.93760474982633</v>
      </c>
      <c r="T41" s="59">
        <f t="shared" si="34"/>
        <v>371.5387876502981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21.192394635113889</v>
      </c>
      <c r="AA41" s="21">
        <f>EXP(-LN(2)/25)*AA40+(1-EXP(-LN(2)/25))/(LN(2)/25)*Calculateur!V41*Calculateur!X41*VLOOKUP('Données projet'!$B$9,Paramètres!$A$1:$I$89,3,0)*0.475*44/12</f>
        <v>47.166382339261069</v>
      </c>
      <c r="AB41" s="21">
        <f>EXP(-LN(2)/2)*AB40+(1-EXP(-LN(2)/2))/(LN(2)/2)*V41*Y41*VLOOKUP('Données projet'!$B$9,Paramètres!$A$1:$I$89,3,0)*0.475*44/12</f>
        <v>3.272802579133793E-3</v>
      </c>
      <c r="AC41" s="22">
        <f t="shared" si="3"/>
        <v>68.362049776954095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179.44051550872138</v>
      </c>
      <c r="AO41" s="59">
        <f t="shared" si="36"/>
        <v>272.9500808380069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29.59744157656716</v>
      </c>
      <c r="AV41" s="21">
        <f>EXP(-LN(2)/25)*AV40+(1-EXP(-LN(2)/25))/(LN(2)/25)*Calculateur!AQ41*Calculateur!AS41*VLOOKUP('Données projet'!$B$10,Paramètres!$A$1:$I$89,3,0)*0.475*44/12</f>
        <v>38.763393021064978</v>
      </c>
      <c r="AW41" s="21">
        <f>EXP(-LN(2)/2)*AW40+(1-EXP(-LN(2)/2))/(LN(2)/2)*AQ41*AT41*VLOOKUP('Données projet'!$B$10,Paramètres!$A$1:$I$89,3,0)*0.475*44/12</f>
        <v>1.3799081126103811E-2</v>
      </c>
      <c r="AX41" s="21">
        <f t="shared" si="6"/>
        <v>68.374633678758244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22.848571428571429</v>
      </c>
      <c r="BD41" s="12">
        <f>IF('Données projet'!$A$88&gt;35,BD40+BC41-BL40,IF(A41&lt;'Données projet'!$A$88,$BA$205^A41,IF(A41='Données projet'!$A$88,'Données projet'!$B$88,BD40+BC41-BL40)))</f>
        <v>359.09571428571411</v>
      </c>
      <c r="BE41" s="13">
        <f>BD41*VLOOKUP('Données projet'!$B$11,Paramètres!$A$1:$I$89,3,0)*VLOOKUP('Données projet'!$B$11,Paramètres!$A$1:$I$89,5,0)</f>
        <v>200.73450428571419</v>
      </c>
      <c r="BF41" s="13">
        <f t="shared" si="37"/>
        <v>49.905555080793306</v>
      </c>
      <c r="BG41" s="20">
        <f t="shared" si="7"/>
        <v>436.53143673000062</v>
      </c>
      <c r="BH41" s="59">
        <f t="shared" si="8"/>
        <v>729.86477006333394</v>
      </c>
      <c r="BI41" s="59">
        <f ca="1">AVERAGE(OFFSET($BH$3,0,0,'Données projet'!$E$11+1,1))-AVERAGE(OFFSET($H$3,0,0,'Données projet'!$E$11+1,1))</f>
        <v>321.85808080442411</v>
      </c>
      <c r="BJ41" s="59">
        <f t="shared" si="38"/>
        <v>285.95942591879702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33.313417329100552</v>
      </c>
      <c r="BQ41" s="21">
        <f>EXP(-LN(2)/25)*BQ40+(1-EXP(-LN(2)/25))/(LN(2)/25)*Calculateur!BL41*Calculateur!BN41*VLOOKUP('Données projet'!$B$11,Paramètres!$A$1:$I$89,3,0)*0.475*44/12</f>
        <v>20.815576016236836</v>
      </c>
      <c r="BR41" s="21">
        <f>EXP(-LN(2)/2)*BR40+(1-EXP(-LN(2)/2))/(LN(2)/2)*BL41*BO41*VLOOKUP('Données projet'!$B$11,Paramètres!$A$1:$I$89,3,0)*0.475*44/12</f>
        <v>0.11289908564099127</v>
      </c>
      <c r="BS41" s="22">
        <f t="shared" si="9"/>
        <v>54.241892430978382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23.6</v>
      </c>
      <c r="N42" s="13">
        <f>IF('Données projet'!$A$36&gt;35,N41+M42-V41,IF(A42&lt;'Données projet'!$A$36,$K$205^A42,IF(A42='Données projet'!$A$36,'Données projet'!$B$36,N41+M42-V41)))</f>
        <v>400.40000000000015</v>
      </c>
      <c r="O42" s="13">
        <f>N42*VLOOKUP('Données projet'!$B$9,Paramètres!$A$1:$I$89,3,0)*VLOOKUP('Données projet'!$B$9,Paramètres!$A$1:$I$89,5,0)</f>
        <v>239.43920000000011</v>
      </c>
      <c r="P42" s="13">
        <f t="shared" si="33"/>
        <v>58.318855207171957</v>
      </c>
      <c r="Q42" s="20">
        <f t="shared" si="53"/>
        <v>518.59527948582468</v>
      </c>
      <c r="R42" s="59">
        <f t="shared" si="0"/>
        <v>811.92861281915793</v>
      </c>
      <c r="S42" s="59">
        <f ca="1">AVERAGE(OFFSET($R$3,0,0,'Données projet'!$E$9+1,1))-AVERAGE(OFFSET($H$3,0,0,'Données projet'!$E$9+1,1))</f>
        <v>430.93760474982633</v>
      </c>
      <c r="T42" s="59">
        <f t="shared" si="34"/>
        <v>371.5387876502981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20.776824702403687</v>
      </c>
      <c r="AA42" s="21">
        <f>EXP(-LN(2)/25)*AA41+(1-EXP(-LN(2)/25))/(LN(2)/25)*Calculateur!V42*Calculateur!X42*VLOOKUP('Données projet'!$B$9,Paramètres!$A$1:$I$89,3,0)*0.475*44/12</f>
        <v>45.87661513382173</v>
      </c>
      <c r="AB42" s="21">
        <f>EXP(-LN(2)/2)*AB41+(1-EXP(-LN(2)/2))/(LN(2)/2)*V42*Y42*VLOOKUP('Données projet'!$B$9,Paramètres!$A$1:$I$89,3,0)*0.475*44/12</f>
        <v>2.3142208971903273E-3</v>
      </c>
      <c r="AC42" s="22">
        <f t="shared" si="3"/>
        <v>66.655754057122607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179.44051550872138</v>
      </c>
      <c r="AO42" s="59">
        <f t="shared" si="36"/>
        <v>272.9500808380069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29.017053799907487</v>
      </c>
      <c r="AV42" s="21">
        <f>EXP(-LN(2)/25)*AV41+(1-EXP(-LN(2)/25))/(LN(2)/25)*Calculateur!AQ42*Calculateur!AS42*VLOOKUP('Données projet'!$B$10,Paramètres!$A$1:$I$89,3,0)*0.475*44/12</f>
        <v>37.703406000425716</v>
      </c>
      <c r="AW42" s="21">
        <f>EXP(-LN(2)/2)*AW41+(1-EXP(-LN(2)/2))/(LN(2)/2)*AQ42*AT42*VLOOKUP('Données projet'!$B$10,Paramètres!$A$1:$I$89,3,0)*0.475*44/12</f>
        <v>9.7574238384113051E-3</v>
      </c>
      <c r="AX42" s="21">
        <f t="shared" si="6"/>
        <v>66.730217224171611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22.848571428571429</v>
      </c>
      <c r="BD42" s="12">
        <f>IF('Données projet'!$A$88&gt;35,BD41+BC42-BL41,IF(A42&lt;'Données projet'!$A$88,$BA$205^A42,IF(A42='Données projet'!$A$88,'Données projet'!$B$88,BD41+BC42-BL41)))</f>
        <v>381.94428571428551</v>
      </c>
      <c r="BE42" s="13">
        <f>BD42*VLOOKUP('Données projet'!$B$11,Paramètres!$A$1:$I$89,3,0)*VLOOKUP('Données projet'!$B$11,Paramètres!$A$1:$I$89,5,0)</f>
        <v>213.50685571428559</v>
      </c>
      <c r="BF42" s="13">
        <f t="shared" si="37"/>
        <v>52.701181688912165</v>
      </c>
      <c r="BG42" s="20">
        <f t="shared" si="7"/>
        <v>463.64566514390276</v>
      </c>
      <c r="BH42" s="59">
        <f t="shared" si="8"/>
        <v>756.97899847723602</v>
      </c>
      <c r="BI42" s="59">
        <f ca="1">AVERAGE(OFFSET($BH$3,0,0,'Données projet'!$E$11+1,1))-AVERAGE(OFFSET($H$3,0,0,'Données projet'!$E$11+1,1))</f>
        <v>321.85808080442411</v>
      </c>
      <c r="BJ42" s="59">
        <f t="shared" si="38"/>
        <v>285.95942591879702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32.660161534455106</v>
      </c>
      <c r="BQ42" s="21">
        <f>EXP(-LN(2)/25)*BQ41+(1-EXP(-LN(2)/25))/(LN(2)/25)*Calculateur!BL42*Calculateur!BN42*VLOOKUP('Données projet'!$B$11,Paramètres!$A$1:$I$89,3,0)*0.475*44/12</f>
        <v>20.246372995429272</v>
      </c>
      <c r="BR42" s="21">
        <f>EXP(-LN(2)/2)*BR41+(1-EXP(-LN(2)/2))/(LN(2)/2)*BL42*BO42*VLOOKUP('Données projet'!$B$11,Paramètres!$A$1:$I$89,3,0)*0.475*44/12</f>
        <v>7.9831709046505703E-2</v>
      </c>
      <c r="BS42" s="22">
        <f t="shared" si="9"/>
        <v>52.986366238930891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424</v>
      </c>
      <c r="L43" s="12">
        <f>VLOOKUP(A43,'Données projet'!$A$35:$I$55,9,0)</f>
        <v>23.6</v>
      </c>
      <c r="M43" s="12">
        <f t="array" ref="M43">INDEX(L:L,MIN(IF(ISNUMBER(L43:L239),ROW(L43:L239),"")))</f>
        <v>23.6</v>
      </c>
      <c r="N43" s="13">
        <f>IF('Données projet'!$A$36&gt;35,N42+M43-V42,IF(A43&lt;'Données projet'!$A$36,$K$205^A43,IF(A43='Données projet'!$A$36,'Données projet'!$B$36,N42+M43-V42)))</f>
        <v>424.00000000000017</v>
      </c>
      <c r="O43" s="13">
        <f>N43*VLOOKUP('Données projet'!$B$9,Paramètres!$A$1:$I$89,3,0)*VLOOKUP('Données projet'!$B$9,Paramètres!$A$1:$I$89,5,0)</f>
        <v>253.55200000000011</v>
      </c>
      <c r="P43" s="13">
        <f t="shared" si="33"/>
        <v>61.345922542613536</v>
      </c>
      <c r="Q43" s="20">
        <f t="shared" si="53"/>
        <v>548.447215095052</v>
      </c>
      <c r="R43" s="59">
        <f t="shared" si="0"/>
        <v>841.78054842838537</v>
      </c>
      <c r="S43" s="59">
        <f ca="1">AVERAGE(OFFSET($R$3,0,0,'Données projet'!$E$9+1,1))-AVERAGE(OFFSET($H$3,0,0,'Données projet'!$E$9+1,1))</f>
        <v>430.93760474982633</v>
      </c>
      <c r="T43" s="59">
        <f t="shared" si="34"/>
        <v>371.5387876502981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63</v>
      </c>
      <c r="W43" s="16">
        <f>IF(ISNA(VLOOKUP(A43,'Données projet'!$A$35:$I$55,5,0)),0%,VLOOKUP(A43,'Données projet'!$A$35:$I$55,5,0)*VLOOKUP('Données projet'!$B$9,Paramètres!$A$1:$I$89,7,0))</f>
        <v>0.45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42.859049025004467</v>
      </c>
      <c r="AA43" s="21">
        <f>EXP(-LN(2)/25)*AA42+(1-EXP(-LN(2)/25))/(LN(2)/25)*Calculateur!V43*Calculateur!X43*VLOOKUP('Données projet'!$B$9,Paramètres!$A$1:$I$89,3,0)*0.475*44/12</f>
        <v>44.622116680441039</v>
      </c>
      <c r="AB43" s="21">
        <f>EXP(-LN(2)/2)*AB42+(1-EXP(-LN(2)/2))/(LN(2)/2)*V43*Y43*VLOOKUP('Données projet'!$B$9,Paramètres!$A$1:$I$89,3,0)*0.475*44/12</f>
        <v>1.6364012895668965E-3</v>
      </c>
      <c r="AC43" s="22">
        <f t="shared" si="3"/>
        <v>87.482802106735079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179.44051550872138</v>
      </c>
      <c r="AO43" s="59">
        <f t="shared" si="36"/>
        <v>272.9500808380069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28.448047073546523</v>
      </c>
      <c r="AV43" s="21">
        <f>EXP(-LN(2)/25)*AV42+(1-EXP(-LN(2)/25))/(LN(2)/25)*Calculateur!AQ43*Calculateur!AS43*VLOOKUP('Données projet'!$B$10,Paramètres!$A$1:$I$89,3,0)*0.475*44/12</f>
        <v>36.672404380608128</v>
      </c>
      <c r="AW43" s="21">
        <f>EXP(-LN(2)/2)*AW42+(1-EXP(-LN(2)/2))/(LN(2)/2)*AQ43*AT43*VLOOKUP('Données projet'!$B$10,Paramètres!$A$1:$I$89,3,0)*0.475*44/12</f>
        <v>6.8995405630519055E-3</v>
      </c>
      <c r="AX43" s="21">
        <f t="shared" si="6"/>
        <v>65.127350994717702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22.848571428571429</v>
      </c>
      <c r="BD43" s="12">
        <f>IF('Données projet'!$A$88&gt;35,BD42+BC43-BL42,IF(A43&lt;'Données projet'!$A$88,$BA$205^A43,IF(A43='Données projet'!$A$88,'Données projet'!$B$88,BD42+BC43-BL42)))</f>
        <v>404.79285714285692</v>
      </c>
      <c r="BE43" s="13">
        <f>BD43*VLOOKUP('Données projet'!$B$11,Paramètres!$A$1:$I$89,3,0)*VLOOKUP('Données projet'!$B$11,Paramètres!$A$1:$I$89,5,0)</f>
        <v>226.27920714285702</v>
      </c>
      <c r="BF43" s="13">
        <f t="shared" si="37"/>
        <v>55.47739704789678</v>
      </c>
      <c r="BG43" s="20">
        <f t="shared" si="7"/>
        <v>490.72608563222957</v>
      </c>
      <c r="BH43" s="59">
        <f t="shared" si="8"/>
        <v>784.05941896556283</v>
      </c>
      <c r="BI43" s="59">
        <f ca="1">AVERAGE(OFFSET($BH$3,0,0,'Données projet'!$E$11+1,1))-AVERAGE(OFFSET($H$3,0,0,'Données projet'!$E$11+1,1))</f>
        <v>321.85808080442411</v>
      </c>
      <c r="BJ43" s="59">
        <f t="shared" si="38"/>
        <v>285.95942591879702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32.019715687495967</v>
      </c>
      <c r="BQ43" s="21">
        <f>EXP(-LN(2)/25)*BQ42+(1-EXP(-LN(2)/25))/(LN(2)/25)*Calculateur!BL43*Calculateur!BN43*VLOOKUP('Données projet'!$B$11,Paramètres!$A$1:$I$89,3,0)*0.475*44/12</f>
        <v>19.692734861158776</v>
      </c>
      <c r="BR43" s="21">
        <f>EXP(-LN(2)/2)*BR42+(1-EXP(-LN(2)/2))/(LN(2)/2)*BL43*BO43*VLOOKUP('Données projet'!$B$11,Paramètres!$A$1:$I$89,3,0)*0.475*44/12</f>
        <v>5.6449542820495635E-2</v>
      </c>
      <c r="BS43" s="22">
        <f t="shared" si="9"/>
        <v>51.768900091475238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21.6</v>
      </c>
      <c r="N44" s="13">
        <f>IF('Données projet'!$A$36&gt;35,N43+M44-V43,IF(A44&lt;'Données projet'!$A$36,$K$205^A44,IF(A44='Données projet'!$A$36,'Données projet'!$B$36,N43+M44-V43)))</f>
        <v>382.60000000000019</v>
      </c>
      <c r="O44" s="13">
        <f>N44*VLOOKUP('Données projet'!$B$9,Paramètres!$A$1:$I$89,3,0)*VLOOKUP('Données projet'!$B$9,Paramètres!$A$1:$I$89,5,0)</f>
        <v>228.79480000000012</v>
      </c>
      <c r="P44" s="13">
        <f t="shared" si="33"/>
        <v>56.022009485811381</v>
      </c>
      <c r="Q44" s="20">
        <f t="shared" si="53"/>
        <v>496.05594318778844</v>
      </c>
      <c r="R44" s="59">
        <f t="shared" si="0"/>
        <v>789.3892765211217</v>
      </c>
      <c r="S44" s="59">
        <f ca="1">AVERAGE(OFFSET($R$3,0,0,'Données projet'!$E$9+1,1))-AVERAGE(OFFSET($H$3,0,0,'Données projet'!$E$9+1,1))</f>
        <v>430.93760474982633</v>
      </c>
      <c r="T44" s="59">
        <f t="shared" si="34"/>
        <v>371.5387876502981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42.018609215062781</v>
      </c>
      <c r="AA44" s="21">
        <f>EXP(-LN(2)/25)*AA43+(1-EXP(-LN(2)/25))/(LN(2)/25)*Calculateur!V44*Calculateur!X44*VLOOKUP('Données projet'!$B$9,Paramètres!$A$1:$I$89,3,0)*0.475*44/12</f>
        <v>43.401922553239245</v>
      </c>
      <c r="AB44" s="21">
        <f>EXP(-LN(2)/2)*AB43+(1-EXP(-LN(2)/2))/(LN(2)/2)*V44*Y44*VLOOKUP('Données projet'!$B$9,Paramètres!$A$1:$I$89,3,0)*0.475*44/12</f>
        <v>1.1571104485951637E-3</v>
      </c>
      <c r="AC44" s="22">
        <f t="shared" si="3"/>
        <v>85.421688878750615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179.44051550872138</v>
      </c>
      <c r="AO44" s="59">
        <f t="shared" si="36"/>
        <v>272.9500808380069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27.890198222029664</v>
      </c>
      <c r="AV44" s="21">
        <f>EXP(-LN(2)/25)*AV43+(1-EXP(-LN(2)/25))/(LN(2)/25)*Calculateur!AQ44*Calculateur!AS44*VLOOKUP('Données projet'!$B$10,Paramètres!$A$1:$I$89,3,0)*0.475*44/12</f>
        <v>35.669595554302468</v>
      </c>
      <c r="AW44" s="21">
        <f>EXP(-LN(2)/2)*AW43+(1-EXP(-LN(2)/2))/(LN(2)/2)*AQ44*AT44*VLOOKUP('Données projet'!$B$10,Paramètres!$A$1:$I$89,3,0)*0.475*44/12</f>
        <v>4.8787119192056526E-3</v>
      </c>
      <c r="AX44" s="21">
        <f t="shared" si="6"/>
        <v>63.564672488251333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22.848571428571429</v>
      </c>
      <c r="BD44" s="12">
        <f>IF('Données projet'!$A$88&gt;35,BD43+BC44-BL43,IF(A44&lt;'Données projet'!$A$88,$BA$205^A44,IF(A44='Données projet'!$A$88,'Données projet'!$B$88,BD43+BC44-BL43)))</f>
        <v>427.64142857142832</v>
      </c>
      <c r="BE44" s="13">
        <f>BD44*VLOOKUP('Données projet'!$B$11,Paramètres!$A$1:$I$89,3,0)*VLOOKUP('Données projet'!$B$11,Paramètres!$A$1:$I$89,5,0)</f>
        <v>239.05155857142842</v>
      </c>
      <c r="BF44" s="13">
        <f t="shared" si="37"/>
        <v>58.235421685851769</v>
      </c>
      <c r="BG44" s="20">
        <f t="shared" si="7"/>
        <v>517.77482394809624</v>
      </c>
      <c r="BH44" s="59">
        <f t="shared" si="8"/>
        <v>811.10815728142961</v>
      </c>
      <c r="BI44" s="59">
        <f ca="1">AVERAGE(OFFSET($BH$3,0,0,'Données projet'!$E$11+1,1))-AVERAGE(OFFSET($H$3,0,0,'Données projet'!$E$11+1,1))</f>
        <v>321.85808080442411</v>
      </c>
      <c r="BJ44" s="59">
        <f t="shared" si="38"/>
        <v>285.95942591879702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31.391828592962305</v>
      </c>
      <c r="BQ44" s="21">
        <f>EXP(-LN(2)/25)*BQ43+(1-EXP(-LN(2)/25))/(LN(2)/25)*Calculateur!BL44*Calculateur!BN44*VLOOKUP('Données projet'!$B$11,Paramètres!$A$1:$I$89,3,0)*0.475*44/12</f>
        <v>19.154235990784471</v>
      </c>
      <c r="BR44" s="21">
        <f>EXP(-LN(2)/2)*BR43+(1-EXP(-LN(2)/2))/(LN(2)/2)*BL44*BO44*VLOOKUP('Données projet'!$B$11,Paramètres!$A$1:$I$89,3,0)*0.475*44/12</f>
        <v>3.9915854523252851E-2</v>
      </c>
      <c r="BS44" s="22">
        <f t="shared" si="9"/>
        <v>50.585980438270028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21.6</v>
      </c>
      <c r="N45" s="13">
        <f>IF('Données projet'!$A$36&gt;35,N44+M45-V44,IF(A45&lt;'Données projet'!$A$36,$K$205^A45,IF(A45='Données projet'!$A$36,'Données projet'!$B$36,N44+M45-V44)))</f>
        <v>404.20000000000022</v>
      </c>
      <c r="O45" s="13">
        <f>N45*VLOOKUP('Données projet'!$B$9,Paramètres!$A$1:$I$89,3,0)*VLOOKUP('Données projet'!$B$9,Paramètres!$A$1:$I$89,5,0)</f>
        <v>241.71160000000015</v>
      </c>
      <c r="P45" s="13">
        <f t="shared" si="33"/>
        <v>58.807637113502857</v>
      </c>
      <c r="Q45" s="20">
        <f t="shared" si="53"/>
        <v>523.40433797268429</v>
      </c>
      <c r="R45" s="59">
        <f t="shared" si="0"/>
        <v>816.73767130601755</v>
      </c>
      <c r="S45" s="59">
        <f ca="1">AVERAGE(OFFSET($R$3,0,0,'Données projet'!$E$9+1,1))-AVERAGE(OFFSET($H$3,0,0,'Données projet'!$E$9+1,1))</f>
        <v>430.93760474982633</v>
      </c>
      <c r="T45" s="59">
        <f t="shared" si="34"/>
        <v>371.5387876502981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41.194649917176385</v>
      </c>
      <c r="AA45" s="21">
        <f>EXP(-LN(2)/25)*AA44+(1-EXP(-LN(2)/25))/(LN(2)/25)*Calculateur!V45*Calculateur!X45*VLOOKUP('Données projet'!$B$9,Paramètres!$A$1:$I$89,3,0)*0.475*44/12</f>
        <v>42.215094698613008</v>
      </c>
      <c r="AB45" s="21">
        <f>EXP(-LN(2)/2)*AB44+(1-EXP(-LN(2)/2))/(LN(2)/2)*V45*Y45*VLOOKUP('Données projet'!$B$9,Paramètres!$A$1:$I$89,3,0)*0.475*44/12</f>
        <v>8.1820064478344825E-4</v>
      </c>
      <c r="AC45" s="22">
        <f t="shared" si="3"/>
        <v>83.410562816434179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179.44051550872138</v>
      </c>
      <c r="AO45" s="59">
        <f t="shared" si="36"/>
        <v>272.9500808380069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0.6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60.619892498046624</v>
      </c>
      <c r="AV45" s="21">
        <f>EXP(-LN(2)/25)*AV44+(1-EXP(-LN(2)/25))/(LN(2)/25)*Calculateur!AQ45*Calculateur!AS45*VLOOKUP('Données projet'!$B$10,Paramètres!$A$1:$I$89,3,0)*0.475*44/12</f>
        <v>34.694208588087562</v>
      </c>
      <c r="AW45" s="21">
        <f>EXP(-LN(2)/2)*AW44+(1-EXP(-LN(2)/2))/(LN(2)/2)*AQ45*AT45*VLOOKUP('Données projet'!$B$10,Paramètres!$A$1:$I$89,3,0)*0.475*44/12</f>
        <v>3.4497702815259527E-3</v>
      </c>
      <c r="AX45" s="21">
        <f t="shared" si="6"/>
        <v>95.317550856415707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450.49</v>
      </c>
      <c r="BB45" s="12">
        <f>VLOOKUP(A45,'Données projet'!$A$87:$I$107,9,0)</f>
        <v>22.848571428571429</v>
      </c>
      <c r="BC45" s="12">
        <f t="array" ref="BC45">INDEX(BB:BB,MIN(IF(ISNUMBER(BB45:BB241),ROW(BB45:BB241),"")))</f>
        <v>22.848571428571429</v>
      </c>
      <c r="BD45" s="12">
        <f>IF('Données projet'!$A$88&gt;35,BD44+BC45-BL44,IF(A45&lt;'Données projet'!$A$88,$BA$205^A45,IF(A45='Données projet'!$A$88,'Données projet'!$B$88,BD44+BC45-BL44)))</f>
        <v>450.48999999999972</v>
      </c>
      <c r="BE45" s="13">
        <f>BD45*VLOOKUP('Données projet'!$B$11,Paramètres!$A$1:$I$89,3,0)*VLOOKUP('Données projet'!$B$11,Paramètres!$A$1:$I$89,5,0)</f>
        <v>251.82390999999987</v>
      </c>
      <c r="BF45" s="13">
        <f t="shared" si="37"/>
        <v>60.976338340878762</v>
      </c>
      <c r="BG45" s="20">
        <f t="shared" si="7"/>
        <v>544.79376586036358</v>
      </c>
      <c r="BH45" s="59">
        <f t="shared" si="8"/>
        <v>838.12709919369695</v>
      </c>
      <c r="BI45" s="59">
        <f ca="1">AVERAGE(OFFSET($BH$3,0,0,'Données projet'!$E$11+1,1))-AVERAGE(OFFSET($H$3,0,0,'Données projet'!$E$11+1,1))</f>
        <v>321.85808080442411</v>
      </c>
      <c r="BJ45" s="59">
        <f t="shared" si="38"/>
        <v>285.95942591879702</v>
      </c>
      <c r="BK45" s="15">
        <f>IF(ISNA(VLOOKUP(A45,'Données projet'!$A$87:$I$107,3,0)),0,VLOOKUP(A45,'Données projet'!$A$87:$I$107,3,0))</f>
        <v>4</v>
      </c>
      <c r="BL45" s="15">
        <f>IF(ISNA(VLOOKUP(A45,'Données projet'!$A$87:$I$107,4,0)),0,VLOOKUP(A45,'Données projet'!$A$87:$I$107,4,0))</f>
        <v>99.98</v>
      </c>
      <c r="BM45" s="16">
        <f>IF(ISNA(VLOOKUP(A45,'Données projet'!$A$87:$I$107,5,0)),0%,VLOOKUP(A45,'Données projet'!$A$87:$I$107,5,0)*VLOOKUP('Données projet'!$B$11,Paramètres!$A$1:$I$89,7,0))</f>
        <v>0.55000000000000004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71.553321119031295</v>
      </c>
      <c r="BQ45" s="21">
        <f>EXP(-LN(2)/25)*BQ44+(1-EXP(-LN(2)/25))/(LN(2)/25)*Calculateur!BL45*Calculateur!BN45*VLOOKUP('Données projet'!$B$11,Paramètres!$A$1:$I$89,3,0)*0.475*44/12</f>
        <v>18.630462400338978</v>
      </c>
      <c r="BR45" s="21">
        <f>EXP(-LN(2)/2)*BR44+(1-EXP(-LN(2)/2))/(LN(2)/2)*BL45*BO45*VLOOKUP('Données projet'!$B$11,Paramètres!$A$1:$I$89,3,0)*0.475*44/12</f>
        <v>2.8224771410247818E-2</v>
      </c>
      <c r="BS45" s="22">
        <f t="shared" si="9"/>
        <v>90.212008290780531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</v>
      </c>
      <c r="N46" s="13">
        <f>IF('Données projet'!$A$36&gt;35,N45+M46-V45,IF(A46&lt;'Données projet'!$A$36,$K$205^A46,IF(A46='Données projet'!$A$36,'Données projet'!$B$36,N45+M46-V45)))</f>
        <v>425.80000000000024</v>
      </c>
      <c r="O46" s="13">
        <f>N46*VLOOKUP('Données projet'!$B$9,Paramètres!$A$1:$I$89,3,0)*VLOOKUP('Données projet'!$B$9,Paramètres!$A$1:$I$89,5,0)</f>
        <v>254.62840000000014</v>
      </c>
      <c r="P46" s="13">
        <f t="shared" si="33"/>
        <v>61.575982433801578</v>
      </c>
      <c r="Q46" s="20">
        <f t="shared" si="53"/>
        <v>550.7226327388712</v>
      </c>
      <c r="R46" s="59">
        <f t="shared" si="0"/>
        <v>844.05596607220446</v>
      </c>
      <c r="S46" s="59">
        <f ca="1">AVERAGE(OFFSET($R$3,0,0,'Données projet'!$E$9+1,1))-AVERAGE(OFFSET($H$3,0,0,'Données projet'!$E$9+1,1))</f>
        <v>430.93760474982633</v>
      </c>
      <c r="T46" s="59">
        <f t="shared" si="34"/>
        <v>371.5387876502981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40.386847958555997</v>
      </c>
      <c r="AA46" s="21">
        <f>EXP(-LN(2)/25)*AA45+(1-EXP(-LN(2)/25))/(LN(2)/25)*Calculateur!V46*Calculateur!X46*VLOOKUP('Données projet'!$B$9,Paramètres!$A$1:$I$89,3,0)*0.475*44/12</f>
        <v>41.060720714084091</v>
      </c>
      <c r="AB46" s="21">
        <f>EXP(-LN(2)/2)*AB45+(1-EXP(-LN(2)/2))/(LN(2)/2)*V46*Y46*VLOOKUP('Données projet'!$B$9,Paramètres!$A$1:$I$89,3,0)*0.475*44/12</f>
        <v>5.7855522429758183E-4</v>
      </c>
      <c r="AC46" s="22">
        <f t="shared" si="3"/>
        <v>81.448147227864382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179.44051550872138</v>
      </c>
      <c r="AO46" s="59">
        <f t="shared" si="36"/>
        <v>272.9500808380069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59.431173380643429</v>
      </c>
      <c r="AV46" s="21">
        <f>EXP(-LN(2)/25)*AV45+(1-EXP(-LN(2)/25))/(LN(2)/25)*Calculateur!AQ46*Calculateur!AS46*VLOOKUP('Données projet'!$B$10,Paramètres!$A$1:$I$89,3,0)*0.475*44/12</f>
        <v>33.745493629757171</v>
      </c>
      <c r="AW46" s="21">
        <f>EXP(-LN(2)/2)*AW45+(1-EXP(-LN(2)/2))/(LN(2)/2)*AQ46*AT46*VLOOKUP('Données projet'!$B$10,Paramètres!$A$1:$I$89,3,0)*0.475*44/12</f>
        <v>2.4393559596028263E-3</v>
      </c>
      <c r="AX46" s="21">
        <f t="shared" si="6"/>
        <v>93.179106366360202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21.961428571428574</v>
      </c>
      <c r="BD46" s="12">
        <f>IF('Données projet'!$A$88&gt;35,BD45+BC46-BL45,IF(A46&lt;'Données projet'!$A$88,$BA$205^A46,IF(A46='Données projet'!$A$88,'Données projet'!$B$88,BD45+BC46-BL45)))</f>
        <v>372.47142857142831</v>
      </c>
      <c r="BE46" s="13">
        <f>BD46*VLOOKUP('Données projet'!$B$11,Paramètres!$A$1:$I$89,3,0)*VLOOKUP('Données projet'!$B$11,Paramètres!$A$1:$I$89,5,0)</f>
        <v>208.21152857142843</v>
      </c>
      <c r="BF46" s="13">
        <f t="shared" si="37"/>
        <v>51.544565359514003</v>
      </c>
      <c r="BG46" s="20">
        <f t="shared" si="7"/>
        <v>452.40853026305803</v>
      </c>
      <c r="BH46" s="59">
        <f t="shared" si="8"/>
        <v>745.74186359639134</v>
      </c>
      <c r="BI46" s="59">
        <f ca="1">AVERAGE(OFFSET($BH$3,0,0,'Données projet'!$E$11+1,1))-AVERAGE(OFFSET($H$3,0,0,'Données projet'!$E$11+1,1))</f>
        <v>321.85808080442411</v>
      </c>
      <c r="BJ46" s="59">
        <f t="shared" si="38"/>
        <v>285.95942591879702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70.150204135103564</v>
      </c>
      <c r="BQ46" s="21">
        <f>EXP(-LN(2)/25)*BQ45+(1-EXP(-LN(2)/25))/(LN(2)/25)*Calculateur!BL46*Calculateur!BN46*VLOOKUP('Données projet'!$B$11,Paramètres!$A$1:$I$89,3,0)*0.475*44/12</f>
        <v>18.121011426268272</v>
      </c>
      <c r="BR46" s="21">
        <f>EXP(-LN(2)/2)*BR45+(1-EXP(-LN(2)/2))/(LN(2)/2)*BL46*BO46*VLOOKUP('Données projet'!$B$11,Paramètres!$A$1:$I$89,3,0)*0.475*44/12</f>
        <v>1.9957927261626426E-2</v>
      </c>
      <c r="BS46" s="22">
        <f t="shared" si="9"/>
        <v>88.291173488633461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</v>
      </c>
      <c r="N47" s="13">
        <f>IF('Données projet'!$A$36&gt;35,N46+M47-V46,IF(A47&lt;'Données projet'!$A$36,$K$205^A47,IF(A47='Données projet'!$A$36,'Données projet'!$B$36,N46+M47-V46)))</f>
        <v>447.40000000000026</v>
      </c>
      <c r="O47" s="13">
        <f>N47*VLOOKUP('Données projet'!$B$9,Paramètres!$A$1:$I$89,3,0)*VLOOKUP('Données projet'!$B$9,Paramètres!$A$1:$I$89,5,0)</f>
        <v>267.54520000000014</v>
      </c>
      <c r="P47" s="13">
        <f t="shared" si="33"/>
        <v>64.328022166288974</v>
      </c>
      <c r="Q47" s="20">
        <f t="shared" si="53"/>
        <v>578.01252860628688</v>
      </c>
      <c r="R47" s="59">
        <f t="shared" si="0"/>
        <v>871.34586193962014</v>
      </c>
      <c r="S47" s="59">
        <f ca="1">AVERAGE(OFFSET($R$3,0,0,'Données projet'!$E$9+1,1))-AVERAGE(OFFSET($H$3,0,0,'Données projet'!$E$9+1,1))</f>
        <v>430.93760474982633</v>
      </c>
      <c r="T47" s="59">
        <f t="shared" si="34"/>
        <v>371.5387876502981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39.59488650363361</v>
      </c>
      <c r="AA47" s="21">
        <f>EXP(-LN(2)/25)*AA46+(1-EXP(-LN(2)/25))/(LN(2)/25)*Calculateur!V47*Calculateur!X47*VLOOKUP('Données projet'!$B$9,Paramètres!$A$1:$I$89,3,0)*0.475*44/12</f>
        <v>39.937913146868006</v>
      </c>
      <c r="AB47" s="21">
        <f>EXP(-LN(2)/2)*AB46+(1-EXP(-LN(2)/2))/(LN(2)/2)*V47*Y47*VLOOKUP('Données projet'!$B$9,Paramètres!$A$1:$I$89,3,0)*0.475*44/12</f>
        <v>4.0910032239172413E-4</v>
      </c>
      <c r="AC47" s="22">
        <f t="shared" si="3"/>
        <v>79.533208750824002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179.44051550872138</v>
      </c>
      <c r="AO47" s="59">
        <f t="shared" si="36"/>
        <v>272.9500808380069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58.265764320085438</v>
      </c>
      <c r="AV47" s="21">
        <f>EXP(-LN(2)/25)*AV46+(1-EXP(-LN(2)/25))/(LN(2)/25)*Calculateur!AQ47*Calculateur!AS47*VLOOKUP('Données projet'!$B$10,Paramètres!$A$1:$I$89,3,0)*0.475*44/12</f>
        <v>32.822721331853074</v>
      </c>
      <c r="AW47" s="21">
        <f>EXP(-LN(2)/2)*AW46+(1-EXP(-LN(2)/2))/(LN(2)/2)*AQ47*AT47*VLOOKUP('Données projet'!$B$10,Paramètres!$A$1:$I$89,3,0)*0.475*44/12</f>
        <v>1.7248851407629764E-3</v>
      </c>
      <c r="AX47" s="21">
        <f t="shared" si="6"/>
        <v>91.090210537079273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21.961428571428574</v>
      </c>
      <c r="BD47" s="12">
        <f>IF('Données projet'!$A$88&gt;35,BD46+BC47-BL46,IF(A47&lt;'Données projet'!$A$88,$BA$205^A47,IF(A47='Données projet'!$A$88,'Données projet'!$B$88,BD46+BC47-BL46)))</f>
        <v>394.4328571428569</v>
      </c>
      <c r="BE47" s="13">
        <f>BD47*VLOOKUP('Données projet'!$B$11,Paramètres!$A$1:$I$89,3,0)*VLOOKUP('Données projet'!$B$11,Paramètres!$A$1:$I$89,5,0)</f>
        <v>220.487967142857</v>
      </c>
      <c r="BF47" s="13">
        <f t="shared" si="37"/>
        <v>54.220929288556356</v>
      </c>
      <c r="BG47" s="20">
        <f t="shared" si="7"/>
        <v>478.45132795137823</v>
      </c>
      <c r="BH47" s="59">
        <f t="shared" si="8"/>
        <v>771.78466128471155</v>
      </c>
      <c r="BI47" s="59">
        <f ca="1">AVERAGE(OFFSET($BH$3,0,0,'Données projet'!$E$11+1,1))-AVERAGE(OFFSET($H$3,0,0,'Données projet'!$E$11+1,1))</f>
        <v>321.85808080442411</v>
      </c>
      <c r="BJ47" s="59">
        <f t="shared" si="38"/>
        <v>285.95942591879702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68.774601419413798</v>
      </c>
      <c r="BQ47" s="21">
        <f>EXP(-LN(2)/25)*BQ46+(1-EXP(-LN(2)/25))/(LN(2)/25)*Calculateur!BL47*Calculateur!BN47*VLOOKUP('Données projet'!$B$11,Paramètres!$A$1:$I$89,3,0)*0.475*44/12</f>
        <v>17.625491415874389</v>
      </c>
      <c r="BR47" s="21">
        <f>EXP(-LN(2)/2)*BR46+(1-EXP(-LN(2)/2))/(LN(2)/2)*BL47*BO47*VLOOKUP('Données projet'!$B$11,Paramètres!$A$1:$I$89,3,0)*0.475*44/12</f>
        <v>1.4112385705123909E-2</v>
      </c>
      <c r="BS47" s="22">
        <f t="shared" si="9"/>
        <v>86.41420522099331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469</v>
      </c>
      <c r="L48" s="12">
        <f>VLOOKUP(A48,'Données projet'!$A$35:$I$55,9,0)</f>
        <v>21.6</v>
      </c>
      <c r="M48" s="12">
        <f t="array" ref="M48">INDEX(L:L,MIN(IF(ISNUMBER(L48:L244),ROW(L48:L244),"")))</f>
        <v>21.6</v>
      </c>
      <c r="N48" s="13">
        <f>IF('Données projet'!$A$36&gt;35,N47+M48-V47,IF(A48&lt;'Données projet'!$A$36,$K$205^A48,IF(A48='Données projet'!$A$36,'Données projet'!$B$36,N47+M48-V47)))</f>
        <v>469.00000000000028</v>
      </c>
      <c r="O48" s="13">
        <f>N48*VLOOKUP('Données projet'!$B$9,Paramètres!$A$1:$I$89,3,0)*VLOOKUP('Données projet'!$B$9,Paramètres!$A$1:$I$89,5,0)</f>
        <v>280.46200000000022</v>
      </c>
      <c r="P48" s="13">
        <f t="shared" si="33"/>
        <v>67.064633392006456</v>
      </c>
      <c r="Q48" s="20">
        <f t="shared" si="53"/>
        <v>605.27555315774487</v>
      </c>
      <c r="R48" s="59">
        <f t="shared" si="0"/>
        <v>898.60888649107824</v>
      </c>
      <c r="S48" s="59">
        <f ca="1">AVERAGE(OFFSET($R$3,0,0,'Données projet'!$E$9+1,1))-AVERAGE(OFFSET($H$3,0,0,'Données projet'!$E$9+1,1))</f>
        <v>430.93760474982633</v>
      </c>
      <c r="T48" s="59">
        <f t="shared" si="34"/>
        <v>371.5387876502981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60</v>
      </c>
      <c r="W48" s="16">
        <f>IF(ISNA(VLOOKUP(A48,'Données projet'!$A$35:$I$55,5,0)),0%,VLOOKUP(A48,'Données projet'!$A$35:$I$55,5,0)*VLOOKUP('Données projet'!$B$9,Paramètres!$A$1:$I$89,7,0))</f>
        <v>0.45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60.237164627320283</v>
      </c>
      <c r="AA48" s="21">
        <f>EXP(-LN(2)/25)*AA47+(1-EXP(-LN(2)/25))/(LN(2)/25)*Calculateur!V48*Calculateur!X48*VLOOKUP('Données projet'!$B$9,Paramètres!$A$1:$I$89,3,0)*0.475*44/12</f>
        <v>38.845808811623328</v>
      </c>
      <c r="AB48" s="21">
        <f>EXP(-LN(2)/2)*AB47+(1-EXP(-LN(2)/2))/(LN(2)/2)*V48*Y48*VLOOKUP('Données projet'!$B$9,Paramètres!$A$1:$I$89,3,0)*0.475*44/12</f>
        <v>2.8927761214879091E-4</v>
      </c>
      <c r="AC48" s="22">
        <f t="shared" si="3"/>
        <v>99.083262716555765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179.44051550872138</v>
      </c>
      <c r="AO48" s="59">
        <f t="shared" si="36"/>
        <v>272.9500808380069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57.123208220375652</v>
      </c>
      <c r="AV48" s="21">
        <f>EXP(-LN(2)/25)*AV47+(1-EXP(-LN(2)/25))/(LN(2)/25)*Calculateur!AQ48*Calculateur!AS48*VLOOKUP('Données projet'!$B$10,Paramètres!$A$1:$I$89,3,0)*0.475*44/12</f>
        <v>31.925182290961654</v>
      </c>
      <c r="AW48" s="21">
        <f>EXP(-LN(2)/2)*AW47+(1-EXP(-LN(2)/2))/(LN(2)/2)*AQ48*AT48*VLOOKUP('Données projet'!$B$10,Paramètres!$A$1:$I$89,3,0)*0.475*44/12</f>
        <v>1.2196779798014131E-3</v>
      </c>
      <c r="AX48" s="21">
        <f t="shared" si="6"/>
        <v>89.049610189317107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21.961428571428574</v>
      </c>
      <c r="BD48" s="12">
        <f>IF('Données projet'!$A$88&gt;35,BD47+BC48-BL47,IF(A48&lt;'Données projet'!$A$88,$BA$205^A48,IF(A48='Données projet'!$A$88,'Données projet'!$B$88,BD47+BC48-BL47)))</f>
        <v>416.3942857142855</v>
      </c>
      <c r="BE48" s="13">
        <f>BD48*VLOOKUP('Données projet'!$B$11,Paramètres!$A$1:$I$89,3,0)*VLOOKUP('Données projet'!$B$11,Paramètres!$A$1:$I$89,5,0)</f>
        <v>232.7644057142856</v>
      </c>
      <c r="BF48" s="13">
        <f t="shared" si="37"/>
        <v>56.879994416313536</v>
      </c>
      <c r="BG48" s="20">
        <f t="shared" si="7"/>
        <v>504.46399689412675</v>
      </c>
      <c r="BH48" s="59">
        <f t="shared" si="8"/>
        <v>797.79733022746007</v>
      </c>
      <c r="BI48" s="59">
        <f ca="1">AVERAGE(OFFSET($BH$3,0,0,'Données projet'!$E$11+1,1))-AVERAGE(OFFSET($H$3,0,0,'Données projet'!$E$11+1,1))</f>
        <v>321.85808080442411</v>
      </c>
      <c r="BJ48" s="59">
        <f t="shared" si="38"/>
        <v>285.95942591879702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67.425973433943909</v>
      </c>
      <c r="BQ48" s="21">
        <f>EXP(-LN(2)/25)*BQ47+(1-EXP(-LN(2)/25))/(LN(2)/25)*Calculateur!BL48*Calculateur!BN48*VLOOKUP('Données projet'!$B$11,Paramètres!$A$1:$I$89,3,0)*0.475*44/12</f>
        <v>17.143521426222993</v>
      </c>
      <c r="BR48" s="21">
        <f>EXP(-LN(2)/2)*BR47+(1-EXP(-LN(2)/2))/(LN(2)/2)*BL48*BO48*VLOOKUP('Données projet'!$B$11,Paramètres!$A$1:$I$89,3,0)*0.475*44/12</f>
        <v>9.9789636308132128E-3</v>
      </c>
      <c r="BS48" s="22">
        <f t="shared" si="9"/>
        <v>84.579473823797713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20</v>
      </c>
      <c r="N49" s="13">
        <f>IF('Données projet'!$A$36&gt;35,N48+M49-V48,IF(A49&lt;'Données projet'!$A$36,$K$205^A49,IF(A49='Données projet'!$A$36,'Données projet'!$B$36,N48+M49-V48)))</f>
        <v>429.00000000000028</v>
      </c>
      <c r="O49" s="13">
        <f>N49*VLOOKUP('Données projet'!$B$9,Paramètres!$A$1:$I$89,3,0)*VLOOKUP('Données projet'!$B$9,Paramètres!$A$1:$I$89,5,0)</f>
        <v>256.5420000000002</v>
      </c>
      <c r="P49" s="13">
        <f t="shared" si="33"/>
        <v>61.984698688972557</v>
      </c>
      <c r="Q49" s="20">
        <f t="shared" si="53"/>
        <v>554.76733354996088</v>
      </c>
      <c r="R49" s="59">
        <f t="shared" si="0"/>
        <v>848.10066688329425</v>
      </c>
      <c r="S49" s="59">
        <f ca="1">AVERAGE(OFFSET($R$3,0,0,'Données projet'!$E$9+1,1))-AVERAGE(OFFSET($H$3,0,0,'Données projet'!$E$9+1,1))</f>
        <v>430.93760474982633</v>
      </c>
      <c r="T49" s="59">
        <f t="shared" si="34"/>
        <v>371.5387876502981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59.055950570021075</v>
      </c>
      <c r="AA49" s="21">
        <f>EXP(-LN(2)/25)*AA48+(1-EXP(-LN(2)/25))/(LN(2)/25)*Calculateur!V49*Calculateur!X49*VLOOKUP('Données projet'!$B$9,Paramètres!$A$1:$I$89,3,0)*0.475*44/12</f>
        <v>37.783568126857183</v>
      </c>
      <c r="AB49" s="21">
        <f>EXP(-LN(2)/2)*AB48+(1-EXP(-LN(2)/2))/(LN(2)/2)*V49*Y49*VLOOKUP('Données projet'!$B$9,Paramètres!$A$1:$I$89,3,0)*0.475*44/12</f>
        <v>2.0455016119586206E-4</v>
      </c>
      <c r="AC49" s="22">
        <f t="shared" si="3"/>
        <v>96.839723247039458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179.44051550872138</v>
      </c>
      <c r="AO49" s="59">
        <f t="shared" si="36"/>
        <v>272.9500808380069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56.003056948890766</v>
      </c>
      <c r="AV49" s="21">
        <f>EXP(-LN(2)/25)*AV48+(1-EXP(-LN(2)/25))/(LN(2)/25)*Calculateur!AQ49*Calculateur!AS49*VLOOKUP('Données projet'!$B$10,Paramètres!$A$1:$I$89,3,0)*0.475*44/12</f>
        <v>31.052186502342938</v>
      </c>
      <c r="AW49" s="21">
        <f>EXP(-LN(2)/2)*AW48+(1-EXP(-LN(2)/2))/(LN(2)/2)*AQ49*AT49*VLOOKUP('Données projet'!$B$10,Paramètres!$A$1:$I$89,3,0)*0.475*44/12</f>
        <v>8.6244257038148818E-4</v>
      </c>
      <c r="AX49" s="21">
        <f t="shared" si="6"/>
        <v>87.056105893804087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21.961428571428574</v>
      </c>
      <c r="BD49" s="12">
        <f>IF('Données projet'!$A$88&gt;35,BD48+BC49-BL48,IF(A49&lt;'Données projet'!$A$88,$BA$205^A49,IF(A49='Données projet'!$A$88,'Données projet'!$B$88,BD48+BC49-BL48)))</f>
        <v>438.3557142857141</v>
      </c>
      <c r="BE49" s="13">
        <f>BD49*VLOOKUP('Données projet'!$B$11,Paramètres!$A$1:$I$89,3,0)*VLOOKUP('Données projet'!$B$11,Paramètres!$A$1:$I$89,5,0)</f>
        <v>245.04084428571417</v>
      </c>
      <c r="BF49" s="13">
        <f t="shared" si="37"/>
        <v>59.522777160959642</v>
      </c>
      <c r="BG49" s="20">
        <f t="shared" si="7"/>
        <v>530.44830735295693</v>
      </c>
      <c r="BH49" s="59">
        <f t="shared" si="8"/>
        <v>823.7816406862903</v>
      </c>
      <c r="BI49" s="59">
        <f ca="1">AVERAGE(OFFSET($BH$3,0,0,'Données projet'!$E$11+1,1))-AVERAGE(OFFSET($H$3,0,0,'Données projet'!$E$11+1,1))</f>
        <v>321.85808080442411</v>
      </c>
      <c r="BJ49" s="59">
        <f t="shared" si="38"/>
        <v>285.95942591879702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66.103791220687228</v>
      </c>
      <c r="BQ49" s="21">
        <f>EXP(-LN(2)/25)*BQ48+(1-EXP(-LN(2)/25))/(LN(2)/25)*Calculateur!BL49*Calculateur!BN49*VLOOKUP('Données projet'!$B$11,Paramètres!$A$1:$I$89,3,0)*0.475*44/12</f>
        <v>16.674730931284316</v>
      </c>
      <c r="BR49" s="21">
        <f>EXP(-LN(2)/2)*BR48+(1-EXP(-LN(2)/2))/(LN(2)/2)*BL49*BO49*VLOOKUP('Données projet'!$B$11,Paramètres!$A$1:$I$89,3,0)*0.475*44/12</f>
        <v>7.0561928525619544E-3</v>
      </c>
      <c r="BS49" s="22">
        <f t="shared" si="9"/>
        <v>82.785578344824103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20</v>
      </c>
      <c r="N50" s="13">
        <f>IF('Données projet'!$A$36&gt;35,N49+M50-V49,IF(A50&lt;'Données projet'!$A$36,$K$205^A50,IF(A50='Données projet'!$A$36,'Données projet'!$B$36,N49+M50-V49)))</f>
        <v>449.00000000000028</v>
      </c>
      <c r="O50" s="13">
        <f>N50*VLOOKUP('Données projet'!$B$9,Paramètres!$A$1:$I$89,3,0)*VLOOKUP('Données projet'!$B$9,Paramètres!$A$1:$I$89,5,0)</f>
        <v>268.50200000000018</v>
      </c>
      <c r="P50" s="13">
        <f t="shared" si="33"/>
        <v>64.531253013339224</v>
      </c>
      <c r="Q50" s="20">
        <f t="shared" si="53"/>
        <v>580.03291566489941</v>
      </c>
      <c r="R50" s="59">
        <f t="shared" si="0"/>
        <v>873.36624899823278</v>
      </c>
      <c r="S50" s="59">
        <f ca="1">AVERAGE(OFFSET($R$3,0,0,'Données projet'!$E$9+1,1))-AVERAGE(OFFSET($H$3,0,0,'Données projet'!$E$9+1,1))</f>
        <v>430.93760474982633</v>
      </c>
      <c r="T50" s="59">
        <f t="shared" si="34"/>
        <v>371.5387876502981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57.897899399916071</v>
      </c>
      <c r="AA50" s="21">
        <f>EXP(-LN(2)/25)*AA49+(1-EXP(-LN(2)/25))/(LN(2)/25)*Calculateur!V50*Calculateur!X50*VLOOKUP('Données projet'!$B$9,Paramètres!$A$1:$I$89,3,0)*0.475*44/12</f>
        <v>36.750374469476782</v>
      </c>
      <c r="AB50" s="21">
        <f>EXP(-LN(2)/2)*AB49+(1-EXP(-LN(2)/2))/(LN(2)/2)*V50*Y50*VLOOKUP('Données projet'!$B$9,Paramètres!$A$1:$I$89,3,0)*0.475*44/12</f>
        <v>1.4463880607439546E-4</v>
      </c>
      <c r="AC50" s="22">
        <f t="shared" si="3"/>
        <v>94.64841850819893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179.44051550872138</v>
      </c>
      <c r="AO50" s="59">
        <f t="shared" si="36"/>
        <v>272.9500808380069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54.904871160614888</v>
      </c>
      <c r="AV50" s="21">
        <f>EXP(-LN(2)/25)*AV49+(1-EXP(-LN(2)/25))/(LN(2)/25)*Calculateur!AQ50*Calculateur!AS50*VLOOKUP('Données projet'!$B$10,Paramètres!$A$1:$I$89,3,0)*0.475*44/12</f>
        <v>30.203062829472852</v>
      </c>
      <c r="AW50" s="21">
        <f>EXP(-LN(2)/2)*AW49+(1-EXP(-LN(2)/2))/(LN(2)/2)*AQ50*AT50*VLOOKUP('Données projet'!$B$10,Paramètres!$A$1:$I$89,3,0)*0.475*44/12</f>
        <v>6.0983898990070657E-4</v>
      </c>
      <c r="AX50" s="21">
        <f t="shared" si="6"/>
        <v>85.108543829077647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21.961428571428574</v>
      </c>
      <c r="BD50" s="12">
        <f>IF('Données projet'!$A$88&gt;35,BD49+BC50-BL49,IF(A50&lt;'Données projet'!$A$88,$BA$205^A50,IF(A50='Données projet'!$A$88,'Données projet'!$B$88,BD49+BC50-BL49)))</f>
        <v>460.3171428571427</v>
      </c>
      <c r="BE50" s="13">
        <f>BD50*VLOOKUP('Données projet'!$B$11,Paramètres!$A$1:$I$89,3,0)*VLOOKUP('Données projet'!$B$11,Paramètres!$A$1:$I$89,5,0)</f>
        <v>257.3172828571428</v>
      </c>
      <c r="BF50" s="13">
        <f t="shared" si="37"/>
        <v>62.150186343387283</v>
      </c>
      <c r="BG50" s="20">
        <f t="shared" si="7"/>
        <v>556.40584219092329</v>
      </c>
      <c r="BH50" s="59">
        <f t="shared" si="8"/>
        <v>849.73917552425655</v>
      </c>
      <c r="BI50" s="59">
        <f ca="1">AVERAGE(OFFSET($BH$3,0,0,'Données projet'!$E$11+1,1))-AVERAGE(OFFSET($H$3,0,0,'Données projet'!$E$11+1,1))</f>
        <v>321.85808080442411</v>
      </c>
      <c r="BJ50" s="59">
        <f t="shared" si="38"/>
        <v>285.95942591879702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64.807536194180997</v>
      </c>
      <c r="BQ50" s="21">
        <f>EXP(-LN(2)/25)*BQ49+(1-EXP(-LN(2)/25))/(LN(2)/25)*Calculateur!BL50*Calculateur!BN50*VLOOKUP('Données projet'!$B$11,Paramètres!$A$1:$I$89,3,0)*0.475*44/12</f>
        <v>16.218759537082356</v>
      </c>
      <c r="BR50" s="21">
        <f>EXP(-LN(2)/2)*BR49+(1-EXP(-LN(2)/2))/(LN(2)/2)*BL50*BO50*VLOOKUP('Données projet'!$B$11,Paramètres!$A$1:$I$89,3,0)*0.475*44/12</f>
        <v>4.9894818154066064E-3</v>
      </c>
      <c r="BS50" s="22">
        <f t="shared" si="9"/>
        <v>81.03128521307876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20</v>
      </c>
      <c r="N51" s="13">
        <f>IF('Données projet'!$A$36&gt;35,N50+M51-V50,IF(A51&lt;'Données projet'!$A$36,$K$205^A51,IF(A51='Données projet'!$A$36,'Données projet'!$B$36,N50+M51-V50)))</f>
        <v>469.00000000000028</v>
      </c>
      <c r="O51" s="13">
        <f>N51*VLOOKUP('Données projet'!$B$9,Paramètres!$A$1:$I$89,3,0)*VLOOKUP('Données projet'!$B$9,Paramètres!$A$1:$I$89,5,0)</f>
        <v>280.46200000000022</v>
      </c>
      <c r="P51" s="13">
        <f t="shared" si="33"/>
        <v>67.064633392006456</v>
      </c>
      <c r="Q51" s="20">
        <f t="shared" si="53"/>
        <v>605.27555315774487</v>
      </c>
      <c r="R51" s="59">
        <f t="shared" si="0"/>
        <v>898.60888649107824</v>
      </c>
      <c r="S51" s="59">
        <f ca="1">AVERAGE(OFFSET($R$3,0,0,'Données projet'!$E$9+1,1))-AVERAGE(OFFSET($H$3,0,0,'Données projet'!$E$9+1,1))</f>
        <v>430.93760474982633</v>
      </c>
      <c r="T51" s="59">
        <f t="shared" si="34"/>
        <v>371.5387876502981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56.762556906915357</v>
      </c>
      <c r="AA51" s="21">
        <f>EXP(-LN(2)/25)*AA50+(1-EXP(-LN(2)/25))/(LN(2)/25)*Calculateur!V51*Calculateur!X51*VLOOKUP('Données projet'!$B$9,Paramètres!$A$1:$I$89,3,0)*0.475*44/12</f>
        <v>35.745433546990739</v>
      </c>
      <c r="AB51" s="21">
        <f>EXP(-LN(2)/2)*AB50+(1-EXP(-LN(2)/2))/(LN(2)/2)*V51*Y51*VLOOKUP('Données projet'!$B$9,Paramètres!$A$1:$I$89,3,0)*0.475*44/12</f>
        <v>1.0227508059793103E-4</v>
      </c>
      <c r="AC51" s="22">
        <f t="shared" si="3"/>
        <v>92.508092728986696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179.44051550872138</v>
      </c>
      <c r="AO51" s="59">
        <f t="shared" si="36"/>
        <v>272.9500808380069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0.6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86.111492713396558</v>
      </c>
      <c r="AV51" s="21">
        <f>EXP(-LN(2)/25)*AV50+(1-EXP(-LN(2)/25))/(LN(2)/25)*Calculateur!AQ51*Calculateur!AS51*VLOOKUP('Données projet'!$B$10,Paramètres!$A$1:$I$89,3,0)*0.475*44/12</f>
        <v>29.377158488090874</v>
      </c>
      <c r="AW51" s="21">
        <f>EXP(-LN(2)/2)*AW50+(1-EXP(-LN(2)/2))/(LN(2)/2)*AQ51*AT51*VLOOKUP('Données projet'!$B$10,Paramètres!$A$1:$I$89,3,0)*0.475*44/12</f>
        <v>4.3122128519074409E-4</v>
      </c>
      <c r="AX51" s="21">
        <f t="shared" si="6"/>
        <v>115.48908242277263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21.961428571428574</v>
      </c>
      <c r="BD51" s="12">
        <f>IF('Données projet'!$A$88&gt;35,BD50+BC51-BL50,IF(A51&lt;'Données projet'!$A$88,$BA$205^A51,IF(A51='Données projet'!$A$88,'Données projet'!$B$88,BD50+BC51-BL50)))</f>
        <v>482.2785714285713</v>
      </c>
      <c r="BE51" s="13">
        <f>BD51*VLOOKUP('Données projet'!$B$11,Paramètres!$A$1:$I$89,3,0)*VLOOKUP('Données projet'!$B$11,Paramètres!$A$1:$I$89,5,0)</f>
        <v>269.59372142857137</v>
      </c>
      <c r="BF51" s="13">
        <f t="shared" si="37"/>
        <v>64.763039165973552</v>
      </c>
      <c r="BG51" s="20">
        <f t="shared" si="7"/>
        <v>582.33802470216574</v>
      </c>
      <c r="BH51" s="59">
        <f t="shared" si="8"/>
        <v>875.671358035499</v>
      </c>
      <c r="BI51" s="59">
        <f ca="1">AVERAGE(OFFSET($BH$3,0,0,'Données projet'!$E$11+1,1))-AVERAGE(OFFSET($H$3,0,0,'Données projet'!$E$11+1,1))</f>
        <v>321.85808080442411</v>
      </c>
      <c r="BJ51" s="59">
        <f t="shared" si="38"/>
        <v>285.95942591879702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63.536699938107049</v>
      </c>
      <c r="BQ51" s="21">
        <f>EXP(-LN(2)/25)*BQ50+(1-EXP(-LN(2)/25))/(LN(2)/25)*Calculateur!BL51*Calculateur!BN51*VLOOKUP('Données projet'!$B$11,Paramètres!$A$1:$I$89,3,0)*0.475*44/12</f>
        <v>15.775256704633343</v>
      </c>
      <c r="BR51" s="21">
        <f>EXP(-LN(2)/2)*BR50+(1-EXP(-LN(2)/2))/(LN(2)/2)*BL51*BO51*VLOOKUP('Données projet'!$B$11,Paramètres!$A$1:$I$89,3,0)*0.475*44/12</f>
        <v>3.5280964262809772E-3</v>
      </c>
      <c r="BS51" s="22">
        <f t="shared" si="9"/>
        <v>79.315484739166678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</v>
      </c>
      <c r="N52" s="13">
        <f>IF('Données projet'!$A$36&gt;35,N51+M52-V51,IF(A52&lt;'Données projet'!$A$36,$K$205^A52,IF(A52='Données projet'!$A$36,'Données projet'!$B$36,N51+M52-V51)))</f>
        <v>489.00000000000028</v>
      </c>
      <c r="O52" s="13">
        <f>N52*VLOOKUP('Données projet'!$B$9,Paramètres!$A$1:$I$89,3,0)*VLOOKUP('Données projet'!$B$9,Paramètres!$A$1:$I$89,5,0)</f>
        <v>292.4220000000002</v>
      </c>
      <c r="P52" s="13">
        <f t="shared" si="33"/>
        <v>69.585465839061499</v>
      </c>
      <c r="Q52" s="20">
        <f t="shared" si="53"/>
        <v>630.49633633636574</v>
      </c>
      <c r="R52" s="59">
        <f t="shared" si="0"/>
        <v>923.82966966969911</v>
      </c>
      <c r="S52" s="59">
        <f ca="1">AVERAGE(OFFSET($R$3,0,0,'Données projet'!$E$9+1,1))-AVERAGE(OFFSET($H$3,0,0,'Données projet'!$E$9+1,1))</f>
        <v>430.93760474982633</v>
      </c>
      <c r="T52" s="59">
        <f t="shared" si="34"/>
        <v>371.5387876502981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55.649477787711845</v>
      </c>
      <c r="AA52" s="21">
        <f>EXP(-LN(2)/25)*AA51+(1-EXP(-LN(2)/25))/(LN(2)/25)*Calculateur!V52*Calculateur!X52*VLOOKUP('Données projet'!$B$9,Paramètres!$A$1:$I$89,3,0)*0.475*44/12</f>
        <v>34.767972786877621</v>
      </c>
      <c r="AB52" s="21">
        <f>EXP(-LN(2)/2)*AB51+(1-EXP(-LN(2)/2))/(LN(2)/2)*V52*Y52*VLOOKUP('Données projet'!$B$9,Paramètres!$A$1:$I$89,3,0)*0.475*44/12</f>
        <v>7.2319403037197729E-5</v>
      </c>
      <c r="AC52" s="22">
        <f t="shared" si="3"/>
        <v>90.417522893992498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179.44051550872138</v>
      </c>
      <c r="AO52" s="59">
        <f t="shared" si="36"/>
        <v>272.9500808380069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84.422898864111204</v>
      </c>
      <c r="AV52" s="21">
        <f>EXP(-LN(2)/25)*AV51+(1-EXP(-LN(2)/25))/(LN(2)/25)*Calculateur!AQ52*Calculateur!AS52*VLOOKUP('Données projet'!$B$10,Paramètres!$A$1:$I$89,3,0)*0.475*44/12</f>
        <v>28.573838544356406</v>
      </c>
      <c r="AW52" s="21">
        <f>EXP(-LN(2)/2)*AW51+(1-EXP(-LN(2)/2))/(LN(2)/2)*AQ52*AT52*VLOOKUP('Données projet'!$B$10,Paramètres!$A$1:$I$89,3,0)*0.475*44/12</f>
        <v>3.0491949495035328E-4</v>
      </c>
      <c r="AX52" s="21">
        <f t="shared" si="6"/>
        <v>112.99704232796256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504.24</v>
      </c>
      <c r="BB52" s="12">
        <f>VLOOKUP(A52,'Données projet'!$A$87:$I$107,9,0)</f>
        <v>21.961428571428574</v>
      </c>
      <c r="BC52" s="12">
        <f t="array" ref="BC52">INDEX(BB:BB,MIN(IF(ISNUMBER(BB52:BB248),ROW(BB52:BB248),"")))</f>
        <v>21.961428571428574</v>
      </c>
      <c r="BD52" s="12">
        <f>IF('Données projet'!$A$88&gt;35,BD51+BC52-BL51,IF(A52&lt;'Données projet'!$A$88,$BA$205^A52,IF(A52='Données projet'!$A$88,'Données projet'!$B$88,BD51+BC52-BL51)))</f>
        <v>504.2399999999999</v>
      </c>
      <c r="BE52" s="13">
        <f>BD52*VLOOKUP('Données projet'!$B$11,Paramètres!$A$1:$I$89,3,0)*VLOOKUP('Données projet'!$B$11,Paramètres!$A$1:$I$89,5,0)</f>
        <v>281.87015999999994</v>
      </c>
      <c r="BF52" s="13">
        <f t="shared" si="37"/>
        <v>67.362074198579322</v>
      </c>
      <c r="BG52" s="20">
        <f t="shared" si="7"/>
        <v>608.24614122919218</v>
      </c>
      <c r="BH52" s="59">
        <f t="shared" si="8"/>
        <v>901.57947456252555</v>
      </c>
      <c r="BI52" s="59">
        <f ca="1">AVERAGE(OFFSET($BH$3,0,0,'Données projet'!$E$11+1,1))-AVERAGE(OFFSET($H$3,0,0,'Données projet'!$E$11+1,1))</f>
        <v>321.85808080442411</v>
      </c>
      <c r="BJ52" s="59">
        <f t="shared" si="38"/>
        <v>285.95942591879702</v>
      </c>
      <c r="BK52" s="15">
        <f>IF(ISNA(VLOOKUP(A52,'Données projet'!$A$87:$I$107,3,0)),0,VLOOKUP(A52,'Données projet'!$A$87:$I$107,3,0))</f>
        <v>5</v>
      </c>
      <c r="BL52" s="15">
        <f>IF(ISNA(VLOOKUP(A52,'Données projet'!$A$87:$I$107,4,0)),0,VLOOKUP(A52,'Données projet'!$A$87:$I$107,4,0))</f>
        <v>112.61</v>
      </c>
      <c r="BM52" s="16">
        <f>IF(ISNA(VLOOKUP(A52,'Données projet'!$A$87:$I$107,5,0)),0%,VLOOKUP(A52,'Données projet'!$A$87:$I$107,5,0)*VLOOKUP('Données projet'!$B$11,Paramètres!$A$1:$I$89,7,0))</f>
        <v>0.55000000000000004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108.21902495778161</v>
      </c>
      <c r="BQ52" s="21">
        <f>EXP(-LN(2)/25)*BQ51+(1-EXP(-LN(2)/25))/(LN(2)/25)*Calculateur!BL52*Calculateur!BN52*VLOOKUP('Données projet'!$B$11,Paramètres!$A$1:$I$89,3,0)*0.475*44/12</f>
        <v>15.343881480460448</v>
      </c>
      <c r="BR52" s="21">
        <f>EXP(-LN(2)/2)*BR51+(1-EXP(-LN(2)/2))/(LN(2)/2)*BL52*BO52*VLOOKUP('Données projet'!$B$11,Paramètres!$A$1:$I$89,3,0)*0.475*44/12</f>
        <v>2.4947409077033032E-3</v>
      </c>
      <c r="BS52" s="22">
        <f t="shared" si="9"/>
        <v>123.56540117914977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509</v>
      </c>
      <c r="L53" s="12">
        <f>VLOOKUP(A53,'Données projet'!$A$35:$I$55,9,0)</f>
        <v>20</v>
      </c>
      <c r="M53" s="12">
        <f t="array" ref="M53">INDEX(L:L,MIN(IF(ISNUMBER(L53:L249),ROW(L53:L249),"")))</f>
        <v>20</v>
      </c>
      <c r="N53" s="13">
        <f>IF('Données projet'!$A$36&gt;35,N52+M53-V52,IF(A53&lt;'Données projet'!$A$36,$K$205^A53,IF(A53='Données projet'!$A$36,'Données projet'!$B$36,N52+M53-V52)))</f>
        <v>509.00000000000028</v>
      </c>
      <c r="O53" s="13">
        <f>N53*VLOOKUP('Données projet'!$B$9,Paramètres!$A$1:$I$89,3,0)*VLOOKUP('Données projet'!$B$9,Paramètres!$A$1:$I$89,5,0)</f>
        <v>304.38200000000018</v>
      </c>
      <c r="P53" s="13">
        <f t="shared" si="33"/>
        <v>72.094322263150417</v>
      </c>
      <c r="Q53" s="20">
        <f t="shared" si="53"/>
        <v>655.69626127498725</v>
      </c>
      <c r="R53" s="59">
        <f t="shared" si="0"/>
        <v>949.02959460832062</v>
      </c>
      <c r="S53" s="59">
        <f ca="1">AVERAGE(OFFSET($R$3,0,0,'Données projet'!$E$9+1,1))-AVERAGE(OFFSET($H$3,0,0,'Données projet'!$E$9+1,1))</f>
        <v>430.93760474982633</v>
      </c>
      <c r="T53" s="59">
        <f t="shared" si="34"/>
        <v>371.5387876502981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53</v>
      </c>
      <c r="W53" s="16">
        <f>IF(ISNA(VLOOKUP(A53,'Données projet'!$A$35:$I$55,5,0)),0%,VLOOKUP(A53,'Données projet'!$A$35:$I$55,5,0)*VLOOKUP('Données projet'!$B$9,Paramètres!$A$1:$I$89,7,0))</f>
        <v>0.45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73.478085703940053</v>
      </c>
      <c r="AA53" s="21">
        <f>EXP(-LN(2)/25)*AA52+(1-EXP(-LN(2)/25))/(LN(2)/25)*Calculateur!V53*Calculateur!X53*VLOOKUP('Données projet'!$B$9,Paramètres!$A$1:$I$89,3,0)*0.475*44/12</f>
        <v>33.817240742652224</v>
      </c>
      <c r="AB53" s="21">
        <f>EXP(-LN(2)/2)*AB52+(1-EXP(-LN(2)/2))/(LN(2)/2)*V53*Y53*VLOOKUP('Données projet'!$B$9,Paramètres!$A$1:$I$89,3,0)*0.475*44/12</f>
        <v>5.1137540298965516E-5</v>
      </c>
      <c r="AC53" s="22">
        <f t="shared" si="3"/>
        <v>107.29537758413257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179.44051550872138</v>
      </c>
      <c r="AO53" s="59">
        <f t="shared" si="36"/>
        <v>272.9500808380069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82.767417310269792</v>
      </c>
      <c r="AV53" s="21">
        <f>EXP(-LN(2)/25)*AV52+(1-EXP(-LN(2)/25))/(LN(2)/25)*Calculateur!AQ53*Calculateur!AS53*VLOOKUP('Données projet'!$B$10,Paramètres!$A$1:$I$89,3,0)*0.475*44/12</f>
        <v>27.792485426728117</v>
      </c>
      <c r="AW53" s="21">
        <f>EXP(-LN(2)/2)*AW52+(1-EXP(-LN(2)/2))/(LN(2)/2)*AQ53*AT53*VLOOKUP('Données projet'!$B$10,Paramètres!$A$1:$I$89,3,0)*0.475*44/12</f>
        <v>2.1561064259537205E-4</v>
      </c>
      <c r="AX53" s="21">
        <f t="shared" si="6"/>
        <v>110.56011834764051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20.342857142857138</v>
      </c>
      <c r="BD53" s="12">
        <f>IF('Données projet'!$A$88&gt;35,BD52+BC53-BL52,IF(A53&lt;'Données projet'!$A$88,$BA$205^A53,IF(A53='Données projet'!$A$88,'Données projet'!$B$88,BD52+BC53-BL52)))</f>
        <v>411.97285714285704</v>
      </c>
      <c r="BE53" s="13">
        <f>BD53*VLOOKUP('Données projet'!$B$11,Paramètres!$A$1:$I$89,3,0)*VLOOKUP('Données projet'!$B$11,Paramètres!$A$1:$I$89,5,0)</f>
        <v>230.29282714285708</v>
      </c>
      <c r="BF53" s="13">
        <f t="shared" si="37"/>
        <v>56.345992916353353</v>
      </c>
      <c r="BG53" s="20">
        <f t="shared" si="7"/>
        <v>499.22927826979145</v>
      </c>
      <c r="BH53" s="59">
        <f t="shared" si="8"/>
        <v>792.56261160312476</v>
      </c>
      <c r="BI53" s="59">
        <f ca="1">AVERAGE(OFFSET($BH$3,0,0,'Données projet'!$E$11+1,1))-AVERAGE(OFFSET($H$3,0,0,'Données projet'!$E$11+1,1))</f>
        <v>321.85808080442411</v>
      </c>
      <c r="BJ53" s="59">
        <f t="shared" si="38"/>
        <v>285.95942591879702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106.09691588544707</v>
      </c>
      <c r="BQ53" s="21">
        <f>EXP(-LN(2)/25)*BQ52+(1-EXP(-LN(2)/25))/(LN(2)/25)*Calculateur!BL53*Calculateur!BN53*VLOOKUP('Données projet'!$B$11,Paramètres!$A$1:$I$89,3,0)*0.475*44/12</f>
        <v>14.924302234477599</v>
      </c>
      <c r="BR53" s="21">
        <f>EXP(-LN(2)/2)*BR52+(1-EXP(-LN(2)/2))/(LN(2)/2)*BL53*BO53*VLOOKUP('Données projet'!$B$11,Paramètres!$A$1:$I$89,3,0)*0.475*44/12</f>
        <v>1.7640482131404886E-3</v>
      </c>
      <c r="BS53" s="22">
        <f t="shared" si="9"/>
        <v>121.02298216813782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18.399999999999999</v>
      </c>
      <c r="N54" s="13">
        <f>IF('Données projet'!$A$36&gt;35,N53+M54-V53,IF(A54&lt;'Données projet'!$A$36,$K$205^A54,IF(A54='Données projet'!$A$36,'Données projet'!$B$36,N53+M54-V53)))</f>
        <v>474.40000000000032</v>
      </c>
      <c r="O54" s="13">
        <f>N54*VLOOKUP('Données projet'!$B$9,Paramètres!$A$1:$I$89,3,0)*VLOOKUP('Données projet'!$B$9,Paramètres!$A$1:$I$89,5,0)</f>
        <v>283.69120000000021</v>
      </c>
      <c r="P54" s="13">
        <f t="shared" si="33"/>
        <v>67.746469973847553</v>
      </c>
      <c r="Q54" s="20">
        <f t="shared" si="53"/>
        <v>612.08727520445143</v>
      </c>
      <c r="R54" s="59">
        <f t="shared" si="0"/>
        <v>905.4206085377848</v>
      </c>
      <c r="S54" s="59">
        <f ca="1">AVERAGE(OFFSET($R$3,0,0,'Données projet'!$E$9+1,1))-AVERAGE(OFFSET($H$3,0,0,'Données projet'!$E$9+1,1))</f>
        <v>430.93760474982633</v>
      </c>
      <c r="T54" s="59">
        <f t="shared" si="34"/>
        <v>371.5387876502981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72.037225260492733</v>
      </c>
      <c r="AA54" s="21">
        <f>EXP(-LN(2)/25)*AA53+(1-EXP(-LN(2)/25))/(LN(2)/25)*Calculateur!V54*Calculateur!X54*VLOOKUP('Données projet'!$B$9,Paramètres!$A$1:$I$89,3,0)*0.475*44/12</f>
        <v>32.892506516173</v>
      </c>
      <c r="AB54" s="21">
        <f>EXP(-LN(2)/2)*AB53+(1-EXP(-LN(2)/2))/(LN(2)/2)*V54*Y54*VLOOKUP('Données projet'!$B$9,Paramètres!$A$1:$I$89,3,0)*0.475*44/12</f>
        <v>3.6159701518598864E-5</v>
      </c>
      <c r="AC54" s="22">
        <f t="shared" si="3"/>
        <v>104.92976793636726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179.44051550872138</v>
      </c>
      <c r="AO54" s="59">
        <f t="shared" si="36"/>
        <v>272.9500808380069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81.144398739955165</v>
      </c>
      <c r="AV54" s="21">
        <f>EXP(-LN(2)/25)*AV53+(1-EXP(-LN(2)/25))/(LN(2)/25)*Calculateur!AQ54*Calculateur!AS54*VLOOKUP('Données projet'!$B$10,Paramètres!$A$1:$I$89,3,0)*0.475*44/12</f>
        <v>27.03249845119095</v>
      </c>
      <c r="AW54" s="21">
        <f>EXP(-LN(2)/2)*AW53+(1-EXP(-LN(2)/2))/(LN(2)/2)*AQ54*AT54*VLOOKUP('Données projet'!$B$10,Paramètres!$A$1:$I$89,3,0)*0.475*44/12</f>
        <v>1.5245974747517664E-4</v>
      </c>
      <c r="AX54" s="21">
        <f t="shared" si="6"/>
        <v>108.17704965089358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20.342857142857138</v>
      </c>
      <c r="BD54" s="12">
        <f>IF('Données projet'!$A$88&gt;35,BD53+BC54-BL53,IF(A54&lt;'Données projet'!$A$88,$BA$205^A54,IF(A54='Données projet'!$A$88,'Données projet'!$B$88,BD53+BC54-BL53)))</f>
        <v>432.31571428571419</v>
      </c>
      <c r="BE54" s="13">
        <f>BD54*VLOOKUP('Données projet'!$B$11,Paramètres!$A$1:$I$89,3,0)*VLOOKUP('Données projet'!$B$11,Paramètres!$A$1:$I$89,5,0)</f>
        <v>241.66448428571422</v>
      </c>
      <c r="BF54" s="13">
        <f t="shared" si="37"/>
        <v>58.797508204939838</v>
      </c>
      <c r="BG54" s="20">
        <f t="shared" si="7"/>
        <v>523.30463692122237</v>
      </c>
      <c r="BH54" s="59">
        <f t="shared" si="8"/>
        <v>816.63797025455574</v>
      </c>
      <c r="BI54" s="59">
        <f ca="1">AVERAGE(OFFSET($BH$3,0,0,'Données projet'!$E$11+1,1))-AVERAGE(OFFSET($H$3,0,0,'Données projet'!$E$11+1,1))</f>
        <v>321.85808080442411</v>
      </c>
      <c r="BJ54" s="59">
        <f t="shared" si="38"/>
        <v>285.95942591879702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104.0164200776623</v>
      </c>
      <c r="BQ54" s="21">
        <f>EXP(-LN(2)/25)*BQ53+(1-EXP(-LN(2)/25))/(LN(2)/25)*Calculateur!BL54*Calculateur!BN54*VLOOKUP('Données projet'!$B$11,Paramètres!$A$1:$I$89,3,0)*0.475*44/12</f>
        <v>14.516196405040864</v>
      </c>
      <c r="BR54" s="21">
        <f>EXP(-LN(2)/2)*BR53+(1-EXP(-LN(2)/2))/(LN(2)/2)*BL54*BO54*VLOOKUP('Données projet'!$B$11,Paramètres!$A$1:$I$89,3,0)*0.475*44/12</f>
        <v>1.2473704538516516E-3</v>
      </c>
      <c r="BS54" s="22">
        <f t="shared" si="9"/>
        <v>118.53386385315702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18.399999999999999</v>
      </c>
      <c r="N55" s="13">
        <f>IF('Données projet'!$A$36&gt;35,N54+M55-V54,IF(A55&lt;'Données projet'!$A$36,$K$205^A55,IF(A55='Données projet'!$A$36,'Données projet'!$B$36,N54+M55-V54)))</f>
        <v>492.8000000000003</v>
      </c>
      <c r="O55" s="13">
        <f>N55*VLOOKUP('Données projet'!$B$9,Paramètres!$A$1:$I$89,3,0)*VLOOKUP('Données projet'!$B$9,Paramètres!$A$1:$I$89,5,0)</f>
        <v>294.6944000000002</v>
      </c>
      <c r="P55" s="13">
        <f t="shared" si="33"/>
        <v>70.063053488002765</v>
      </c>
      <c r="Q55" s="20">
        <f t="shared" si="53"/>
        <v>635.28589815827183</v>
      </c>
      <c r="R55" s="59">
        <f t="shared" si="0"/>
        <v>928.61923149160521</v>
      </c>
      <c r="S55" s="59">
        <f ca="1">AVERAGE(OFFSET($R$3,0,0,'Données projet'!$E$9+1,1))-AVERAGE(OFFSET($H$3,0,0,'Données projet'!$E$9+1,1))</f>
        <v>430.93760474982633</v>
      </c>
      <c r="T55" s="59">
        <f t="shared" si="34"/>
        <v>371.5387876502981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70.62461921150333</v>
      </c>
      <c r="AA55" s="21">
        <f>EXP(-LN(2)/25)*AA54+(1-EXP(-LN(2)/25))/(LN(2)/25)*Calculateur!V55*Calculateur!X55*VLOOKUP('Données projet'!$B$9,Paramètres!$A$1:$I$89,3,0)*0.475*44/12</f>
        <v>31.993059195746508</v>
      </c>
      <c r="AB55" s="21">
        <f>EXP(-LN(2)/2)*AB54+(1-EXP(-LN(2)/2))/(LN(2)/2)*V55*Y55*VLOOKUP('Données projet'!$B$9,Paramètres!$A$1:$I$89,3,0)*0.475*44/12</f>
        <v>2.5568770149482758E-5</v>
      </c>
      <c r="AC55" s="22">
        <f t="shared" si="3"/>
        <v>102.61770397602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179.44051550872138</v>
      </c>
      <c r="AO55" s="59">
        <f t="shared" si="36"/>
        <v>272.9500808380069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79.553206573860834</v>
      </c>
      <c r="AV55" s="21">
        <f>EXP(-LN(2)/25)*AV54+(1-EXP(-LN(2)/25))/(LN(2)/25)*Calculateur!AQ55*Calculateur!AS55*VLOOKUP('Données projet'!$B$10,Paramètres!$A$1:$I$89,3,0)*0.475*44/12</f>
        <v>26.293293359465824</v>
      </c>
      <c r="AW55" s="21">
        <f>EXP(-LN(2)/2)*AW54+(1-EXP(-LN(2)/2))/(LN(2)/2)*AQ55*AT55*VLOOKUP('Données projet'!$B$10,Paramètres!$A$1:$I$89,3,0)*0.475*44/12</f>
        <v>1.0780532129768602E-4</v>
      </c>
      <c r="AX55" s="21">
        <f t="shared" si="6"/>
        <v>105.84660773864795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20.342857142857138</v>
      </c>
      <c r="BD55" s="12">
        <f>IF('Données projet'!$A$88&gt;35,BD54+BC55-BL54,IF(A55&lt;'Données projet'!$A$88,$BA$205^A55,IF(A55='Données projet'!$A$88,'Données projet'!$B$88,BD54+BC55-BL54)))</f>
        <v>452.65857142857135</v>
      </c>
      <c r="BE55" s="13">
        <f>BD55*VLOOKUP('Données projet'!$B$11,Paramètres!$A$1:$I$89,3,0)*VLOOKUP('Données projet'!$B$11,Paramètres!$A$1:$I$89,5,0)</f>
        <v>253.03614142857137</v>
      </c>
      <c r="BF55" s="13">
        <f t="shared" si="37"/>
        <v>61.235627376228301</v>
      </c>
      <c r="BG55" s="20">
        <f t="shared" si="7"/>
        <v>547.35666400169259</v>
      </c>
      <c r="BH55" s="59">
        <f t="shared" si="8"/>
        <v>840.68999733502596</v>
      </c>
      <c r="BI55" s="59">
        <f ca="1">AVERAGE(OFFSET($BH$3,0,0,'Données projet'!$E$11+1,1))-AVERAGE(OFFSET($H$3,0,0,'Données projet'!$E$11+1,1))</f>
        <v>321.85808080442411</v>
      </c>
      <c r="BJ55" s="59">
        <f t="shared" si="38"/>
        <v>285.95942591879702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101.97672152369104</v>
      </c>
      <c r="BQ55" s="21">
        <f>EXP(-LN(2)/25)*BQ54+(1-EXP(-LN(2)/25))/(LN(2)/25)*Calculateur!BL55*Calculateur!BN55*VLOOKUP('Données projet'!$B$11,Paramètres!$A$1:$I$89,3,0)*0.475*44/12</f>
        <v>14.119250250971429</v>
      </c>
      <c r="BR55" s="21">
        <f>EXP(-LN(2)/2)*BR54+(1-EXP(-LN(2)/2))/(LN(2)/2)*BL55*BO55*VLOOKUP('Données projet'!$B$11,Paramètres!$A$1:$I$89,3,0)*0.475*44/12</f>
        <v>8.820241065702443E-4</v>
      </c>
      <c r="BS55" s="22">
        <f t="shared" si="9"/>
        <v>116.09685379876905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18.399999999999999</v>
      </c>
      <c r="N56" s="13">
        <f>IF('Données projet'!$A$36&gt;35,N55+M56-V55,IF(A56&lt;'Données projet'!$A$36,$K$205^A56,IF(A56='Données projet'!$A$36,'Données projet'!$B$36,N55+M56-V55)))</f>
        <v>511.20000000000027</v>
      </c>
      <c r="O56" s="13">
        <f>N56*VLOOKUP('Données projet'!$B$9,Paramètres!$A$1:$I$89,3,0)*VLOOKUP('Données projet'!$B$9,Paramètres!$A$1:$I$89,5,0)</f>
        <v>305.69760000000019</v>
      </c>
      <c r="P56" s="13">
        <f t="shared" si="33"/>
        <v>72.369588270212418</v>
      </c>
      <c r="Q56" s="20">
        <f t="shared" si="53"/>
        <v>658.46701957062021</v>
      </c>
      <c r="R56" s="59">
        <f t="shared" si="0"/>
        <v>951.80035290395358</v>
      </c>
      <c r="S56" s="59">
        <f ca="1">AVERAGE(OFFSET($R$3,0,0,'Données projet'!$E$9+1,1))-AVERAGE(OFFSET($H$3,0,0,'Données projet'!$E$9+1,1))</f>
        <v>430.93760474982633</v>
      </c>
      <c r="T56" s="59">
        <f t="shared" si="34"/>
        <v>371.5387876502981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69.239713505529991</v>
      </c>
      <c r="AA56" s="21">
        <f>EXP(-LN(2)/25)*AA55+(1-EXP(-LN(2)/25))/(LN(2)/25)*Calculateur!V56*Calculateur!X56*VLOOKUP('Données projet'!$B$9,Paramètres!$A$1:$I$89,3,0)*0.475*44/12</f>
        <v>31.118207309596958</v>
      </c>
      <c r="AB56" s="21">
        <f>EXP(-LN(2)/2)*AB55+(1-EXP(-LN(2)/2))/(LN(2)/2)*V56*Y56*VLOOKUP('Données projet'!$B$9,Paramètres!$A$1:$I$89,3,0)*0.475*44/12</f>
        <v>1.8079850759299432E-5</v>
      </c>
      <c r="AC56" s="22">
        <f t="shared" si="3"/>
        <v>100.35793889497771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179.44051550872138</v>
      </c>
      <c r="AO56" s="59">
        <f t="shared" si="36"/>
        <v>272.9500808380069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77.99321671561222</v>
      </c>
      <c r="AV56" s="21">
        <f>EXP(-LN(2)/25)*AV55+(1-EXP(-LN(2)/25))/(LN(2)/25)*Calculateur!AQ56*Calculateur!AS56*VLOOKUP('Données projet'!$B$10,Paramètres!$A$1:$I$89,3,0)*0.475*44/12</f>
        <v>25.574301869847027</v>
      </c>
      <c r="AW56" s="21">
        <f>EXP(-LN(2)/2)*AW55+(1-EXP(-LN(2)/2))/(LN(2)/2)*AQ56*AT56*VLOOKUP('Données projet'!$B$10,Paramètres!$A$1:$I$89,3,0)*0.475*44/12</f>
        <v>7.6229873737588321E-5</v>
      </c>
      <c r="AX56" s="21">
        <f t="shared" si="6"/>
        <v>103.567594815333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20.342857142857138</v>
      </c>
      <c r="BD56" s="12">
        <f>IF('Données projet'!$A$88&gt;35,BD55+BC56-BL55,IF(A56&lt;'Données projet'!$A$88,$BA$205^A56,IF(A56='Données projet'!$A$88,'Données projet'!$B$88,BD55+BC56-BL55)))</f>
        <v>473.00142857142851</v>
      </c>
      <c r="BE56" s="13">
        <f>BD56*VLOOKUP('Données projet'!$B$11,Paramètres!$A$1:$I$89,3,0)*VLOOKUP('Données projet'!$B$11,Paramètres!$A$1:$I$89,5,0)</f>
        <v>264.40779857142854</v>
      </c>
      <c r="BF56" s="13">
        <f t="shared" si="37"/>
        <v>63.661021246041784</v>
      </c>
      <c r="BG56" s="20">
        <f t="shared" si="7"/>
        <v>571.38652784876081</v>
      </c>
      <c r="BH56" s="59">
        <f t="shared" si="8"/>
        <v>864.71986118209406</v>
      </c>
      <c r="BI56" s="59">
        <f ca="1">AVERAGE(OFFSET($BH$3,0,0,'Données projet'!$E$11+1,1))-AVERAGE(OFFSET($H$3,0,0,'Données projet'!$E$11+1,1))</f>
        <v>321.85808080442411</v>
      </c>
      <c r="BJ56" s="59">
        <f t="shared" si="38"/>
        <v>285.95942591879702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99.977020214269885</v>
      </c>
      <c r="BQ56" s="21">
        <f>EXP(-LN(2)/25)*BQ55+(1-EXP(-LN(2)/25))/(LN(2)/25)*Calculateur!BL56*Calculateur!BN56*VLOOKUP('Données projet'!$B$11,Paramètres!$A$1:$I$89,3,0)*0.475*44/12</f>
        <v>13.733158610359515</v>
      </c>
      <c r="BR56" s="21">
        <f>EXP(-LN(2)/2)*BR55+(1-EXP(-LN(2)/2))/(LN(2)/2)*BL56*BO56*VLOOKUP('Données projet'!$B$11,Paramètres!$A$1:$I$89,3,0)*0.475*44/12</f>
        <v>6.236852269258258E-4</v>
      </c>
      <c r="BS56" s="22">
        <f t="shared" si="9"/>
        <v>113.71080250985632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18.399999999999999</v>
      </c>
      <c r="N57" s="13">
        <f>IF('Données projet'!$A$36&gt;35,N56+M57-V56,IF(A57&lt;'Données projet'!$A$36,$K$205^A57,IF(A57='Données projet'!$A$36,'Données projet'!$B$36,N56+M57-V56)))</f>
        <v>529.60000000000025</v>
      </c>
      <c r="O57" s="13">
        <f>N57*VLOOKUP('Données projet'!$B$9,Paramètres!$A$1:$I$89,3,0)*VLOOKUP('Données projet'!$B$9,Paramètres!$A$1:$I$89,5,0)</f>
        <v>316.70080000000019</v>
      </c>
      <c r="P57" s="13">
        <f t="shared" si="33"/>
        <v>74.666477445141737</v>
      </c>
      <c r="Q57" s="20">
        <f t="shared" si="53"/>
        <v>681.63134155028877</v>
      </c>
      <c r="R57" s="59">
        <f t="shared" si="0"/>
        <v>974.96467488362214</v>
      </c>
      <c r="S57" s="59">
        <f ca="1">AVERAGE(OFFSET($R$3,0,0,'Données projet'!$E$9+1,1))-AVERAGE(OFFSET($H$3,0,0,'Données projet'!$E$9+1,1))</f>
        <v>430.93760474982633</v>
      </c>
      <c r="T57" s="59">
        <f t="shared" si="34"/>
        <v>371.5387876502981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67.881964955741722</v>
      </c>
      <c r="AA57" s="21">
        <f>EXP(-LN(2)/25)*AA56+(1-EXP(-LN(2)/25))/(LN(2)/25)*Calculateur!V57*Calculateur!X57*VLOOKUP('Données projet'!$B$9,Paramètres!$A$1:$I$89,3,0)*0.475*44/12</f>
        <v>30.267278294280629</v>
      </c>
      <c r="AB57" s="21">
        <f>EXP(-LN(2)/2)*AB56+(1-EXP(-LN(2)/2))/(LN(2)/2)*V57*Y57*VLOOKUP('Données projet'!$B$9,Paramètres!$A$1:$I$89,3,0)*0.475*44/12</f>
        <v>1.2784385074741379E-5</v>
      </c>
      <c r="AC57" s="22">
        <f t="shared" si="3"/>
        <v>98.149256034407429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179.44051550872138</v>
      </c>
      <c r="AO57" s="59">
        <f t="shared" si="36"/>
        <v>272.9500808380069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76.463817306983998</v>
      </c>
      <c r="AV57" s="21">
        <f>EXP(-LN(2)/25)*AV56+(1-EXP(-LN(2)/25))/(LN(2)/25)*Calculateur!AQ57*Calculateur!AS57*VLOOKUP('Données projet'!$B$10,Paramètres!$A$1:$I$89,3,0)*0.475*44/12</f>
        <v>24.874971240321976</v>
      </c>
      <c r="AW57" s="21">
        <f>EXP(-LN(2)/2)*AW56+(1-EXP(-LN(2)/2))/(LN(2)/2)*AQ57*AT57*VLOOKUP('Données projet'!$B$10,Paramètres!$A$1:$I$89,3,0)*0.475*44/12</f>
        <v>5.3902660648843011E-5</v>
      </c>
      <c r="AX57" s="21">
        <f t="shared" si="6"/>
        <v>101.33884244996662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20.342857142857138</v>
      </c>
      <c r="BD57" s="12">
        <f>IF('Données projet'!$A$88&gt;35,BD56+BC57-BL56,IF(A57&lt;'Données projet'!$A$88,$BA$205^A57,IF(A57='Données projet'!$A$88,'Données projet'!$B$88,BD56+BC57-BL56)))</f>
        <v>493.34428571428566</v>
      </c>
      <c r="BE57" s="13">
        <f>BD57*VLOOKUP('Données projet'!$B$11,Paramètres!$A$1:$I$89,3,0)*VLOOKUP('Données projet'!$B$11,Paramètres!$A$1:$I$89,5,0)</f>
        <v>275.77945571428569</v>
      </c>
      <c r="BF57" s="13">
        <f t="shared" si="37"/>
        <v>66.07429966592008</v>
      </c>
      <c r="BG57" s="20">
        <f t="shared" si="7"/>
        <v>595.39529062052509</v>
      </c>
      <c r="BH57" s="59">
        <f t="shared" si="8"/>
        <v>888.72862395385846</v>
      </c>
      <c r="BI57" s="59">
        <f ca="1">AVERAGE(OFFSET($BH$3,0,0,'Données projet'!$E$11+1,1))-AVERAGE(OFFSET($H$3,0,0,'Données projet'!$E$11+1,1))</f>
        <v>321.85808080442411</v>
      </c>
      <c r="BJ57" s="59">
        <f t="shared" si="38"/>
        <v>285.95942591879702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98.016531827829112</v>
      </c>
      <c r="BQ57" s="21">
        <f>EXP(-LN(2)/25)*BQ56+(1-EXP(-LN(2)/25))/(LN(2)/25)*Calculateur!BL57*Calculateur!BN57*VLOOKUP('Données projet'!$B$11,Paramètres!$A$1:$I$89,3,0)*0.475*44/12</f>
        <v>13.35762466596381</v>
      </c>
      <c r="BR57" s="21">
        <f>EXP(-LN(2)/2)*BR56+(1-EXP(-LN(2)/2))/(LN(2)/2)*BL57*BO57*VLOOKUP('Données projet'!$B$11,Paramètres!$A$1:$I$89,3,0)*0.475*44/12</f>
        <v>4.4101205328512215E-4</v>
      </c>
      <c r="BS57" s="22">
        <f t="shared" si="9"/>
        <v>111.37459750584621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548</v>
      </c>
      <c r="L58" s="12">
        <f>VLOOKUP(A58,'Données projet'!$A$35:$I$55,9,0)</f>
        <v>18.399999999999999</v>
      </c>
      <c r="M58" s="12">
        <f t="array" ref="M58">INDEX(L:L,MIN(IF(ISNUMBER(L58:L254),ROW(L58:L254),"")))</f>
        <v>18.399999999999999</v>
      </c>
      <c r="N58" s="13">
        <f>IF('Données projet'!$A$36&gt;35,N57+M58-V57,IF(A58&lt;'Données projet'!$A$36,$K$205^A58,IF(A58='Données projet'!$A$36,'Données projet'!$B$36,N57+M58-V57)))</f>
        <v>548.00000000000023</v>
      </c>
      <c r="O58" s="13">
        <f>N58*VLOOKUP('Données projet'!$B$9,Paramètres!$A$1:$I$89,3,0)*VLOOKUP('Données projet'!$B$9,Paramètres!$A$1:$I$89,5,0)</f>
        <v>327.70400000000018</v>
      </c>
      <c r="P58" s="13">
        <f t="shared" si="33"/>
        <v>76.954094537214459</v>
      </c>
      <c r="Q58" s="20">
        <f t="shared" si="53"/>
        <v>704.77951465231547</v>
      </c>
      <c r="R58" s="59">
        <f t="shared" si="0"/>
        <v>998.11284798564884</v>
      </c>
      <c r="S58" s="59">
        <f ca="1">AVERAGE(OFFSET($R$3,0,0,'Données projet'!$E$9+1,1))-AVERAGE(OFFSET($H$3,0,0,'Données projet'!$E$9+1,1))</f>
        <v>430.93760474982633</v>
      </c>
      <c r="T58" s="59">
        <f t="shared" si="34"/>
        <v>371.5387876502981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45</v>
      </c>
      <c r="W58" s="16">
        <f>IF(ISNA(VLOOKUP(A58,'Données projet'!$A$35:$I$55,5,0)),0%,VLOOKUP(A58,'Données projet'!$A$35:$I$55,5,0)*VLOOKUP('Données projet'!$B$9,Paramètres!$A$1:$I$89,7,0))</f>
        <v>0.45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82.614873300015063</v>
      </c>
      <c r="AA58" s="21">
        <f>EXP(-LN(2)/25)*AA57+(1-EXP(-LN(2)/25))/(LN(2)/25)*Calculateur!V58*Calculateur!X58*VLOOKUP('Données projet'!$B$9,Paramètres!$A$1:$I$89,3,0)*0.475*44/12</f>
        <v>29.439617977636537</v>
      </c>
      <c r="AB58" s="21">
        <f>EXP(-LN(2)/2)*AB57+(1-EXP(-LN(2)/2))/(LN(2)/2)*V58*Y58*VLOOKUP('Données projet'!$B$9,Paramètres!$A$1:$I$89,3,0)*0.475*44/12</f>
        <v>9.0399253796497161E-6</v>
      </c>
      <c r="AC58" s="22">
        <f t="shared" si="3"/>
        <v>112.05450031757698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179.44051550872138</v>
      </c>
      <c r="AO58" s="59">
        <f t="shared" si="36"/>
        <v>272.9500808380069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74.964408487917453</v>
      </c>
      <c r="AV58" s="21">
        <f>EXP(-LN(2)/25)*AV57+(1-EXP(-LN(2)/25))/(LN(2)/25)*Calculateur!AQ58*Calculateur!AS58*VLOOKUP('Données projet'!$B$10,Paramètres!$A$1:$I$89,3,0)*0.475*44/12</f>
        <v>24.194763843637485</v>
      </c>
      <c r="AW58" s="21">
        <f>EXP(-LN(2)/2)*AW57+(1-EXP(-LN(2)/2))/(LN(2)/2)*AQ58*AT58*VLOOKUP('Données projet'!$B$10,Paramètres!$A$1:$I$89,3,0)*0.475*44/12</f>
        <v>3.8114936868794161E-5</v>
      </c>
      <c r="AX58" s="21">
        <f t="shared" si="6"/>
        <v>99.159210446491812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20.342857142857138</v>
      </c>
      <c r="BD58" s="12">
        <f>IF('Données projet'!$A$88&gt;35,BD57+BC58-BL57,IF(A58&lt;'Données projet'!$A$88,$BA$205^A58,IF(A58='Données projet'!$A$88,'Données projet'!$B$88,BD57+BC58-BL57)))</f>
        <v>513.68714285714282</v>
      </c>
      <c r="BE58" s="13">
        <f>BD58*VLOOKUP('Données projet'!$B$11,Paramètres!$A$1:$I$89,3,0)*VLOOKUP('Données projet'!$B$11,Paramètres!$A$1:$I$89,5,0)</f>
        <v>287.15111285714283</v>
      </c>
      <c r="BF58" s="13">
        <f t="shared" si="37"/>
        <v>68.47601934765936</v>
      </c>
      <c r="BG58" s="20">
        <f t="shared" si="7"/>
        <v>619.3839219233638</v>
      </c>
      <c r="BH58" s="59">
        <f t="shared" si="8"/>
        <v>912.71725525669717</v>
      </c>
      <c r="BI58" s="59">
        <f ca="1">AVERAGE(OFFSET($BH$3,0,0,'Données projet'!$E$11+1,1))-AVERAGE(OFFSET($H$3,0,0,'Données projet'!$E$11+1,1))</f>
        <v>321.85808080442411</v>
      </c>
      <c r="BJ58" s="59">
        <f t="shared" si="38"/>
        <v>285.95942591879702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96.094487422866607</v>
      </c>
      <c r="BQ58" s="21">
        <f>EXP(-LN(2)/25)*BQ57+(1-EXP(-LN(2)/25))/(LN(2)/25)*Calculateur!BL58*Calculateur!BN58*VLOOKUP('Données projet'!$B$11,Paramètres!$A$1:$I$89,3,0)*0.475*44/12</f>
        <v>12.992359717026078</v>
      </c>
      <c r="BR58" s="21">
        <f>EXP(-LN(2)/2)*BR57+(1-EXP(-LN(2)/2))/(LN(2)/2)*BL58*BO58*VLOOKUP('Données projet'!$B$11,Paramètres!$A$1:$I$89,3,0)*0.475*44/12</f>
        <v>3.118426134629129E-4</v>
      </c>
      <c r="BS58" s="22">
        <f t="shared" si="9"/>
        <v>109.08715898250614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</v>
      </c>
      <c r="N59" s="13">
        <f>IF('Données projet'!$A$36&gt;35,N58+M59-V58,IF(A59&lt;'Données projet'!$A$36,$K$205^A59,IF(A59='Données projet'!$A$36,'Données projet'!$B$36,N58+M59-V58)))</f>
        <v>520.00000000000023</v>
      </c>
      <c r="O59" s="13">
        <f>N59*VLOOKUP('Données projet'!$B$9,Paramètres!$A$1:$I$89,3,0)*VLOOKUP('Données projet'!$B$9,Paramètres!$A$1:$I$89,5,0)</f>
        <v>310.96000000000015</v>
      </c>
      <c r="P59" s="13">
        <f t="shared" si="33"/>
        <v>73.4692802883242</v>
      </c>
      <c r="Q59" s="20">
        <f t="shared" si="53"/>
        <v>669.54766316883149</v>
      </c>
      <c r="R59" s="59">
        <f t="shared" si="0"/>
        <v>962.88099650216486</v>
      </c>
      <c r="S59" s="59">
        <f ca="1">AVERAGE(OFFSET($R$3,0,0,'Données projet'!$E$9+1,1))-AVERAGE(OFFSET($H$3,0,0,'Données projet'!$E$9+1,1))</f>
        <v>430.93760474982633</v>
      </c>
      <c r="T59" s="59">
        <f t="shared" si="34"/>
        <v>371.5387876502981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80.994846024698873</v>
      </c>
      <c r="AA59" s="21">
        <f>EXP(-LN(2)/25)*AA58+(1-EXP(-LN(2)/25))/(LN(2)/25)*Calculateur!V59*Calculateur!X59*VLOOKUP('Données projet'!$B$9,Paramètres!$A$1:$I$89,3,0)*0.475*44/12</f>
        <v>28.634590075875842</v>
      </c>
      <c r="AB59" s="21">
        <f>EXP(-LN(2)/2)*AB58+(1-EXP(-LN(2)/2))/(LN(2)/2)*V59*Y59*VLOOKUP('Données projet'!$B$9,Paramètres!$A$1:$I$89,3,0)*0.475*44/12</f>
        <v>6.3921925373706895E-6</v>
      </c>
      <c r="AC59" s="22">
        <f t="shared" si="3"/>
        <v>109.62944249276724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179.44051550872138</v>
      </c>
      <c r="AO59" s="59">
        <f t="shared" si="36"/>
        <v>272.9500808380069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73.494402161243727</v>
      </c>
      <c r="AV59" s="21">
        <f>EXP(-LN(2)/25)*AV58+(1-EXP(-LN(2)/25))/(LN(2)/25)*Calculateur!AQ59*Calculateur!AS59*VLOOKUP('Données projet'!$B$10,Paramètres!$A$1:$I$89,3,0)*0.475*44/12</f>
        <v>23.533156753985885</v>
      </c>
      <c r="AW59" s="21">
        <f>EXP(-LN(2)/2)*AW58+(1-EXP(-LN(2)/2))/(LN(2)/2)*AQ59*AT59*VLOOKUP('Données projet'!$B$10,Paramètres!$A$1:$I$89,3,0)*0.475*44/12</f>
        <v>2.6951330324421506E-5</v>
      </c>
      <c r="AX59" s="21">
        <f t="shared" si="6"/>
        <v>97.027585866559932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534.03</v>
      </c>
      <c r="BB59" s="12">
        <f>VLOOKUP(A59,'Données projet'!$A$87:$I$107,9,0)</f>
        <v>20.342857142857138</v>
      </c>
      <c r="BC59" s="12">
        <f t="array" ref="BC59">INDEX(BB:BB,MIN(IF(ISNUMBER(BB59:BB255),ROW(BB59:BB255),"")))</f>
        <v>20.342857142857138</v>
      </c>
      <c r="BD59" s="12">
        <f>IF('Données projet'!$A$88&gt;35,BD58+BC59-BL58,IF(A59&lt;'Données projet'!$A$88,$BA$205^A59,IF(A59='Données projet'!$A$88,'Données projet'!$B$88,BD58+BC59-BL58)))</f>
        <v>534.03</v>
      </c>
      <c r="BE59" s="13">
        <f>BD59*VLOOKUP('Données projet'!$B$11,Paramètres!$A$1:$I$89,3,0)*VLOOKUP('Données projet'!$B$11,Paramètres!$A$1:$I$89,5,0)</f>
        <v>298.52276999999998</v>
      </c>
      <c r="BF59" s="13">
        <f t="shared" si="37"/>
        <v>70.866690413510597</v>
      </c>
      <c r="BG59" s="20">
        <f t="shared" si="7"/>
        <v>643.35331022019761</v>
      </c>
      <c r="BH59" s="59">
        <f t="shared" si="8"/>
        <v>936.68664355353098</v>
      </c>
      <c r="BI59" s="59">
        <f ca="1">AVERAGE(OFFSET($BH$3,0,0,'Données projet'!$E$11+1,1))-AVERAGE(OFFSET($H$3,0,0,'Données projet'!$E$11+1,1))</f>
        <v>321.85808080442411</v>
      </c>
      <c r="BJ59" s="59">
        <f t="shared" si="38"/>
        <v>285.95942591879702</v>
      </c>
      <c r="BK59" s="15">
        <f>IF(ISNA(VLOOKUP(A59,'Données projet'!$A$87:$I$107,3,0)),0,VLOOKUP(A59,'Données projet'!$A$87:$I$107,3,0))</f>
        <v>6</v>
      </c>
      <c r="BL59" s="15">
        <f>IF(ISNA(VLOOKUP(A59,'Données projet'!$A$87:$I$107,4,0)),0,VLOOKUP(A59,'Données projet'!$A$87:$I$107,4,0))</f>
        <v>94.57</v>
      </c>
      <c r="BM59" s="16">
        <f>IF(ISNA(VLOOKUP(A59,'Données projet'!$A$87:$I$107,5,0)),0%,VLOOKUP(A59,'Données projet'!$A$87:$I$107,5,0)*VLOOKUP('Données projet'!$B$11,Paramètres!$A$1:$I$89,7,0))</f>
        <v>0.55000000000000004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132.78071964573363</v>
      </c>
      <c r="BQ59" s="21">
        <f>EXP(-LN(2)/25)*BQ58+(1-EXP(-LN(2)/25))/(LN(2)/25)*Calculateur!BL59*Calculateur!BN59*VLOOKUP('Données projet'!$B$11,Paramètres!$A$1:$I$89,3,0)*0.475*44/12</f>
        <v>12.637082957325497</v>
      </c>
      <c r="BR59" s="21">
        <f>EXP(-LN(2)/2)*BR58+(1-EXP(-LN(2)/2))/(LN(2)/2)*BL59*BO59*VLOOKUP('Données projet'!$B$11,Paramètres!$A$1:$I$89,3,0)*0.475*44/12</f>
        <v>2.2050602664256107E-4</v>
      </c>
      <c r="BS59" s="22">
        <f t="shared" si="9"/>
        <v>145.41802310908577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</v>
      </c>
      <c r="N60" s="13">
        <f>IF('Données projet'!$A$36&gt;35,N59+M60-V59,IF(A60&lt;'Données projet'!$A$36,$K$205^A60,IF(A60='Données projet'!$A$36,'Données projet'!$B$36,N59+M60-V59)))</f>
        <v>537.00000000000023</v>
      </c>
      <c r="O60" s="13">
        <f>N60*VLOOKUP('Données projet'!$B$9,Paramètres!$A$1:$I$89,3,0)*VLOOKUP('Données projet'!$B$9,Paramètres!$A$1:$I$89,5,0)</f>
        <v>321.12600000000015</v>
      </c>
      <c r="P60" s="13">
        <f t="shared" si="33"/>
        <v>75.587591944000323</v>
      </c>
      <c r="Q60" s="20">
        <f t="shared" si="53"/>
        <v>690.94283930246741</v>
      </c>
      <c r="R60" s="59">
        <f t="shared" si="0"/>
        <v>984.27617263580078</v>
      </c>
      <c r="S60" s="59">
        <f ca="1">AVERAGE(OFFSET($R$3,0,0,'Données projet'!$E$9+1,1))-AVERAGE(OFFSET($H$3,0,0,'Données projet'!$E$9+1,1))</f>
        <v>430.93760474982633</v>
      </c>
      <c r="T60" s="59">
        <f t="shared" si="34"/>
        <v>371.5387876502981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79.406586496132562</v>
      </c>
      <c r="AA60" s="21">
        <f>EXP(-LN(2)/25)*AA59+(1-EXP(-LN(2)/25))/(LN(2)/25)*Calculateur!V60*Calculateur!X60*VLOOKUP('Données projet'!$B$9,Paramètres!$A$1:$I$89,3,0)*0.475*44/12</f>
        <v>27.851575704423372</v>
      </c>
      <c r="AB60" s="21">
        <f>EXP(-LN(2)/2)*AB59+(1-EXP(-LN(2)/2))/(LN(2)/2)*V60*Y60*VLOOKUP('Données projet'!$B$9,Paramètres!$A$1:$I$89,3,0)*0.475*44/12</f>
        <v>4.519962689824858E-6</v>
      </c>
      <c r="AC60" s="22">
        <f t="shared" si="3"/>
        <v>107.25816672051862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179.44051550872138</v>
      </c>
      <c r="AO60" s="59">
        <f t="shared" si="36"/>
        <v>272.9500808380069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72.05322176202074</v>
      </c>
      <c r="AV60" s="21">
        <f>EXP(-LN(2)/25)*AV59+(1-EXP(-LN(2)/25))/(LN(2)/25)*Calculateur!AQ60*Calculateur!AS60*VLOOKUP('Données projet'!$B$10,Paramètres!$A$1:$I$89,3,0)*0.475*44/12</f>
        <v>22.889641344993212</v>
      </c>
      <c r="AW60" s="21">
        <f>EXP(-LN(2)/2)*AW59+(1-EXP(-LN(2)/2))/(LN(2)/2)*AQ60*AT60*VLOOKUP('Données projet'!$B$10,Paramètres!$A$1:$I$89,3,0)*0.475*44/12</f>
        <v>1.905746843439708E-5</v>
      </c>
      <c r="AX60" s="21">
        <f t="shared" si="6"/>
        <v>94.942882164482384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18.60285714285714</v>
      </c>
      <c r="BD60" s="12">
        <f>IF('Données projet'!$A$88&gt;35,BD59+BC60-BL59,IF(A60&lt;'Données projet'!$A$88,$BA$205^A60,IF(A60='Données projet'!$A$88,'Données projet'!$B$88,BD59+BC60-BL59)))</f>
        <v>458.06285714285713</v>
      </c>
      <c r="BE60" s="13">
        <f>BD60*VLOOKUP('Données projet'!$B$11,Paramètres!$A$1:$I$89,3,0)*VLOOKUP('Données projet'!$B$11,Paramètres!$A$1:$I$89,5,0)</f>
        <v>256.05713714285713</v>
      </c>
      <c r="BF60" s="13">
        <f t="shared" si="37"/>
        <v>61.881172924986835</v>
      </c>
      <c r="BG60" s="20">
        <f t="shared" si="7"/>
        <v>553.74255670149489</v>
      </c>
      <c r="BH60" s="59">
        <f t="shared" si="8"/>
        <v>847.07589003482826</v>
      </c>
      <c r="BI60" s="59">
        <f ca="1">AVERAGE(OFFSET($BH$3,0,0,'Données projet'!$E$11+1,1))-AVERAGE(OFFSET($H$3,0,0,'Données projet'!$E$11+1,1))</f>
        <v>321.85808080442411</v>
      </c>
      <c r="BJ60" s="59">
        <f t="shared" si="38"/>
        <v>285.95942591879702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130.17697072172285</v>
      </c>
      <c r="BQ60" s="21">
        <f>EXP(-LN(2)/25)*BQ59+(1-EXP(-LN(2)/25))/(LN(2)/25)*Calculateur!BL60*Calculateur!BN60*VLOOKUP('Données projet'!$B$11,Paramètres!$A$1:$I$89,3,0)*0.475*44/12</f>
        <v>12.291521259302121</v>
      </c>
      <c r="BR60" s="21">
        <f>EXP(-LN(2)/2)*BR59+(1-EXP(-LN(2)/2))/(LN(2)/2)*BL60*BO60*VLOOKUP('Données projet'!$B$11,Paramètres!$A$1:$I$89,3,0)*0.475*44/12</f>
        <v>1.5592130673145645E-4</v>
      </c>
      <c r="BS60" s="22">
        <f t="shared" si="9"/>
        <v>142.46864790233172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17</v>
      </c>
      <c r="N61" s="13">
        <f>IF('Données projet'!$A$36&gt;35,N60+M61-V60,IF(A61&lt;'Données projet'!$A$36,$K$205^A61,IF(A61='Données projet'!$A$36,'Données projet'!$B$36,N60+M61-V60)))</f>
        <v>554.00000000000023</v>
      </c>
      <c r="O61" s="13">
        <f>N61*VLOOKUP('Données projet'!$B$9,Paramètres!$A$1:$I$89,3,0)*VLOOKUP('Données projet'!$B$9,Paramètres!$A$1:$I$89,5,0)</f>
        <v>331.29200000000014</v>
      </c>
      <c r="P61" s="13">
        <f t="shared" si="33"/>
        <v>77.698110787752142</v>
      </c>
      <c r="Q61" s="20">
        <f t="shared" si="53"/>
        <v>712.32444295533526</v>
      </c>
      <c r="R61" s="59">
        <f t="shared" si="0"/>
        <v>1005.6577762886686</v>
      </c>
      <c r="S61" s="59">
        <f ca="1">AVERAGE(OFFSET($R$3,0,0,'Données projet'!$E$9+1,1))-AVERAGE(OFFSET($H$3,0,0,'Données projet'!$E$9+1,1))</f>
        <v>430.93760474982633</v>
      </c>
      <c r="T61" s="59">
        <f t="shared" si="34"/>
        <v>371.5387876502981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77.849471768178773</v>
      </c>
      <c r="AA61" s="21">
        <f>EXP(-LN(2)/25)*AA60+(1-EXP(-LN(2)/25))/(LN(2)/25)*Calculateur!V61*Calculateur!X61*VLOOKUP('Données projet'!$B$9,Paramètres!$A$1:$I$89,3,0)*0.475*44/12</f>
        <v>27.089972902135205</v>
      </c>
      <c r="AB61" s="21">
        <f>EXP(-LN(2)/2)*AB60+(1-EXP(-LN(2)/2))/(LN(2)/2)*V61*Y61*VLOOKUP('Données projet'!$B$9,Paramètres!$A$1:$I$89,3,0)*0.475*44/12</f>
        <v>3.1960962686853447E-6</v>
      </c>
      <c r="AC61" s="22">
        <f t="shared" si="3"/>
        <v>104.93944786641025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179.44051550872138</v>
      </c>
      <c r="AO61" s="59">
        <f t="shared" si="36"/>
        <v>272.9500808380069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70.640302031393276</v>
      </c>
      <c r="AV61" s="21">
        <f>EXP(-LN(2)/25)*AV60+(1-EXP(-LN(2)/25))/(LN(2)/25)*Calculateur!AQ61*Calculateur!AS61*VLOOKUP('Données projet'!$B$10,Paramètres!$A$1:$I$89,3,0)*0.475*44/12</f>
        <v>22.263722898700451</v>
      </c>
      <c r="AW61" s="21">
        <f>EXP(-LN(2)/2)*AW60+(1-EXP(-LN(2)/2))/(LN(2)/2)*AQ61*AT61*VLOOKUP('Données projet'!$B$10,Paramètres!$A$1:$I$89,3,0)*0.475*44/12</f>
        <v>1.3475665162210753E-5</v>
      </c>
      <c r="AX61" s="21">
        <f t="shared" si="6"/>
        <v>92.904038405758882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18.60285714285714</v>
      </c>
      <c r="BD61" s="12">
        <f>IF('Données projet'!$A$88&gt;35,BD60+BC61-BL60,IF(A61&lt;'Données projet'!$A$88,$BA$205^A61,IF(A61='Données projet'!$A$88,'Données projet'!$B$88,BD60+BC61-BL60)))</f>
        <v>476.66571428571427</v>
      </c>
      <c r="BE61" s="13">
        <f>BD61*VLOOKUP('Données projet'!$B$11,Paramètres!$A$1:$I$89,3,0)*VLOOKUP('Données projet'!$B$11,Paramètres!$A$1:$I$89,5,0)</f>
        <v>266.45613428571426</v>
      </c>
      <c r="BF61" s="13">
        <f t="shared" si="37"/>
        <v>64.096594188797042</v>
      </c>
      <c r="BG61" s="20">
        <f t="shared" si="7"/>
        <v>575.71266875977381</v>
      </c>
      <c r="BH61" s="59">
        <f t="shared" si="8"/>
        <v>869.04600209310706</v>
      </c>
      <c r="BI61" s="59">
        <f ca="1">AVERAGE(OFFSET($BH$3,0,0,'Données projet'!$E$11+1,1))-AVERAGE(OFFSET($H$3,0,0,'Données projet'!$E$11+1,1))</f>
        <v>321.85808080442411</v>
      </c>
      <c r="BJ61" s="59">
        <f t="shared" si="38"/>
        <v>285.95942591879702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127.62427972598189</v>
      </c>
      <c r="BQ61" s="21">
        <f>EXP(-LN(2)/25)*BQ60+(1-EXP(-LN(2)/25))/(LN(2)/25)*Calculateur!BL61*Calculateur!BN61*VLOOKUP('Données projet'!$B$11,Paramètres!$A$1:$I$89,3,0)*0.475*44/12</f>
        <v>11.955408964083494</v>
      </c>
      <c r="BR61" s="21">
        <f>EXP(-LN(2)/2)*BR60+(1-EXP(-LN(2)/2))/(LN(2)/2)*BL61*BO61*VLOOKUP('Données projet'!$B$11,Paramètres!$A$1:$I$89,3,0)*0.475*44/12</f>
        <v>1.1025301332128054E-4</v>
      </c>
      <c r="BS61" s="22">
        <f t="shared" si="9"/>
        <v>139.57979894307871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17</v>
      </c>
      <c r="N62" s="13">
        <f>IF('Données projet'!$A$36&gt;35,N61+M62-V61,IF(A62&lt;'Données projet'!$A$36,$K$205^A62,IF(A62='Données projet'!$A$36,'Données projet'!$B$36,N61+M62-V61)))</f>
        <v>571.00000000000023</v>
      </c>
      <c r="O62" s="13">
        <f>N62*VLOOKUP('Données projet'!$B$9,Paramètres!$A$1:$I$89,3,0)*VLOOKUP('Données projet'!$B$9,Paramètres!$A$1:$I$89,5,0)</f>
        <v>341.4580000000002</v>
      </c>
      <c r="P62" s="13">
        <f t="shared" si="33"/>
        <v>79.801103392528489</v>
      </c>
      <c r="Q62" s="20">
        <f t="shared" si="53"/>
        <v>733.69293840865419</v>
      </c>
      <c r="R62" s="59">
        <f t="shared" si="0"/>
        <v>1027.0262717419876</v>
      </c>
      <c r="S62" s="59">
        <f ca="1">AVERAGE(OFFSET($R$3,0,0,'Données projet'!$E$9+1,1))-AVERAGE(OFFSET($H$3,0,0,'Données projet'!$E$9+1,1))</f>
        <v>430.93760474982633</v>
      </c>
      <c r="T62" s="59">
        <f t="shared" si="34"/>
        <v>371.5387876502981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76.322891110293966</v>
      </c>
      <c r="AA62" s="21">
        <f>EXP(-LN(2)/25)*AA61+(1-EXP(-LN(2)/25))/(LN(2)/25)*Calculateur!V62*Calculateur!X62*VLOOKUP('Données projet'!$B$9,Paramètres!$A$1:$I$89,3,0)*0.475*44/12</f>
        <v>26.349196168526557</v>
      </c>
      <c r="AB62" s="21">
        <f>EXP(-LN(2)/2)*AB61+(1-EXP(-LN(2)/2))/(LN(2)/2)*V62*Y62*VLOOKUP('Données projet'!$B$9,Paramètres!$A$1:$I$89,3,0)*0.475*44/12</f>
        <v>2.259981344912429E-6</v>
      </c>
      <c r="AC62" s="22">
        <f t="shared" si="3"/>
        <v>102.67208953880187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179.44051550872138</v>
      </c>
      <c r="AO62" s="59">
        <f t="shared" si="36"/>
        <v>272.9500808380069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69.25508879488747</v>
      </c>
      <c r="AV62" s="21">
        <f>EXP(-LN(2)/25)*AV61+(1-EXP(-LN(2)/25))/(LN(2)/25)*Calculateur!AQ62*Calculateur!AS62*VLOOKUP('Données projet'!$B$10,Paramètres!$A$1:$I$89,3,0)*0.475*44/12</f>
        <v>21.654920225237184</v>
      </c>
      <c r="AW62" s="21">
        <f>EXP(-LN(2)/2)*AW61+(1-EXP(-LN(2)/2))/(LN(2)/2)*AQ62*AT62*VLOOKUP('Données projet'!$B$10,Paramètres!$A$1:$I$89,3,0)*0.475*44/12</f>
        <v>9.5287342171985401E-6</v>
      </c>
      <c r="AX62" s="21">
        <f t="shared" si="6"/>
        <v>90.910018548858858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18.60285714285714</v>
      </c>
      <c r="BD62" s="12">
        <f>IF('Données projet'!$A$88&gt;35,BD61+BC62-BL61,IF(A62&lt;'Données projet'!$A$88,$BA$205^A62,IF(A62='Données projet'!$A$88,'Données projet'!$B$88,BD61+BC62-BL61)))</f>
        <v>495.26857142857142</v>
      </c>
      <c r="BE62" s="13">
        <f>BD62*VLOOKUP('Données projet'!$B$11,Paramètres!$A$1:$I$89,3,0)*VLOOKUP('Données projet'!$B$11,Paramètres!$A$1:$I$89,5,0)</f>
        <v>276.85513142857144</v>
      </c>
      <c r="BF62" s="13">
        <f t="shared" si="37"/>
        <v>66.301971482285936</v>
      </c>
      <c r="BG62" s="20">
        <f t="shared" si="7"/>
        <v>597.66528756974321</v>
      </c>
      <c r="BH62" s="59">
        <f t="shared" si="8"/>
        <v>890.99862090307647</v>
      </c>
      <c r="BI62" s="59">
        <f ca="1">AVERAGE(OFFSET($BH$3,0,0,'Données projet'!$E$11+1,1))-AVERAGE(OFFSET($H$3,0,0,'Données projet'!$E$11+1,1))</f>
        <v>321.85808080442411</v>
      </c>
      <c r="BJ62" s="59">
        <f t="shared" si="38"/>
        <v>285.95942591879702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125.12164544367965</v>
      </c>
      <c r="BQ62" s="21">
        <f>EXP(-LN(2)/25)*BQ61+(1-EXP(-LN(2)/25))/(LN(2)/25)*Calculateur!BL62*Calculateur!BN62*VLOOKUP('Données projet'!$B$11,Paramètres!$A$1:$I$89,3,0)*0.475*44/12</f>
        <v>11.628487677252998</v>
      </c>
      <c r="BR62" s="21">
        <f>EXP(-LN(2)/2)*BR61+(1-EXP(-LN(2)/2))/(LN(2)/2)*BL62*BO62*VLOOKUP('Données projet'!$B$11,Paramètres!$A$1:$I$89,3,0)*0.475*44/12</f>
        <v>7.7960653365728225E-5</v>
      </c>
      <c r="BS62" s="22">
        <f t="shared" si="9"/>
        <v>136.750211081586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588</v>
      </c>
      <c r="L63" s="12">
        <f>VLOOKUP(A63,'Données projet'!$A$35:$I$55,9,0)</f>
        <v>17</v>
      </c>
      <c r="M63" s="12">
        <f t="array" ref="M63">INDEX(L:L,MIN(IF(ISNUMBER(L63:L259),ROW(L63:L259),"")))</f>
        <v>17</v>
      </c>
      <c r="N63" s="13">
        <f>IF('Données projet'!$A$36&gt;35,N62+M63-V62,IF(A63&lt;'Données projet'!$A$36,$K$205^A63,IF(A63='Données projet'!$A$36,'Données projet'!$B$36,N62+M63-V62)))</f>
        <v>588.00000000000023</v>
      </c>
      <c r="O63" s="13">
        <f>N63*VLOOKUP('Données projet'!$B$9,Paramètres!$A$1:$I$89,3,0)*VLOOKUP('Données projet'!$B$9,Paramètres!$A$1:$I$89,5,0)</f>
        <v>351.62400000000019</v>
      </c>
      <c r="P63" s="13">
        <f t="shared" si="33"/>
        <v>81.89681955603848</v>
      </c>
      <c r="Q63" s="20">
        <f t="shared" si="53"/>
        <v>755.04876072676723</v>
      </c>
      <c r="R63" s="59">
        <f t="shared" si="0"/>
        <v>1048.3820940601006</v>
      </c>
      <c r="S63" s="59">
        <f ca="1">AVERAGE(OFFSET($R$3,0,0,'Données projet'!$E$9+1,1))-AVERAGE(OFFSET($H$3,0,0,'Données projet'!$E$9+1,1))</f>
        <v>430.93760474982633</v>
      </c>
      <c r="T63" s="59">
        <f t="shared" si="34"/>
        <v>371.5387876502981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39</v>
      </c>
      <c r="W63" s="16">
        <f>IF(ISNA(VLOOKUP(A63,'Données projet'!$A$35:$I$55,5,0)),0%,VLOOKUP(A63,'Données projet'!$A$35:$I$55,5,0)*VLOOKUP('Données projet'!$B$9,Paramètres!$A$1:$I$89,7,0))</f>
        <v>0.45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88.748407071380441</v>
      </c>
      <c r="AA63" s="21">
        <f>EXP(-LN(2)/25)*AA62+(1-EXP(-LN(2)/25))/(LN(2)/25)*Calculateur!V63*Calculateur!X63*VLOOKUP('Données projet'!$B$9,Paramètres!$A$1:$I$89,3,0)*0.475*44/12</f>
        <v>25.628676013654193</v>
      </c>
      <c r="AB63" s="21">
        <f>EXP(-LN(2)/2)*AB62+(1-EXP(-LN(2)/2))/(LN(2)/2)*V63*Y63*VLOOKUP('Données projet'!$B$9,Paramètres!$A$1:$I$89,3,0)*0.475*44/12</f>
        <v>1.5980481343426724E-6</v>
      </c>
      <c r="AC63" s="22">
        <f t="shared" si="3"/>
        <v>114.37708468308276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179.44051550872138</v>
      </c>
      <c r="AO63" s="59">
        <f t="shared" si="36"/>
        <v>272.9500808380069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67.897038745052896</v>
      </c>
      <c r="AV63" s="21">
        <f>EXP(-LN(2)/25)*AV62+(1-EXP(-LN(2)/25))/(LN(2)/25)*Calculateur!AQ63*Calculateur!AS63*VLOOKUP('Données projet'!$B$10,Paramètres!$A$1:$I$89,3,0)*0.475*44/12</f>
        <v>21.06276529289531</v>
      </c>
      <c r="AW63" s="21">
        <f>EXP(-LN(2)/2)*AW62+(1-EXP(-LN(2)/2))/(LN(2)/2)*AQ63*AT63*VLOOKUP('Données projet'!$B$10,Paramètres!$A$1:$I$89,3,0)*0.475*44/12</f>
        <v>6.7378325811053764E-6</v>
      </c>
      <c r="AX63" s="21">
        <f t="shared" si="6"/>
        <v>88.959810775780781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18.60285714285714</v>
      </c>
      <c r="BD63" s="12">
        <f>IF('Données projet'!$A$88&gt;35,BD62+BC63-BL62,IF(A63&lt;'Données projet'!$A$88,$BA$205^A63,IF(A63='Données projet'!$A$88,'Données projet'!$B$88,BD62+BC63-BL62)))</f>
        <v>513.87142857142851</v>
      </c>
      <c r="BE63" s="13">
        <f>BD63*VLOOKUP('Données projet'!$B$11,Paramètres!$A$1:$I$89,3,0)*VLOOKUP('Données projet'!$B$11,Paramètres!$A$1:$I$89,5,0)</f>
        <v>287.25412857142851</v>
      </c>
      <c r="BF63" s="13">
        <f t="shared" si="37"/>
        <v>68.497725263807311</v>
      </c>
      <c r="BG63" s="20">
        <f t="shared" si="7"/>
        <v>619.60114542970234</v>
      </c>
      <c r="BH63" s="59">
        <f t="shared" si="8"/>
        <v>912.93447876303571</v>
      </c>
      <c r="BI63" s="59">
        <f ca="1">AVERAGE(OFFSET($BH$3,0,0,'Données projet'!$E$11+1,1))-AVERAGE(OFFSET($H$3,0,0,'Données projet'!$E$11+1,1))</f>
        <v>321.85808080442411</v>
      </c>
      <c r="BJ63" s="59">
        <f t="shared" si="38"/>
        <v>285.95942591879702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122.66808629319718</v>
      </c>
      <c r="BQ63" s="21">
        <f>EXP(-LN(2)/25)*BQ62+(1-EXP(-LN(2)/25))/(LN(2)/25)*Calculateur!BL63*Calculateur!BN63*VLOOKUP('Données projet'!$B$11,Paramètres!$A$1:$I$89,3,0)*0.475*44/12</f>
        <v>11.310506070202926</v>
      </c>
      <c r="BR63" s="21">
        <f>EXP(-LN(2)/2)*BR62+(1-EXP(-LN(2)/2))/(LN(2)/2)*BL63*BO63*VLOOKUP('Données projet'!$B$11,Paramètres!$A$1:$I$89,3,0)*0.475*44/12</f>
        <v>5.5126506660640269E-5</v>
      </c>
      <c r="BS63" s="22">
        <f t="shared" si="9"/>
        <v>133.97864748990676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15.6</v>
      </c>
      <c r="N64" s="13">
        <f>IF('Données projet'!$A$36&gt;35,N63+M64-V63,IF(A64&lt;'Données projet'!$A$36,$K$205^A64,IF(A64='Données projet'!$A$36,'Données projet'!$B$36,N63+M64-V63)))</f>
        <v>564.60000000000025</v>
      </c>
      <c r="O64" s="13">
        <f>N64*VLOOKUP('Données projet'!$B$9,Paramètres!$A$1:$I$89,3,0)*VLOOKUP('Données projet'!$B$9,Paramètres!$A$1:$I$89,5,0)</f>
        <v>337.63080000000019</v>
      </c>
      <c r="P64" s="13">
        <f t="shared" si="33"/>
        <v>79.01025567088999</v>
      </c>
      <c r="Q64" s="20">
        <f t="shared" si="53"/>
        <v>725.64983862680037</v>
      </c>
      <c r="R64" s="59">
        <f t="shared" si="0"/>
        <v>1018.9831719601336</v>
      </c>
      <c r="S64" s="59">
        <f ca="1">AVERAGE(OFFSET($R$3,0,0,'Données projet'!$E$9+1,1))-AVERAGE(OFFSET($H$3,0,0,'Données projet'!$E$9+1,1))</f>
        <v>430.93760474982633</v>
      </c>
      <c r="T64" s="59">
        <f t="shared" si="34"/>
        <v>371.5387876502981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87.008104939893968</v>
      </c>
      <c r="AA64" s="21">
        <f>EXP(-LN(2)/25)*AA63+(1-EXP(-LN(2)/25))/(LN(2)/25)*Calculateur!V64*Calculateur!X64*VLOOKUP('Données projet'!$B$9,Paramètres!$A$1:$I$89,3,0)*0.475*44/12</f>
        <v>24.927858520307321</v>
      </c>
      <c r="AB64" s="21">
        <f>EXP(-LN(2)/2)*AB63+(1-EXP(-LN(2)/2))/(LN(2)/2)*V64*Y64*VLOOKUP('Données projet'!$B$9,Paramètres!$A$1:$I$89,3,0)*0.475*44/12</f>
        <v>1.1299906724562145E-6</v>
      </c>
      <c r="AC64" s="22">
        <f t="shared" si="3"/>
        <v>111.93596459019197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304</v>
      </c>
      <c r="AJ64" s="13">
        <f>AI64*VLOOKUP('Données projet'!$B$10,Paramètres!$A$1:$I$89,3,0)*VLOOKUP('Données projet'!$B$10,Paramètres!$A$1:$I$89,5,0)</f>
        <v>189.696</v>
      </c>
      <c r="AK64" s="13">
        <f t="shared" si="35"/>
        <v>47.472736505152469</v>
      </c>
      <c r="AL64" s="20">
        <f t="shared" si="4"/>
        <v>413.06888274647389</v>
      </c>
      <c r="AM64" s="59">
        <f t="shared" si="5"/>
        <v>706.4022160798072</v>
      </c>
      <c r="AN64" s="59">
        <f ca="1">AVERAGE(OFFSET($AM$3,0,0,'Données projet'!$E$10+1,1))-AVERAGE(OFFSET($H$3,0,0,'Données projet'!$E$10+1,1))</f>
        <v>179.44051550872138</v>
      </c>
      <c r="AO64" s="59">
        <f t="shared" si="36"/>
        <v>272.9500808380069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66.565619228366842</v>
      </c>
      <c r="AV64" s="21">
        <f>EXP(-LN(2)/25)*AV63+(1-EXP(-LN(2)/25))/(LN(2)/25)*Calculateur!AQ64*Calculateur!AS64*VLOOKUP('Données projet'!$B$10,Paramètres!$A$1:$I$89,3,0)*0.475*44/12</f>
        <v>20.486802868318399</v>
      </c>
      <c r="AW64" s="21">
        <f>EXP(-LN(2)/2)*AW63+(1-EXP(-LN(2)/2))/(LN(2)/2)*AQ64*AT64*VLOOKUP('Données projet'!$B$10,Paramètres!$A$1:$I$89,3,0)*0.475*44/12</f>
        <v>4.7643671085992701E-6</v>
      </c>
      <c r="AX64" s="21">
        <f t="shared" si="6"/>
        <v>87.052426861052339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18.60285714285714</v>
      </c>
      <c r="BD64" s="12">
        <f>IF('Données projet'!$A$88&gt;35,BD63+BC64-BL63,IF(A64&lt;'Données projet'!$A$88,$BA$205^A64,IF(A64='Données projet'!$A$88,'Données projet'!$B$88,BD63+BC64-BL63)))</f>
        <v>532.47428571428566</v>
      </c>
      <c r="BE64" s="13">
        <f>BD64*VLOOKUP('Données projet'!$B$11,Paramètres!$A$1:$I$89,3,0)*VLOOKUP('Données projet'!$B$11,Paramètres!$A$1:$I$89,5,0)</f>
        <v>297.65312571428569</v>
      </c>
      <c r="BF64" s="13">
        <f t="shared" si="37"/>
        <v>70.6842438239687</v>
      </c>
      <c r="BG64" s="20">
        <f t="shared" si="7"/>
        <v>641.5209186124597</v>
      </c>
      <c r="BH64" s="59">
        <f t="shared" si="8"/>
        <v>934.85425194579307</v>
      </c>
      <c r="BI64" s="59">
        <f ca="1">AVERAGE(OFFSET($BH$3,0,0,'Données projet'!$E$11+1,1))-AVERAGE(OFFSET($H$3,0,0,'Données projet'!$E$11+1,1))</f>
        <v>321.85808080442411</v>
      </c>
      <c r="BJ64" s="59">
        <f t="shared" si="38"/>
        <v>285.95942591879702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120.26263994113235</v>
      </c>
      <c r="BQ64" s="21">
        <f>EXP(-LN(2)/25)*BQ63+(1-EXP(-LN(2)/25))/(LN(2)/25)*Calculateur!BL64*Calculateur!BN64*VLOOKUP('Données projet'!$B$11,Paramètres!$A$1:$I$89,3,0)*0.475*44/12</f>
        <v>11.001219686919564</v>
      </c>
      <c r="BR64" s="21">
        <f>EXP(-LN(2)/2)*BR63+(1-EXP(-LN(2)/2))/(LN(2)/2)*BL64*BO64*VLOOKUP('Données projet'!$B$11,Paramètres!$A$1:$I$89,3,0)*0.475*44/12</f>
        <v>3.8980326682864113E-5</v>
      </c>
      <c r="BS64" s="22">
        <f t="shared" si="9"/>
        <v>131.26389860837858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15.6</v>
      </c>
      <c r="N65" s="13">
        <f>IF('Données projet'!$A$36&gt;35,N64+M65-V64,IF(A65&lt;'Données projet'!$A$36,$K$205^A65,IF(A65='Données projet'!$A$36,'Données projet'!$B$36,N64+M65-V64)))</f>
        <v>580.20000000000027</v>
      </c>
      <c r="O65" s="13">
        <f>N65*VLOOKUP('Données projet'!$B$9,Paramètres!$A$1:$I$89,3,0)*VLOOKUP('Données projet'!$B$9,Paramètres!$A$1:$I$89,5,0)</f>
        <v>346.95960000000014</v>
      </c>
      <c r="P65" s="13">
        <f t="shared" si="33"/>
        <v>80.936143758770243</v>
      </c>
      <c r="Q65" s="20">
        <f t="shared" si="53"/>
        <v>745.25175371319165</v>
      </c>
      <c r="R65" s="59">
        <f t="shared" si="0"/>
        <v>1038.5850870465249</v>
      </c>
      <c r="S65" s="59">
        <f ca="1">AVERAGE(OFFSET($R$3,0,0,'Données projet'!$E$9+1,1))-AVERAGE(OFFSET($H$3,0,0,'Données projet'!$E$9+1,1))</f>
        <v>430.93760474982633</v>
      </c>
      <c r="T65" s="59">
        <f t="shared" si="34"/>
        <v>371.5387876502981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85.301929071726462</v>
      </c>
      <c r="AA65" s="21">
        <f>EXP(-LN(2)/25)*AA64+(1-EXP(-LN(2)/25))/(LN(2)/25)*Calculateur!V65*Calculateur!X65*VLOOKUP('Données projet'!$B$9,Paramètres!$A$1:$I$89,3,0)*0.475*44/12</f>
        <v>24.246204918170413</v>
      </c>
      <c r="AB65" s="21">
        <f>EXP(-LN(2)/2)*AB64+(1-EXP(-LN(2)/2))/(LN(2)/2)*V65*Y65*VLOOKUP('Données projet'!$B$9,Paramètres!$A$1:$I$89,3,0)*0.475*44/12</f>
        <v>7.9902406717133618E-7</v>
      </c>
      <c r="AC65" s="22">
        <f t="shared" si="3"/>
        <v>109.54813478892095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304</v>
      </c>
      <c r="AJ65" s="13">
        <f>AI65*VLOOKUP('Données projet'!$B$10,Paramètres!$A$1:$I$89,3,0)*VLOOKUP('Données projet'!$B$10,Paramètres!$A$1:$I$89,5,0)</f>
        <v>189.696</v>
      </c>
      <c r="AK65" s="13">
        <f t="shared" si="35"/>
        <v>47.472736505152469</v>
      </c>
      <c r="AL65" s="20">
        <f t="shared" si="4"/>
        <v>413.06888274647389</v>
      </c>
      <c r="AM65" s="59">
        <f t="shared" si="5"/>
        <v>706.4022160798072</v>
      </c>
      <c r="AN65" s="59">
        <f ca="1">AVERAGE(OFFSET($AM$3,0,0,'Données projet'!$E$10+1,1))-AVERAGE(OFFSET($H$3,0,0,'Données projet'!$E$10+1,1))</f>
        <v>179.44051550872138</v>
      </c>
      <c r="AO65" s="59">
        <f t="shared" si="36"/>
        <v>272.9500808380069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65.260308036317284</v>
      </c>
      <c r="AV65" s="21">
        <f>EXP(-LN(2)/25)*AV64+(1-EXP(-LN(2)/25))/(LN(2)/25)*Calculateur!AQ65*Calculateur!AS65*VLOOKUP('Données projet'!$B$10,Paramètres!$A$1:$I$89,3,0)*0.475*44/12</f>
        <v>19.926590166530094</v>
      </c>
      <c r="AW65" s="21">
        <f>EXP(-LN(2)/2)*AW64+(1-EXP(-LN(2)/2))/(LN(2)/2)*AQ65*AT65*VLOOKUP('Données projet'!$B$10,Paramètres!$A$1:$I$89,3,0)*0.475*44/12</f>
        <v>3.3689162905526882E-6</v>
      </c>
      <c r="AX65" s="21">
        <f t="shared" si="6"/>
        <v>85.18690157176367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18.60285714285714</v>
      </c>
      <c r="BD65" s="12">
        <f>IF('Données projet'!$A$88&gt;35,BD64+BC65-BL64,IF(A65&lt;'Données projet'!$A$88,$BA$205^A65,IF(A65='Données projet'!$A$88,'Données projet'!$B$88,BD64+BC65-BL64)))</f>
        <v>551.0771428571428</v>
      </c>
      <c r="BE65" s="13">
        <f>BD65*VLOOKUP('Données projet'!$B$11,Paramètres!$A$1:$I$89,3,0)*VLOOKUP('Données projet'!$B$11,Paramètres!$A$1:$I$89,5,0)</f>
        <v>308.05212285714282</v>
      </c>
      <c r="BF65" s="13">
        <f t="shared" si="37"/>
        <v>72.861886783748233</v>
      </c>
      <c r="BG65" s="20">
        <f t="shared" si="7"/>
        <v>663.42523345788516</v>
      </c>
      <c r="BH65" s="59">
        <f t="shared" si="8"/>
        <v>956.75856679121853</v>
      </c>
      <c r="BI65" s="59">
        <f ca="1">AVERAGE(OFFSET($BH$3,0,0,'Données projet'!$E$11+1,1))-AVERAGE(OFFSET($H$3,0,0,'Données projet'!$E$11+1,1))</f>
        <v>321.85808080442411</v>
      </c>
      <c r="BJ65" s="59">
        <f t="shared" si="38"/>
        <v>285.95942591879702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117.9043629248541</v>
      </c>
      <c r="BQ65" s="21">
        <f>EXP(-LN(2)/25)*BQ64+(1-EXP(-LN(2)/25))/(LN(2)/25)*Calculateur!BL65*Calculateur!BN65*VLOOKUP('Données projet'!$B$11,Paramètres!$A$1:$I$89,3,0)*0.475*44/12</f>
        <v>10.700390756051748</v>
      </c>
      <c r="BR65" s="21">
        <f>EXP(-LN(2)/2)*BR64+(1-EXP(-LN(2)/2))/(LN(2)/2)*BL65*BO65*VLOOKUP('Données projet'!$B$11,Paramètres!$A$1:$I$89,3,0)*0.475*44/12</f>
        <v>2.7563253330320134E-5</v>
      </c>
      <c r="BS65" s="22">
        <f t="shared" si="9"/>
        <v>128.60478124415917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15.6</v>
      </c>
      <c r="N66" s="13">
        <f>IF('Données projet'!$A$36&gt;35,N65+M66-V65,IF(A66&lt;'Données projet'!$A$36,$K$205^A66,IF(A66='Données projet'!$A$36,'Données projet'!$B$36,N65+M66-V65)))</f>
        <v>595.8000000000003</v>
      </c>
      <c r="O66" s="13">
        <f>N66*VLOOKUP('Données projet'!$B$9,Paramètres!$A$1:$I$89,3,0)*VLOOKUP('Données projet'!$B$9,Paramètres!$A$1:$I$89,5,0)</f>
        <v>356.28840000000019</v>
      </c>
      <c r="P66" s="13">
        <f t="shared" si="33"/>
        <v>82.856013090111389</v>
      </c>
      <c r="Q66" s="20">
        <f t="shared" si="53"/>
        <v>764.84318613194444</v>
      </c>
      <c r="R66" s="59">
        <f t="shared" si="0"/>
        <v>1058.1765194652778</v>
      </c>
      <c r="S66" s="59">
        <f ca="1">AVERAGE(OFFSET($R$3,0,0,'Données projet'!$E$9+1,1))-AVERAGE(OFFSET($H$3,0,0,'Données projet'!$E$9+1,1))</f>
        <v>430.93760474982633</v>
      </c>
      <c r="T66" s="59">
        <f t="shared" si="34"/>
        <v>371.5387876502981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83.629210271669194</v>
      </c>
      <c r="AA66" s="21">
        <f>EXP(-LN(2)/25)*AA65+(1-EXP(-LN(2)/25))/(LN(2)/25)*Calculateur!V66*Calculateur!X66*VLOOKUP('Données projet'!$B$9,Paramètres!$A$1:$I$89,3,0)*0.475*44/12</f>
        <v>23.583191169630542</v>
      </c>
      <c r="AB66" s="21">
        <f>EXP(-LN(2)/2)*AB65+(1-EXP(-LN(2)/2))/(LN(2)/2)*V66*Y66*VLOOKUP('Données projet'!$B$9,Paramètres!$A$1:$I$89,3,0)*0.475*44/12</f>
        <v>5.6499533622810726E-7</v>
      </c>
      <c r="AC66" s="22">
        <f t="shared" si="3"/>
        <v>107.21240200629506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304</v>
      </c>
      <c r="AJ66" s="13">
        <f>AI66*VLOOKUP('Données projet'!$B$10,Paramètres!$A$1:$I$89,3,0)*VLOOKUP('Données projet'!$B$10,Paramètres!$A$1:$I$89,5,0)</f>
        <v>189.696</v>
      </c>
      <c r="AK66" s="13">
        <f t="shared" si="35"/>
        <v>47.472736505152469</v>
      </c>
      <c r="AL66" s="20">
        <f t="shared" si="4"/>
        <v>413.06888274647389</v>
      </c>
      <c r="AM66" s="59">
        <f t="shared" si="5"/>
        <v>706.4022160798072</v>
      </c>
      <c r="AN66" s="59">
        <f ca="1">AVERAGE(OFFSET($AM$3,0,0,'Données projet'!$E$10+1,1))-AVERAGE(OFFSET($H$3,0,0,'Données projet'!$E$10+1,1))</f>
        <v>179.44051550872138</v>
      </c>
      <c r="AO66" s="59">
        <f t="shared" si="36"/>
        <v>272.9500808380069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63.980593200582604</v>
      </c>
      <c r="AV66" s="21">
        <f>EXP(-LN(2)/25)*AV65+(1-EXP(-LN(2)/25))/(LN(2)/25)*Calculateur!AQ66*Calculateur!AS66*VLOOKUP('Données projet'!$B$10,Paramètres!$A$1:$I$89,3,0)*0.475*44/12</f>
        <v>19.381696510532493</v>
      </c>
      <c r="AW66" s="21">
        <f>EXP(-LN(2)/2)*AW65+(1-EXP(-LN(2)/2))/(LN(2)/2)*AQ66*AT66*VLOOKUP('Données projet'!$B$10,Paramètres!$A$1:$I$89,3,0)*0.475*44/12</f>
        <v>2.382183554299635E-6</v>
      </c>
      <c r="AX66" s="21">
        <f t="shared" si="6"/>
        <v>83.362292093298649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569.67999999999995</v>
      </c>
      <c r="BB66" s="12">
        <f>VLOOKUP(A66,'Données projet'!$A$87:$I$107,9,0)</f>
        <v>18.60285714285714</v>
      </c>
      <c r="BC66" s="12">
        <f t="array" ref="BC66">INDEX(BB:BB,MIN(IF(ISNUMBER(BB66:BB262),ROW(BB66:BB262),"")))</f>
        <v>18.60285714285714</v>
      </c>
      <c r="BD66" s="12">
        <f>IF('Données projet'!$A$88&gt;35,BD65+BC66-BL65,IF(A66&lt;'Données projet'!$A$88,$BA$205^A66,IF(A66='Données projet'!$A$88,'Données projet'!$B$88,BD65+BC66-BL65)))</f>
        <v>569.67999999999995</v>
      </c>
      <c r="BE66" s="13">
        <f>BD66*VLOOKUP('Données projet'!$B$11,Paramètres!$A$1:$I$89,3,0)*VLOOKUP('Données projet'!$B$11,Paramètres!$A$1:$I$89,5,0)</f>
        <v>318.45112</v>
      </c>
      <c r="BF66" s="13">
        <f t="shared" si="37"/>
        <v>75.03098810699521</v>
      </c>
      <c r="BG66" s="20">
        <f t="shared" si="7"/>
        <v>685.31467161968328</v>
      </c>
      <c r="BH66" s="59">
        <f t="shared" si="8"/>
        <v>978.64800495301665</v>
      </c>
      <c r="BI66" s="59">
        <f ca="1">AVERAGE(OFFSET($BH$3,0,0,'Données projet'!$E$11+1,1))-AVERAGE(OFFSET($H$3,0,0,'Données projet'!$E$11+1,1))</f>
        <v>321.85808080442411</v>
      </c>
      <c r="BJ66" s="59">
        <f t="shared" si="38"/>
        <v>285.95942591879702</v>
      </c>
      <c r="BK66" s="15">
        <f>IF(ISNA(VLOOKUP(A66,'Données projet'!$A$87:$I$107,3,0)),0,VLOOKUP(A66,'Données projet'!$A$87:$I$107,3,0))</f>
        <v>7</v>
      </c>
      <c r="BL66" s="15">
        <f>IF(ISNA(VLOOKUP(A66,'Données projet'!$A$87:$I$107,4,0)),0,VLOOKUP(A66,'Données projet'!$A$87:$I$107,4,0))</f>
        <v>99.49</v>
      </c>
      <c r="BM66" s="16">
        <f>IF(ISNA(VLOOKUP(A66,'Données projet'!$A$87:$I$107,5,0)),0%,VLOOKUP(A66,'Données projet'!$A$87:$I$107,5,0)*VLOOKUP('Données projet'!$B$11,Paramètres!$A$1:$I$89,7,0))</f>
        <v>0.55000000000000004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156.1695498216161</v>
      </c>
      <c r="BQ66" s="21">
        <f>EXP(-LN(2)/25)*BQ65+(1-EXP(-LN(2)/25))/(LN(2)/25)*Calculateur!BL66*Calculateur!BN66*VLOOKUP('Données projet'!$B$11,Paramètres!$A$1:$I$89,3,0)*0.475*44/12</f>
        <v>10.40778800811842</v>
      </c>
      <c r="BR66" s="21">
        <f>EXP(-LN(2)/2)*BR65+(1-EXP(-LN(2)/2))/(LN(2)/2)*BL66*BO66*VLOOKUP('Données projet'!$B$11,Paramètres!$A$1:$I$89,3,0)*0.475*44/12</f>
        <v>1.9490163341432056E-5</v>
      </c>
      <c r="BS66" s="22">
        <f t="shared" si="9"/>
        <v>166.57735731989786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15.6</v>
      </c>
      <c r="N67" s="13">
        <f>IF('Données projet'!$A$36&gt;35,N66+M67-V66,IF(A67&lt;'Données projet'!$A$36,$K$205^A67,IF(A67='Données projet'!$A$36,'Données projet'!$B$36,N66+M67-V66)))</f>
        <v>611.40000000000032</v>
      </c>
      <c r="O67" s="13">
        <f>N67*VLOOKUP('Données projet'!$B$9,Paramètres!$A$1:$I$89,3,0)*VLOOKUP('Données projet'!$B$9,Paramètres!$A$1:$I$89,5,0)</f>
        <v>365.6172000000002</v>
      </c>
      <c r="P67" s="13">
        <f t="shared" si="33"/>
        <v>84.770039372098395</v>
      </c>
      <c r="Q67" s="20">
        <f t="shared" ref="Q67:Q98" si="54">(O67+P67)*0.475*44/12</f>
        <v>784.42444190640492</v>
      </c>
      <c r="R67" s="59">
        <f t="shared" ref="R67:R130" si="55">Q67+(I67+J67)*44/12</f>
        <v>1077.7577752397383</v>
      </c>
      <c r="S67" s="59">
        <f ca="1">AVERAGE(OFFSET($R$3,0,0,'Données projet'!$E$9+1,1))-AVERAGE(OFFSET($H$3,0,0,'Données projet'!$E$9+1,1))</f>
        <v>430.93760474982633</v>
      </c>
      <c r="T67" s="59">
        <f t="shared" si="34"/>
        <v>371.5387876502981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81.989292467023333</v>
      </c>
      <c r="AA67" s="21">
        <f>EXP(-LN(2)/25)*AA66+(1-EXP(-LN(2)/25))/(LN(2)/25)*Calculateur!V67*Calculateur!X67*VLOOKUP('Données projet'!$B$9,Paramètres!$A$1:$I$89,3,0)*0.475*44/12</f>
        <v>22.938307566910872</v>
      </c>
      <c r="AB67" s="21">
        <f>EXP(-LN(2)/2)*AB66+(1-EXP(-LN(2)/2))/(LN(2)/2)*V67*Y67*VLOOKUP('Données projet'!$B$9,Paramètres!$A$1:$I$89,3,0)*0.475*44/12</f>
        <v>3.9951203358566809E-7</v>
      </c>
      <c r="AC67" s="22">
        <f t="shared" si="3"/>
        <v>104.92760043344623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304</v>
      </c>
      <c r="AJ67" s="13">
        <f>AI67*VLOOKUP('Données projet'!$B$10,Paramètres!$A$1:$I$89,3,0)*VLOOKUP('Données projet'!$B$10,Paramètres!$A$1:$I$89,5,0)</f>
        <v>189.696</v>
      </c>
      <c r="AK67" s="13">
        <f t="shared" si="35"/>
        <v>47.472736505152469</v>
      </c>
      <c r="AL67" s="20">
        <f t="shared" si="4"/>
        <v>413.06888274647389</v>
      </c>
      <c r="AM67" s="59">
        <f t="shared" si="5"/>
        <v>706.4022160798072</v>
      </c>
      <c r="AN67" s="59">
        <f ca="1">AVERAGE(OFFSET($AM$3,0,0,'Données projet'!$E$10+1,1))-AVERAGE(OFFSET($H$3,0,0,'Données projet'!$E$10+1,1))</f>
        <v>179.44051550872138</v>
      </c>
      <c r="AO67" s="59">
        <f t="shared" si="36"/>
        <v>272.9500808380069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62.725972792227701</v>
      </c>
      <c r="AV67" s="21">
        <f>EXP(-LN(2)/25)*AV66+(1-EXP(-LN(2)/25))/(LN(2)/25)*Calculateur!AQ67*Calculateur!AS67*VLOOKUP('Données projet'!$B$10,Paramètres!$A$1:$I$89,3,0)*0.475*44/12</f>
        <v>18.851703000212858</v>
      </c>
      <c r="AW67" s="21">
        <f>EXP(-LN(2)/2)*AW66+(1-EXP(-LN(2)/2))/(LN(2)/2)*AQ67*AT67*VLOOKUP('Données projet'!$B$10,Paramètres!$A$1:$I$89,3,0)*0.475*44/12</f>
        <v>1.6844581452763441E-6</v>
      </c>
      <c r="AX67" s="21">
        <f t="shared" si="6"/>
        <v>81.5776774768987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16.667142857142867</v>
      </c>
      <c r="BD67" s="12">
        <f>IF('Données projet'!$A$88&gt;35,BD66+BC67-BL66,IF(A67&lt;'Données projet'!$A$88,$BA$205^A67,IF(A67='Données projet'!$A$88,'Données projet'!$B$88,BD66+BC67-BL66)))</f>
        <v>486.85714285714278</v>
      </c>
      <c r="BE67" s="13">
        <f>BD67*VLOOKUP('Données projet'!$B$11,Paramètres!$A$1:$I$89,3,0)*VLOOKUP('Données projet'!$B$11,Paramètres!$A$1:$I$89,5,0)</f>
        <v>272.15314285714283</v>
      </c>
      <c r="BF67" s="13">
        <f t="shared" si="37"/>
        <v>65.306009089449049</v>
      </c>
      <c r="BG67" s="20">
        <f t="shared" si="7"/>
        <v>587.74135630698083</v>
      </c>
      <c r="BH67" s="59">
        <f t="shared" si="8"/>
        <v>881.07468964031409</v>
      </c>
      <c r="BI67" s="59">
        <f ca="1">AVERAGE(OFFSET($BH$3,0,0,'Données projet'!$E$11+1,1))-AVERAGE(OFFSET($H$3,0,0,'Données projet'!$E$11+1,1))</f>
        <v>321.85808080442411</v>
      </c>
      <c r="BJ67" s="59">
        <f t="shared" si="38"/>
        <v>285.95942591879702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153.10716020363404</v>
      </c>
      <c r="BQ67" s="21">
        <f>EXP(-LN(2)/25)*BQ66+(1-EXP(-LN(2)/25))/(LN(2)/25)*Calculateur!BL67*Calculateur!BN67*VLOOKUP('Données projet'!$B$11,Paramètres!$A$1:$I$89,3,0)*0.475*44/12</f>
        <v>10.123186497714638</v>
      </c>
      <c r="BR67" s="21">
        <f>EXP(-LN(2)/2)*BR66+(1-EXP(-LN(2)/2))/(LN(2)/2)*BL67*BO67*VLOOKUP('Données projet'!$B$11,Paramètres!$A$1:$I$89,3,0)*0.475*44/12</f>
        <v>1.3781626665160067E-5</v>
      </c>
      <c r="BS67" s="22">
        <f t="shared" si="9"/>
        <v>163.23036048297536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627</v>
      </c>
      <c r="L68" s="12">
        <f>VLOOKUP(A68,'Données projet'!$A$35:$I$55,9,0)</f>
        <v>15.6</v>
      </c>
      <c r="M68" s="12">
        <f t="array" ref="M68">INDEX(L:L,MIN(IF(ISNUMBER(L68:L264),ROW(L68:L264),"")))</f>
        <v>15.6</v>
      </c>
      <c r="N68" s="13">
        <f>IF('Données projet'!$A$36&gt;35,N67+M68-V67,IF(A68&lt;'Données projet'!$A$36,$K$205^A68,IF(A68='Données projet'!$A$36,'Données projet'!$B$36,N67+M68-V67)))</f>
        <v>627.00000000000034</v>
      </c>
      <c r="O68" s="13">
        <f>N68*VLOOKUP('Données projet'!$B$9,Paramètres!$A$1:$I$89,3,0)*VLOOKUP('Données projet'!$B$9,Paramètres!$A$1:$I$89,5,0)</f>
        <v>374.94600000000025</v>
      </c>
      <c r="P68" s="13">
        <f t="shared" si="33"/>
        <v>86.678388834633466</v>
      </c>
      <c r="Q68" s="20">
        <f t="shared" si="54"/>
        <v>803.99581055365354</v>
      </c>
      <c r="R68" s="59">
        <f t="shared" si="55"/>
        <v>1097.3291438869869</v>
      </c>
      <c r="S68" s="59">
        <f ca="1">AVERAGE(OFFSET($R$3,0,0,'Données projet'!$E$9+1,1))-AVERAGE(OFFSET($H$3,0,0,'Données projet'!$E$9+1,1))</f>
        <v>430.93760474982633</v>
      </c>
      <c r="T68" s="59">
        <f t="shared" si="34"/>
        <v>371.5387876502981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34</v>
      </c>
      <c r="W68" s="16">
        <f>IF(ISNA(VLOOKUP(A68,'Données projet'!$A$35:$I$55,5,0)),0%,VLOOKUP(A68,'Données projet'!$A$35:$I$55,5,0)*VLOOKUP('Données projet'!$B$9,Paramètres!$A$1:$I$89,7,0))</f>
        <v>0.45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92.518801278874008</v>
      </c>
      <c r="AA68" s="21">
        <f>EXP(-LN(2)/25)*AA67+(1-EXP(-LN(2)/25))/(LN(2)/25)*Calculateur!V68*Calculateur!X68*VLOOKUP('Données projet'!$B$9,Paramètres!$A$1:$I$89,3,0)*0.475*44/12</f>
        <v>22.311058340220526</v>
      </c>
      <c r="AB68" s="21">
        <f>EXP(-LN(2)/2)*AB67+(1-EXP(-LN(2)/2))/(LN(2)/2)*V68*Y68*VLOOKUP('Données projet'!$B$9,Paramètres!$A$1:$I$89,3,0)*0.475*44/12</f>
        <v>2.8249766811405363E-7</v>
      </c>
      <c r="AC68" s="22">
        <f t="shared" ref="AC68:AC131" si="57">SUM(Z68:AB68)</f>
        <v>114.8298599015922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304</v>
      </c>
      <c r="AJ68" s="13">
        <f>AI68*VLOOKUP('Données projet'!$B$10,Paramètres!$A$1:$I$89,3,0)*VLOOKUP('Données projet'!$B$10,Paramètres!$A$1:$I$89,5,0)</f>
        <v>189.696</v>
      </c>
      <c r="AK68" s="13">
        <f t="shared" si="35"/>
        <v>47.472736505152469</v>
      </c>
      <c r="AL68" s="20">
        <f t="shared" ref="AL68:AL131" si="58">(AJ68+AK68)*0.475*44/12</f>
        <v>413.06888274647389</v>
      </c>
      <c r="AM68" s="59">
        <f t="shared" ref="AM68:AM131" si="59">AL68+(AD68+AE68)*44/12</f>
        <v>706.4022160798072</v>
      </c>
      <c r="AN68" s="59">
        <f ca="1">AVERAGE(OFFSET($AM$3,0,0,'Données projet'!$E$10+1,1))-AVERAGE(OFFSET($H$3,0,0,'Données projet'!$E$10+1,1))</f>
        <v>179.44051550872138</v>
      </c>
      <c r="AO68" s="59">
        <f t="shared" si="36"/>
        <v>272.9500808380069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61.495954724837752</v>
      </c>
      <c r="AV68" s="21">
        <f>EXP(-LN(2)/25)*AV67+(1-EXP(-LN(2)/25))/(LN(2)/25)*Calculateur!AQ68*Calculateur!AS68*VLOOKUP('Données projet'!$B$10,Paramètres!$A$1:$I$89,3,0)*0.475*44/12</f>
        <v>18.336202190304064</v>
      </c>
      <c r="AW68" s="21">
        <f>EXP(-LN(2)/2)*AW67+(1-EXP(-LN(2)/2))/(LN(2)/2)*AQ68*AT68*VLOOKUP('Données projet'!$B$10,Paramètres!$A$1:$I$89,3,0)*0.475*44/12</f>
        <v>1.1910917771498175E-6</v>
      </c>
      <c r="AX68" s="21">
        <f t="shared" ref="AX68:AX131" si="60">SUM(AU68:AW68)</f>
        <v>79.832158106233592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16.667142857142867</v>
      </c>
      <c r="BD68" s="12">
        <f>IF('Données projet'!$A$88&gt;35,BD67+BC68-BL67,IF(A68&lt;'Données projet'!$A$88,$BA$205^A68,IF(A68='Données projet'!$A$88,'Données projet'!$B$88,BD67+BC68-BL67)))</f>
        <v>503.52428571428567</v>
      </c>
      <c r="BE68" s="13">
        <f>BD68*VLOOKUP('Données projet'!$B$11,Paramètres!$A$1:$I$89,3,0)*VLOOKUP('Données projet'!$B$11,Paramètres!$A$1:$I$89,5,0)</f>
        <v>281.47007571428571</v>
      </c>
      <c r="BF68" s="13">
        <f t="shared" si="37"/>
        <v>67.277583394291085</v>
      </c>
      <c r="BG68" s="20">
        <f t="shared" ref="BG68:BG131" si="61">(BE68+BF68)*0.475*44/12</f>
        <v>607.40217294743786</v>
      </c>
      <c r="BH68" s="59">
        <f t="shared" ref="BH68:BH131" si="62">BG68+(AY68+AZ68)*44/12</f>
        <v>900.73550628077123</v>
      </c>
      <c r="BI68" s="59">
        <f ca="1">AVERAGE(OFFSET($BH$3,0,0,'Données projet'!$E$11+1,1))-AVERAGE(OFFSET($H$3,0,0,'Données projet'!$E$11+1,1))</f>
        <v>321.85808080442411</v>
      </c>
      <c r="BJ68" s="59">
        <f t="shared" si="38"/>
        <v>285.95942591879702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150.10482217818739</v>
      </c>
      <c r="BQ68" s="21">
        <f>EXP(-LN(2)/25)*BQ67+(1-EXP(-LN(2)/25))/(LN(2)/25)*Calculateur!BL68*Calculateur!BN68*VLOOKUP('Données projet'!$B$11,Paramètres!$A$1:$I$89,3,0)*0.475*44/12</f>
        <v>9.8463674305793898</v>
      </c>
      <c r="BR68" s="21">
        <f>EXP(-LN(2)/2)*BR67+(1-EXP(-LN(2)/2))/(LN(2)/2)*BL68*BO68*VLOOKUP('Données projet'!$B$11,Paramètres!$A$1:$I$89,3,0)*0.475*44/12</f>
        <v>9.7450816707160282E-6</v>
      </c>
      <c r="BS68" s="22">
        <f t="shared" ref="BS68:BS131" si="63">SUM(BP68:BR68)</f>
        <v>159.95119935384847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13.8</v>
      </c>
      <c r="N69" s="13">
        <f>IF('Données projet'!$A$36&gt;35,N68+M69-V68,IF(A69&lt;'Données projet'!$A$36,$K$205^A69,IF(A69='Données projet'!$A$36,'Données projet'!$B$36,N68+M69-V68)))</f>
        <v>606.8000000000003</v>
      </c>
      <c r="O69" s="13">
        <f>N69*VLOOKUP('Données projet'!$B$9,Paramètres!$A$1:$I$89,3,0)*VLOOKUP('Données projet'!$B$9,Paramètres!$A$1:$I$89,5,0)</f>
        <v>362.86640000000023</v>
      </c>
      <c r="P69" s="13">
        <f t="shared" ref="P69:P132" si="87">EXP(-1.0587+0.8836*LN(O69)+0.284)</f>
        <v>84.206244461628913</v>
      </c>
      <c r="Q69" s="20">
        <f t="shared" si="54"/>
        <v>778.65152243733735</v>
      </c>
      <c r="R69" s="59">
        <f t="shared" si="55"/>
        <v>1071.9848557706707</v>
      </c>
      <c r="S69" s="59">
        <f ca="1">AVERAGE(OFFSET($R$3,0,0,'Données projet'!$E$9+1,1))-AVERAGE(OFFSET($H$3,0,0,'Données projet'!$E$9+1,1))</f>
        <v>430.93760474982633</v>
      </c>
      <c r="T69" s="59">
        <f t="shared" ref="T69:T132" si="88">$T$3</f>
        <v>371.5387876502981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90.704564016691975</v>
      </c>
      <c r="AA69" s="21">
        <f>EXP(-LN(2)/25)*AA68+(1-EXP(-LN(2)/25))/(LN(2)/25)*Calculateur!V69*Calculateur!X69*VLOOKUP('Données projet'!$B$9,Paramètres!$A$1:$I$89,3,0)*0.475*44/12</f>
        <v>21.70096127661963</v>
      </c>
      <c r="AB69" s="21">
        <f>EXP(-LN(2)/2)*AB68+(1-EXP(-LN(2)/2))/(LN(2)/2)*V69*Y69*VLOOKUP('Données projet'!$B$9,Paramètres!$A$1:$I$89,3,0)*0.475*44/12</f>
        <v>1.9975601679283405E-7</v>
      </c>
      <c r="AC69" s="22">
        <f t="shared" si="57"/>
        <v>112.40552549306761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304</v>
      </c>
      <c r="AJ69" s="13">
        <f>AI69*VLOOKUP('Données projet'!$B$10,Paramètres!$A$1:$I$89,3,0)*VLOOKUP('Données projet'!$B$10,Paramètres!$A$1:$I$89,5,0)</f>
        <v>189.696</v>
      </c>
      <c r="AK69" s="13">
        <f t="shared" ref="AK69:AK132" si="89">EXP(-1.0587+0.8836*LN(AJ69)+0.284)</f>
        <v>47.472736505152469</v>
      </c>
      <c r="AL69" s="20">
        <f t="shared" si="58"/>
        <v>413.06888274647389</v>
      </c>
      <c r="AM69" s="59">
        <f t="shared" si="59"/>
        <v>706.4022160798072</v>
      </c>
      <c r="AN69" s="59">
        <f ca="1">AVERAGE(OFFSET($AM$3,0,0,'Données projet'!$E$10+1,1))-AVERAGE(OFFSET($H$3,0,0,'Données projet'!$E$10+1,1))</f>
        <v>179.44051550872138</v>
      </c>
      <c r="AO69" s="59">
        <f t="shared" ref="AO69:AO132" si="90">$AO$3</f>
        <v>272.9500808380069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60.29005656151238</v>
      </c>
      <c r="AV69" s="21">
        <f>EXP(-LN(2)/25)*AV68+(1-EXP(-LN(2)/25))/(LN(2)/25)*Calculateur!AQ69*Calculateur!AS69*VLOOKUP('Données projet'!$B$10,Paramètres!$A$1:$I$89,3,0)*0.475*44/12</f>
        <v>17.834797777151234</v>
      </c>
      <c r="AW69" s="21">
        <f>EXP(-LN(2)/2)*AW68+(1-EXP(-LN(2)/2))/(LN(2)/2)*AQ69*AT69*VLOOKUP('Données projet'!$B$10,Paramètres!$A$1:$I$89,3,0)*0.475*44/12</f>
        <v>8.4222907263817205E-7</v>
      </c>
      <c r="AX69" s="21">
        <f t="shared" si="60"/>
        <v>78.124855180892681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16.667142857142867</v>
      </c>
      <c r="BD69" s="12">
        <f>IF('Données projet'!$A$88&gt;35,BD68+BC69-BL68,IF(A69&lt;'Données projet'!$A$88,$BA$205^A69,IF(A69='Données projet'!$A$88,'Données projet'!$B$88,BD68+BC69-BL68)))</f>
        <v>520.19142857142856</v>
      </c>
      <c r="BE69" s="13">
        <f>BD69*VLOOKUP('Données projet'!$B$11,Paramètres!$A$1:$I$89,3,0)*VLOOKUP('Données projet'!$B$11,Paramètres!$A$1:$I$89,5,0)</f>
        <v>290.7870085714286</v>
      </c>
      <c r="BF69" s="13">
        <f t="shared" ref="BF69:BF132" si="91">EXP(-1.0587+0.8836*LN(BE69)+0.284)</f>
        <v>69.241574468439893</v>
      </c>
      <c r="BG69" s="20">
        <f t="shared" si="61"/>
        <v>627.04978212777098</v>
      </c>
      <c r="BH69" s="59">
        <f t="shared" si="62"/>
        <v>920.38311546110435</v>
      </c>
      <c r="BI69" s="59">
        <f ca="1">AVERAGE(OFFSET($BH$3,0,0,'Données projet'!$E$11+1,1))-AVERAGE(OFFSET($H$3,0,0,'Données projet'!$E$11+1,1))</f>
        <v>321.85808080442411</v>
      </c>
      <c r="BJ69" s="59">
        <f t="shared" ref="BJ69:BJ132" si="92">$BJ$3</f>
        <v>285.95942591879702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147.16135817017437</v>
      </c>
      <c r="BQ69" s="21">
        <f>EXP(-LN(2)/25)*BQ68+(1-EXP(-LN(2)/25))/(LN(2)/25)*Calculateur!BL69*Calculateur!BN69*VLOOKUP('Données projet'!$B$11,Paramètres!$A$1:$I$89,3,0)*0.475*44/12</f>
        <v>9.5771179953922374</v>
      </c>
      <c r="BR69" s="21">
        <f>EXP(-LN(2)/2)*BR68+(1-EXP(-LN(2)/2))/(LN(2)/2)*BL69*BO69*VLOOKUP('Données projet'!$B$11,Paramètres!$A$1:$I$89,3,0)*0.475*44/12</f>
        <v>6.8908133325800336E-6</v>
      </c>
      <c r="BS69" s="22">
        <f t="shared" si="63"/>
        <v>156.73848305637992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13.8</v>
      </c>
      <c r="N70" s="13">
        <f>IF('Données projet'!$A$36&gt;35,N69+M70-V69,IF(A70&lt;'Données projet'!$A$36,$K$205^A70,IF(A70='Données projet'!$A$36,'Données projet'!$B$36,N69+M70-V69)))</f>
        <v>620.60000000000025</v>
      </c>
      <c r="O70" s="13">
        <f>N70*VLOOKUP('Données projet'!$B$9,Paramètres!$A$1:$I$89,3,0)*VLOOKUP('Données projet'!$B$9,Paramètres!$A$1:$I$89,5,0)</f>
        <v>371.11880000000014</v>
      </c>
      <c r="P70" s="13">
        <f t="shared" si="87"/>
        <v>85.896152691454745</v>
      </c>
      <c r="Q70" s="20">
        <f t="shared" si="54"/>
        <v>795.96770927095042</v>
      </c>
      <c r="R70" s="59">
        <f t="shared" si="55"/>
        <v>1089.3010426042838</v>
      </c>
      <c r="S70" s="59">
        <f ca="1">AVERAGE(OFFSET($R$3,0,0,'Données projet'!$E$9+1,1))-AVERAGE(OFFSET($H$3,0,0,'Données projet'!$E$9+1,1))</f>
        <v>430.93760474982633</v>
      </c>
      <c r="T70" s="59">
        <f t="shared" si="88"/>
        <v>371.5387876502981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88.925902840645875</v>
      </c>
      <c r="AA70" s="21">
        <f>EXP(-LN(2)/25)*AA69+(1-EXP(-LN(2)/25))/(LN(2)/25)*Calculateur!V70*Calculateur!X70*VLOOKUP('Données projet'!$B$9,Paramètres!$A$1:$I$89,3,0)*0.475*44/12</f>
        <v>21.107547349306511</v>
      </c>
      <c r="AB70" s="21">
        <f>EXP(-LN(2)/2)*AB69+(1-EXP(-LN(2)/2))/(LN(2)/2)*V70*Y70*VLOOKUP('Données projet'!$B$9,Paramètres!$A$1:$I$89,3,0)*0.475*44/12</f>
        <v>1.4124883405702681E-7</v>
      </c>
      <c r="AC70" s="22">
        <f t="shared" si="57"/>
        <v>110.03345033120122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304</v>
      </c>
      <c r="AJ70" s="13">
        <f>AI70*VLOOKUP('Données projet'!$B$10,Paramètres!$A$1:$I$89,3,0)*VLOOKUP('Données projet'!$B$10,Paramètres!$A$1:$I$89,5,0)</f>
        <v>189.696</v>
      </c>
      <c r="AK70" s="13">
        <f t="shared" si="89"/>
        <v>47.472736505152469</v>
      </c>
      <c r="AL70" s="20">
        <f t="shared" si="58"/>
        <v>413.06888274647389</v>
      </c>
      <c r="AM70" s="59">
        <f t="shared" si="59"/>
        <v>706.4022160798072</v>
      </c>
      <c r="AN70" s="59">
        <f ca="1">AVERAGE(OFFSET($AM$3,0,0,'Données projet'!$E$10+1,1))-AVERAGE(OFFSET($H$3,0,0,'Données projet'!$E$10+1,1))</f>
        <v>179.44051550872138</v>
      </c>
      <c r="AO70" s="59">
        <f t="shared" si="90"/>
        <v>272.9500808380069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59.107805325644563</v>
      </c>
      <c r="AV70" s="21">
        <f>EXP(-LN(2)/25)*AV69+(1-EXP(-LN(2)/25))/(LN(2)/25)*Calculateur!AQ70*Calculateur!AS70*VLOOKUP('Données projet'!$B$10,Paramètres!$A$1:$I$89,3,0)*0.475*44/12</f>
        <v>17.347104294043781</v>
      </c>
      <c r="AW70" s="21">
        <f>EXP(-LN(2)/2)*AW69+(1-EXP(-LN(2)/2))/(LN(2)/2)*AQ70*AT70*VLOOKUP('Données projet'!$B$10,Paramètres!$A$1:$I$89,3,0)*0.475*44/12</f>
        <v>5.9554588857490876E-7</v>
      </c>
      <c r="AX70" s="21">
        <f t="shared" si="60"/>
        <v>76.454910215234236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16.667142857142867</v>
      </c>
      <c r="BD70" s="12">
        <f>IF('Données projet'!$A$88&gt;35,BD69+BC70-BL69,IF(A70&lt;'Données projet'!$A$88,$BA$205^A70,IF(A70='Données projet'!$A$88,'Données projet'!$B$88,BD69+BC70-BL69)))</f>
        <v>536.85857142857139</v>
      </c>
      <c r="BE70" s="13">
        <f>BD70*VLOOKUP('Données projet'!$B$11,Paramètres!$A$1:$I$89,3,0)*VLOOKUP('Données projet'!$B$11,Paramètres!$A$1:$I$89,5,0)</f>
        <v>300.10394142857143</v>
      </c>
      <c r="BF70" s="13">
        <f t="shared" si="91"/>
        <v>71.198253152218015</v>
      </c>
      <c r="BG70" s="20">
        <f t="shared" si="61"/>
        <v>646.6846555615416</v>
      </c>
      <c r="BH70" s="59">
        <f t="shared" si="62"/>
        <v>940.01798889487486</v>
      </c>
      <c r="BI70" s="59">
        <f ca="1">AVERAGE(OFFSET($BH$3,0,0,'Données projet'!$E$11+1,1))-AVERAGE(OFFSET($H$3,0,0,'Données projet'!$E$11+1,1))</f>
        <v>321.85808080442411</v>
      </c>
      <c r="BJ70" s="59">
        <f t="shared" si="92"/>
        <v>285.95942591879702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144.2756136960227</v>
      </c>
      <c r="BQ70" s="21">
        <f>EXP(-LN(2)/25)*BQ69+(1-EXP(-LN(2)/25))/(LN(2)/25)*Calculateur!BL70*Calculateur!BN70*VLOOKUP('Données projet'!$B$11,Paramètres!$A$1:$I$89,3,0)*0.475*44/12</f>
        <v>9.3152312001694906</v>
      </c>
      <c r="BR70" s="21">
        <f>EXP(-LN(2)/2)*BR69+(1-EXP(-LN(2)/2))/(LN(2)/2)*BL70*BO70*VLOOKUP('Données projet'!$B$11,Paramètres!$A$1:$I$89,3,0)*0.475*44/12</f>
        <v>4.8725408353580141E-6</v>
      </c>
      <c r="BS70" s="22">
        <f t="shared" si="63"/>
        <v>153.59084976873302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13.8</v>
      </c>
      <c r="N71" s="13">
        <f>IF('Données projet'!$A$36&gt;35,N70+M71-V70,IF(A71&lt;'Données projet'!$A$36,$K$205^A71,IF(A71='Données projet'!$A$36,'Données projet'!$B$36,N70+M71-V70)))</f>
        <v>634.4000000000002</v>
      </c>
      <c r="O71" s="13">
        <f>N71*VLOOKUP('Données projet'!$B$9,Paramètres!$A$1:$I$89,3,0)*VLOOKUP('Données projet'!$B$9,Paramètres!$A$1:$I$89,5,0)</f>
        <v>379.37120000000016</v>
      </c>
      <c r="P71" s="13">
        <f t="shared" si="87"/>
        <v>87.58169214989708</v>
      </c>
      <c r="Q71" s="20">
        <f t="shared" si="54"/>
        <v>813.27628716107108</v>
      </c>
      <c r="R71" s="59">
        <f t="shared" si="55"/>
        <v>1106.6096204944045</v>
      </c>
      <c r="S71" s="59">
        <f ca="1">AVERAGE(OFFSET($R$3,0,0,'Données projet'!$E$9+1,1))-AVERAGE(OFFSET($H$3,0,0,'Données projet'!$E$9+1,1))</f>
        <v>430.93760474982633</v>
      </c>
      <c r="T71" s="59">
        <f t="shared" si="88"/>
        <v>371.5387876502981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87.182120125385836</v>
      </c>
      <c r="AA71" s="21">
        <f>EXP(-LN(2)/25)*AA70+(1-EXP(-LN(2)/25))/(LN(2)/25)*Calculateur!V71*Calculateur!X71*VLOOKUP('Données projet'!$B$9,Paramètres!$A$1:$I$89,3,0)*0.475*44/12</f>
        <v>20.530360357042053</v>
      </c>
      <c r="AB71" s="21">
        <f>EXP(-LN(2)/2)*AB70+(1-EXP(-LN(2)/2))/(LN(2)/2)*V71*Y71*VLOOKUP('Données projet'!$B$9,Paramètres!$A$1:$I$89,3,0)*0.475*44/12</f>
        <v>9.9878008396417023E-8</v>
      </c>
      <c r="AC71" s="22">
        <f t="shared" si="57"/>
        <v>107.7124805823059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304</v>
      </c>
      <c r="AJ71" s="13">
        <f>AI71*VLOOKUP('Données projet'!$B$10,Paramètres!$A$1:$I$89,3,0)*VLOOKUP('Données projet'!$B$10,Paramètres!$A$1:$I$89,5,0)</f>
        <v>189.696</v>
      </c>
      <c r="AK71" s="13">
        <f t="shared" si="89"/>
        <v>47.472736505152469</v>
      </c>
      <c r="AL71" s="20">
        <f t="shared" si="58"/>
        <v>413.06888274647389</v>
      </c>
      <c r="AM71" s="59">
        <f t="shared" si="59"/>
        <v>706.4022160798072</v>
      </c>
      <c r="AN71" s="59">
        <f ca="1">AVERAGE(OFFSET($AM$3,0,0,'Données projet'!$E$10+1,1))-AVERAGE(OFFSET($H$3,0,0,'Données projet'!$E$10+1,1))</f>
        <v>179.44051550872138</v>
      </c>
      <c r="AO71" s="59">
        <f t="shared" si="90"/>
        <v>272.9500808380069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57.948737315410064</v>
      </c>
      <c r="AV71" s="21">
        <f>EXP(-LN(2)/25)*AV70+(1-EXP(-LN(2)/25))/(LN(2)/25)*Calculateur!AQ71*Calculateur!AS71*VLOOKUP('Données projet'!$B$10,Paramètres!$A$1:$I$89,3,0)*0.475*44/12</f>
        <v>16.872746814878585</v>
      </c>
      <c r="AW71" s="21">
        <f>EXP(-LN(2)/2)*AW70+(1-EXP(-LN(2)/2))/(LN(2)/2)*AQ71*AT71*VLOOKUP('Données projet'!$B$10,Paramètres!$A$1:$I$89,3,0)*0.475*44/12</f>
        <v>4.2111453631908603E-7</v>
      </c>
      <c r="AX71" s="21">
        <f t="shared" si="60"/>
        <v>74.821484551403188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16.667142857142867</v>
      </c>
      <c r="BD71" s="12">
        <f>IF('Données projet'!$A$88&gt;35,BD70+BC71-BL70,IF(A71&lt;'Données projet'!$A$88,$BA$205^A71,IF(A71='Données projet'!$A$88,'Données projet'!$B$88,BD70+BC71-BL70)))</f>
        <v>553.52571428571423</v>
      </c>
      <c r="BE71" s="13">
        <f>BD71*VLOOKUP('Données projet'!$B$11,Paramètres!$A$1:$I$89,3,0)*VLOOKUP('Données projet'!$B$11,Paramètres!$A$1:$I$89,5,0)</f>
        <v>309.42087428571426</v>
      </c>
      <c r="BF71" s="13">
        <f t="shared" si="91"/>
        <v>73.14787251381523</v>
      </c>
      <c r="BG71" s="20">
        <f t="shared" si="61"/>
        <v>666.30723400918055</v>
      </c>
      <c r="BH71" s="59">
        <f t="shared" si="62"/>
        <v>959.6405673425138</v>
      </c>
      <c r="BI71" s="59">
        <f ca="1">AVERAGE(OFFSET($BH$3,0,0,'Données projet'!$E$11+1,1))-AVERAGE(OFFSET($H$3,0,0,'Données projet'!$E$11+1,1))</f>
        <v>321.85808080442411</v>
      </c>
      <c r="BJ71" s="59">
        <f t="shared" si="92"/>
        <v>285.95942591879702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141.44645691087882</v>
      </c>
      <c r="BQ71" s="21">
        <f>EXP(-LN(2)/25)*BQ70+(1-EXP(-LN(2)/25))/(LN(2)/25)*Calculateur!BL71*Calculateur!BN71*VLOOKUP('Données projet'!$B$11,Paramètres!$A$1:$I$89,3,0)*0.475*44/12</f>
        <v>9.0605057131341376</v>
      </c>
      <c r="BR71" s="21">
        <f>EXP(-LN(2)/2)*BR70+(1-EXP(-LN(2)/2))/(LN(2)/2)*BL71*BO71*VLOOKUP('Données projet'!$B$11,Paramètres!$A$1:$I$89,3,0)*0.475*44/12</f>
        <v>3.4454066662900168E-6</v>
      </c>
      <c r="BS71" s="22">
        <f t="shared" si="63"/>
        <v>150.50696606941963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13.8</v>
      </c>
      <c r="N72" s="13">
        <f>IF('Données projet'!$A$36&gt;35,N71+M72-V71,IF(A72&lt;'Données projet'!$A$36,$K$205^A72,IF(A72='Données projet'!$A$36,'Données projet'!$B$36,N71+M72-V71)))</f>
        <v>648.20000000000016</v>
      </c>
      <c r="O72" s="13">
        <f>N72*VLOOKUP('Données projet'!$B$9,Paramètres!$A$1:$I$89,3,0)*VLOOKUP('Données projet'!$B$9,Paramètres!$A$1:$I$89,5,0)</f>
        <v>387.62360000000012</v>
      </c>
      <c r="P72" s="13">
        <f t="shared" si="87"/>
        <v>89.262968814668071</v>
      </c>
      <c r="Q72" s="20">
        <f t="shared" si="54"/>
        <v>830.57744068554712</v>
      </c>
      <c r="R72" s="59">
        <f t="shared" si="55"/>
        <v>1123.9107740188804</v>
      </c>
      <c r="S72" s="59">
        <f ca="1">AVERAGE(OFFSET($R$3,0,0,'Données projet'!$E$9+1,1))-AVERAGE(OFFSET($H$3,0,0,'Données projet'!$E$9+1,1))</f>
        <v>430.93760474982633</v>
      </c>
      <c r="T72" s="59">
        <f t="shared" si="88"/>
        <v>371.5387876502981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85.472531925569612</v>
      </c>
      <c r="AA72" s="21">
        <f>EXP(-LN(2)/25)*AA71+(1-EXP(-LN(2)/25))/(LN(2)/25)*Calculateur!V72*Calculateur!X72*VLOOKUP('Données projet'!$B$9,Paramètres!$A$1:$I$89,3,0)*0.475*44/12</f>
        <v>19.96895657343401</v>
      </c>
      <c r="AB72" s="21">
        <f>EXP(-LN(2)/2)*AB71+(1-EXP(-LN(2)/2))/(LN(2)/2)*V72*Y72*VLOOKUP('Données projet'!$B$9,Paramètres!$A$1:$I$89,3,0)*0.475*44/12</f>
        <v>7.0624417028513407E-8</v>
      </c>
      <c r="AC72" s="22">
        <f t="shared" si="57"/>
        <v>105.44148856962805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304</v>
      </c>
      <c r="AJ72" s="13">
        <f>AI72*VLOOKUP('Données projet'!$B$10,Paramètres!$A$1:$I$89,3,0)*VLOOKUP('Données projet'!$B$10,Paramètres!$A$1:$I$89,5,0)</f>
        <v>189.696</v>
      </c>
      <c r="AK72" s="13">
        <f t="shared" si="89"/>
        <v>47.472736505152469</v>
      </c>
      <c r="AL72" s="20">
        <f t="shared" si="58"/>
        <v>413.06888274647389</v>
      </c>
      <c r="AM72" s="59">
        <f t="shared" si="59"/>
        <v>706.4022160798072</v>
      </c>
      <c r="AN72" s="59">
        <f ca="1">AVERAGE(OFFSET($AM$3,0,0,'Données projet'!$E$10+1,1))-AVERAGE(OFFSET($H$3,0,0,'Données projet'!$E$10+1,1))</f>
        <v>179.44051550872138</v>
      </c>
      <c r="AO72" s="59">
        <f t="shared" si="90"/>
        <v>272.9500808380069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56.812397921894579</v>
      </c>
      <c r="AV72" s="21">
        <f>EXP(-LN(2)/25)*AV71+(1-EXP(-LN(2)/25))/(LN(2)/25)*Calculateur!AQ72*Calculateur!AS72*VLOOKUP('Données projet'!$B$10,Paramètres!$A$1:$I$89,3,0)*0.475*44/12</f>
        <v>16.411360665926537</v>
      </c>
      <c r="AW72" s="21">
        <f>EXP(-LN(2)/2)*AW71+(1-EXP(-LN(2)/2))/(LN(2)/2)*AQ72*AT72*VLOOKUP('Données projet'!$B$10,Paramètres!$A$1:$I$89,3,0)*0.475*44/12</f>
        <v>2.9777294428745438E-7</v>
      </c>
      <c r="AX72" s="21">
        <f t="shared" si="60"/>
        <v>73.223758885594066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16.667142857142867</v>
      </c>
      <c r="BD72" s="12">
        <f>IF('Données projet'!$A$88&gt;35,BD71+BC72-BL71,IF(A72&lt;'Données projet'!$A$88,$BA$205^A72,IF(A72='Données projet'!$A$88,'Données projet'!$B$88,BD71+BC72-BL71)))</f>
        <v>570.19285714285706</v>
      </c>
      <c r="BE72" s="13">
        <f>BD72*VLOOKUP('Données projet'!$B$11,Paramètres!$A$1:$I$89,3,0)*VLOOKUP('Données projet'!$B$11,Paramètres!$A$1:$I$89,5,0)</f>
        <v>318.73780714285709</v>
      </c>
      <c r="BF72" s="13">
        <f t="shared" si="91"/>
        <v>75.090669515085651</v>
      </c>
      <c r="BG72" s="20">
        <f t="shared" si="61"/>
        <v>685.91793017925022</v>
      </c>
      <c r="BH72" s="59">
        <f t="shared" si="62"/>
        <v>979.25126351258359</v>
      </c>
      <c r="BI72" s="59">
        <f ca="1">AVERAGE(OFFSET($BH$3,0,0,'Données projet'!$E$11+1,1))-AVERAGE(OFFSET($H$3,0,0,'Données projet'!$E$11+1,1))</f>
        <v>321.85808080442411</v>
      </c>
      <c r="BJ72" s="59">
        <f t="shared" si="92"/>
        <v>285.95942591879702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138.67277816467637</v>
      </c>
      <c r="BQ72" s="21">
        <f>EXP(-LN(2)/25)*BQ71+(1-EXP(-LN(2)/25))/(LN(2)/25)*Calculateur!BL72*Calculateur!BN72*VLOOKUP('Données projet'!$B$11,Paramètres!$A$1:$I$89,3,0)*0.475*44/12</f>
        <v>8.8127457079371965</v>
      </c>
      <c r="BR72" s="21">
        <f>EXP(-LN(2)/2)*BR71+(1-EXP(-LN(2)/2))/(LN(2)/2)*BL72*BO72*VLOOKUP('Données projet'!$B$11,Paramètres!$A$1:$I$89,3,0)*0.475*44/12</f>
        <v>2.436270417679007E-6</v>
      </c>
      <c r="BS72" s="22">
        <f t="shared" si="63"/>
        <v>147.48552630888398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662</v>
      </c>
      <c r="L73" s="12">
        <f>VLOOKUP(A73,'Données projet'!$A$35:$I$55,9,0)</f>
        <v>13.8</v>
      </c>
      <c r="M73" s="12">
        <f t="array" ref="M73">INDEX(L:L,MIN(IF(ISNUMBER(L73:L269),ROW(L73:L269),"")))</f>
        <v>13.8</v>
      </c>
      <c r="N73" s="13">
        <f>IF('Données projet'!$A$36&gt;35,N72+M73-V72,IF(A73&lt;'Données projet'!$A$36,$K$205^A73,IF(A73='Données projet'!$A$36,'Données projet'!$B$36,N72+M73-V72)))</f>
        <v>662.00000000000011</v>
      </c>
      <c r="O73" s="13">
        <f>N73*VLOOKUP('Données projet'!$B$9,Paramètres!$A$1:$I$89,3,0)*VLOOKUP('Données projet'!$B$9,Paramètres!$A$1:$I$89,5,0)</f>
        <v>395.87600000000009</v>
      </c>
      <c r="P73" s="13">
        <f t="shared" si="87"/>
        <v>90.940083893210655</v>
      </c>
      <c r="Q73" s="20">
        <f t="shared" si="54"/>
        <v>847.8713461140087</v>
      </c>
      <c r="R73" s="59">
        <f t="shared" si="55"/>
        <v>1141.204679447342</v>
      </c>
      <c r="S73" s="59">
        <f ca="1">AVERAGE(OFFSET($R$3,0,0,'Données projet'!$E$9+1,1))-AVERAGE(OFFSET($H$3,0,0,'Données projet'!$E$9+1,1))</f>
        <v>430.93760474982633</v>
      </c>
      <c r="T73" s="59">
        <f t="shared" si="88"/>
        <v>371.5387876502981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31</v>
      </c>
      <c r="W73" s="16">
        <f>IF(ISNA(VLOOKUP(A73,'Données projet'!$A$35:$I$55,5,0)),0%,VLOOKUP(A73,'Données projet'!$A$35:$I$55,5,0)*VLOOKUP('Données projet'!$B$9,Paramètres!$A$1:$I$89,7,0))</f>
        <v>0.45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94.862801051328148</v>
      </c>
      <c r="AA73" s="21">
        <f>EXP(-LN(2)/25)*AA72+(1-EXP(-LN(2)/25))/(LN(2)/25)*Calculateur!V73*Calculateur!X73*VLOOKUP('Données projet'!$B$9,Paramètres!$A$1:$I$89,3,0)*0.475*44/12</f>
        <v>19.422904405811671</v>
      </c>
      <c r="AB73" s="21">
        <f>EXP(-LN(2)/2)*AB72+(1-EXP(-LN(2)/2))/(LN(2)/2)*V73*Y73*VLOOKUP('Données projet'!$B$9,Paramètres!$A$1:$I$89,3,0)*0.475*44/12</f>
        <v>4.9939004198208511E-8</v>
      </c>
      <c r="AC73" s="22">
        <f t="shared" si="57"/>
        <v>114.28570550707882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304</v>
      </c>
      <c r="AJ73" s="13">
        <f>AI73*VLOOKUP('Données projet'!$B$10,Paramètres!$A$1:$I$89,3,0)*VLOOKUP('Données projet'!$B$10,Paramètres!$A$1:$I$89,5,0)</f>
        <v>189.696</v>
      </c>
      <c r="AK73" s="13">
        <f t="shared" si="89"/>
        <v>47.472736505152469</v>
      </c>
      <c r="AL73" s="20">
        <f t="shared" si="58"/>
        <v>413.06888274647389</v>
      </c>
      <c r="AM73" s="59">
        <f t="shared" si="59"/>
        <v>706.4022160798072</v>
      </c>
      <c r="AN73" s="59">
        <f ca="1">AVERAGE(OFFSET($AM$3,0,0,'Données projet'!$E$10+1,1))-AVERAGE(OFFSET($H$3,0,0,'Données projet'!$E$10+1,1))</f>
        <v>179.44051550872138</v>
      </c>
      <c r="AO73" s="59">
        <f t="shared" si="90"/>
        <v>272.9500808380069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55.698341450787346</v>
      </c>
      <c r="AV73" s="21">
        <f>EXP(-LN(2)/25)*AV72+(1-EXP(-LN(2)/25))/(LN(2)/25)*Calculateur!AQ73*Calculateur!AS73*VLOOKUP('Données projet'!$B$10,Paramètres!$A$1:$I$89,3,0)*0.475*44/12</f>
        <v>15.962591145480827</v>
      </c>
      <c r="AW73" s="21">
        <f>EXP(-LN(2)/2)*AW72+(1-EXP(-LN(2)/2))/(LN(2)/2)*AQ73*AT73*VLOOKUP('Données projet'!$B$10,Paramètres!$A$1:$I$89,3,0)*0.475*44/12</f>
        <v>2.1055726815954301E-7</v>
      </c>
      <c r="AX73" s="21">
        <f t="shared" si="60"/>
        <v>71.660932806825443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586.86</v>
      </c>
      <c r="BB73" s="12">
        <f>VLOOKUP(A73,'Données projet'!$A$87:$I$107,9,0)</f>
        <v>16.667142857142867</v>
      </c>
      <c r="BC73" s="12">
        <f t="array" ref="BC73">INDEX(BB:BB,MIN(IF(ISNUMBER(BB73:BB269),ROW(BB73:BB269),"")))</f>
        <v>16.667142857142867</v>
      </c>
      <c r="BD73" s="12">
        <f>IF('Données projet'!$A$88&gt;35,BD72+BC73-BL72,IF(A73&lt;'Données projet'!$A$88,$BA$205^A73,IF(A73='Données projet'!$A$88,'Données projet'!$B$88,BD72+BC73-BL72)))</f>
        <v>586.8599999999999</v>
      </c>
      <c r="BE73" s="13">
        <f>BD73*VLOOKUP('Données projet'!$B$11,Paramètres!$A$1:$I$89,3,0)*VLOOKUP('Données projet'!$B$11,Paramètres!$A$1:$I$89,5,0)</f>
        <v>328.05473999999998</v>
      </c>
      <c r="BF73" s="13">
        <f t="shared" si="91"/>
        <v>77.026866477102047</v>
      </c>
      <c r="BG73" s="20">
        <f t="shared" si="61"/>
        <v>705.51713128095264</v>
      </c>
      <c r="BH73" s="59">
        <f t="shared" si="62"/>
        <v>998.85046461428601</v>
      </c>
      <c r="BI73" s="59">
        <f ca="1">AVERAGE(OFFSET($BH$3,0,0,'Données projet'!$E$11+1,1))-AVERAGE(OFFSET($H$3,0,0,'Données projet'!$E$11+1,1))</f>
        <v>321.85808080442411</v>
      </c>
      <c r="BJ73" s="59">
        <f t="shared" si="92"/>
        <v>285.95942591879702</v>
      </c>
      <c r="BK73" s="15">
        <f>IF(ISNA(VLOOKUP(A73,'Données projet'!$A$87:$I$107,3,0)),0,VLOOKUP(A73,'Données projet'!$A$87:$I$107,3,0))</f>
        <v>8</v>
      </c>
      <c r="BL73" s="15">
        <f>IF(ISNA(VLOOKUP(A73,'Données projet'!$A$87:$I$107,4,0)),0,VLOOKUP(A73,'Données projet'!$A$87:$I$107,4,0))</f>
        <v>586.05999999999995</v>
      </c>
      <c r="BM73" s="16">
        <f>IF(ISNA(VLOOKUP(A73,'Données projet'!$A$87:$I$107,5,0)),0%,VLOOKUP(A73,'Données projet'!$A$87:$I$107,5,0)*VLOOKUP('Données projet'!$B$11,Paramètres!$A$1:$I$89,7,0))</f>
        <v>0.55000000000000004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374.97937441080296</v>
      </c>
      <c r="BQ73" s="21">
        <f>EXP(-LN(2)/25)*BQ72+(1-EXP(-LN(2)/25))/(LN(2)/25)*Calculateur!BL73*Calculateur!BN73*VLOOKUP('Données projet'!$B$11,Paramètres!$A$1:$I$89,3,0)*0.475*44/12</f>
        <v>8.5717607131114981</v>
      </c>
      <c r="BR73" s="21">
        <f>EXP(-LN(2)/2)*BR72+(1-EXP(-LN(2)/2))/(LN(2)/2)*BL73*BO73*VLOOKUP('Données projet'!$B$11,Paramètres!$A$1:$I$89,3,0)*0.475*44/12</f>
        <v>1.7227033331450084E-6</v>
      </c>
      <c r="BS73" s="22">
        <f t="shared" si="63"/>
        <v>383.55113684661779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12.4</v>
      </c>
      <c r="N74" s="13">
        <f>IF('Données projet'!$A$36&gt;35,N73+M74-V73,IF(A74&lt;'Données projet'!$A$36,$K$205^A74,IF(A74='Données projet'!$A$36,'Données projet'!$B$36,N73+M74-V73)))</f>
        <v>643.40000000000009</v>
      </c>
      <c r="O74" s="13">
        <f>N74*VLOOKUP('Données projet'!$B$9,Paramètres!$A$1:$I$89,3,0)*VLOOKUP('Données projet'!$B$9,Paramètres!$A$1:$I$89,5,0)</f>
        <v>384.75320000000011</v>
      </c>
      <c r="P74" s="13">
        <f t="shared" si="87"/>
        <v>88.678654005282596</v>
      </c>
      <c r="Q74" s="20">
        <f t="shared" si="54"/>
        <v>824.5604790592007</v>
      </c>
      <c r="R74" s="59">
        <f t="shared" si="55"/>
        <v>1117.8938123925341</v>
      </c>
      <c r="S74" s="59">
        <f ca="1">AVERAGE(OFFSET($R$3,0,0,'Données projet'!$E$9+1,1))-AVERAGE(OFFSET($H$3,0,0,'Données projet'!$E$9+1,1))</f>
        <v>430.93760474982633</v>
      </c>
      <c r="T74" s="59">
        <f t="shared" si="88"/>
        <v>371.5387876502981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93.002599383306986</v>
      </c>
      <c r="AA74" s="21">
        <f>EXP(-LN(2)/25)*AA73+(1-EXP(-LN(2)/25))/(LN(2)/25)*Calculateur!V74*Calculateur!X74*VLOOKUP('Données projet'!$B$9,Paramètres!$A$1:$I$89,3,0)*0.475*44/12</f>
        <v>18.891784063428599</v>
      </c>
      <c r="AB74" s="21">
        <f>EXP(-LN(2)/2)*AB73+(1-EXP(-LN(2)/2))/(LN(2)/2)*V74*Y74*VLOOKUP('Données projet'!$B$9,Paramètres!$A$1:$I$89,3,0)*0.475*44/12</f>
        <v>3.5312208514256703E-8</v>
      </c>
      <c r="AC74" s="22">
        <f t="shared" si="57"/>
        <v>111.8943834820478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304</v>
      </c>
      <c r="AJ74" s="13">
        <f>AI74*VLOOKUP('Données projet'!$B$10,Paramètres!$A$1:$I$89,3,0)*VLOOKUP('Données projet'!$B$10,Paramètres!$A$1:$I$89,5,0)</f>
        <v>189.696</v>
      </c>
      <c r="AK74" s="13">
        <f t="shared" si="89"/>
        <v>47.472736505152469</v>
      </c>
      <c r="AL74" s="20">
        <f t="shared" si="58"/>
        <v>413.06888274647389</v>
      </c>
      <c r="AM74" s="59">
        <f t="shared" si="59"/>
        <v>706.4022160798072</v>
      </c>
      <c r="AN74" s="59">
        <f ca="1">AVERAGE(OFFSET($AM$3,0,0,'Données projet'!$E$10+1,1))-AVERAGE(OFFSET($H$3,0,0,'Données projet'!$E$10+1,1))</f>
        <v>179.44051550872138</v>
      </c>
      <c r="AO74" s="59">
        <f t="shared" si="90"/>
        <v>272.9500808380069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54.606130947571174</v>
      </c>
      <c r="AV74" s="21">
        <f>EXP(-LN(2)/25)*AV73+(1-EXP(-LN(2)/25))/(LN(2)/25)*Calculateur!AQ74*Calculateur!AS74*VLOOKUP('Données projet'!$B$10,Paramètres!$A$1:$I$89,3,0)*0.475*44/12</f>
        <v>15.526093251171469</v>
      </c>
      <c r="AW74" s="21">
        <f>EXP(-LN(2)/2)*AW73+(1-EXP(-LN(2)/2))/(LN(2)/2)*AQ74*AT74*VLOOKUP('Données projet'!$B$10,Paramètres!$A$1:$I$89,3,0)*0.475*44/12</f>
        <v>1.4888647214372719E-7</v>
      </c>
      <c r="AX74" s="21">
        <f t="shared" si="60"/>
        <v>70.132224347629119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0.79999999999995453</v>
      </c>
      <c r="BE74" s="13">
        <f>BD74*VLOOKUP('Données projet'!$B$11,Paramètres!$A$1:$I$89,3,0)*VLOOKUP('Données projet'!$B$11,Paramètres!$A$1:$I$89,5,0)</f>
        <v>0.44719999999997456</v>
      </c>
      <c r="BF74" s="13">
        <f t="shared" si="91"/>
        <v>0.22632652264063857</v>
      </c>
      <c r="BG74" s="20">
        <f t="shared" si="61"/>
        <v>1.1730586935990679</v>
      </c>
      <c r="BH74" s="59">
        <f t="shared" si="62"/>
        <v>294.50639202693236</v>
      </c>
      <c r="BI74" s="59">
        <f ca="1">AVERAGE(OFFSET($BH$3,0,0,'Données projet'!$E$11+1,1))-AVERAGE(OFFSET($H$3,0,0,'Données projet'!$E$11+1,1))</f>
        <v>321.85808080442411</v>
      </c>
      <c r="BJ74" s="59">
        <f t="shared" si="92"/>
        <v>285.95942591879702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367.62625759344178</v>
      </c>
      <c r="BQ74" s="21">
        <f>EXP(-LN(2)/25)*BQ73+(1-EXP(-LN(2)/25))/(LN(2)/25)*Calculateur!BL74*Calculateur!BN74*VLOOKUP('Données projet'!$B$11,Paramètres!$A$1:$I$89,3,0)*0.475*44/12</f>
        <v>8.3373654656421596</v>
      </c>
      <c r="BR74" s="21">
        <f>EXP(-LN(2)/2)*BR73+(1-EXP(-LN(2)/2))/(LN(2)/2)*BL74*BO74*VLOOKUP('Données projet'!$B$11,Paramètres!$A$1:$I$89,3,0)*0.475*44/12</f>
        <v>1.2181352088395035E-6</v>
      </c>
      <c r="BS74" s="22">
        <f t="shared" si="63"/>
        <v>375.96362427721914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12.4</v>
      </c>
      <c r="N75" s="13">
        <f>IF('Données projet'!$A$36&gt;35,N74+M75-V74,IF(A75&lt;'Données projet'!$A$36,$K$205^A75,IF(A75='Données projet'!$A$36,'Données projet'!$B$36,N74+M75-V74)))</f>
        <v>655.80000000000007</v>
      </c>
      <c r="O75" s="13">
        <f>N75*VLOOKUP('Données projet'!$B$9,Paramètres!$A$1:$I$89,3,0)*VLOOKUP('Données projet'!$B$9,Paramètres!$A$1:$I$89,5,0)</f>
        <v>392.16840000000008</v>
      </c>
      <c r="P75" s="13">
        <f t="shared" si="87"/>
        <v>90.187105966373196</v>
      </c>
      <c r="Q75" s="20">
        <f t="shared" si="54"/>
        <v>840.10250622476667</v>
      </c>
      <c r="R75" s="59">
        <f t="shared" si="55"/>
        <v>1133.4358395581</v>
      </c>
      <c r="S75" s="59">
        <f ca="1">AVERAGE(OFFSET($R$3,0,0,'Données projet'!$E$9+1,1))-AVERAGE(OFFSET($H$3,0,0,'Données projet'!$E$9+1,1))</f>
        <v>430.93760474982633</v>
      </c>
      <c r="T75" s="59">
        <f t="shared" si="88"/>
        <v>371.5387876502981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91.178875135384729</v>
      </c>
      <c r="AA75" s="21">
        <f>EXP(-LN(2)/25)*AA74+(1-EXP(-LN(2)/25))/(LN(2)/25)*Calculateur!V75*Calculateur!X75*VLOOKUP('Données projet'!$B$9,Paramètres!$A$1:$I$89,3,0)*0.475*44/12</f>
        <v>18.375187234738398</v>
      </c>
      <c r="AB75" s="21">
        <f>EXP(-LN(2)/2)*AB74+(1-EXP(-LN(2)/2))/(LN(2)/2)*V75*Y75*VLOOKUP('Données projet'!$B$9,Paramètres!$A$1:$I$89,3,0)*0.475*44/12</f>
        <v>2.4969502099104256E-8</v>
      </c>
      <c r="AC75" s="22">
        <f t="shared" si="57"/>
        <v>109.55406239509263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304</v>
      </c>
      <c r="AJ75" s="13">
        <f>AI75*VLOOKUP('Données projet'!$B$10,Paramètres!$A$1:$I$89,3,0)*VLOOKUP('Données projet'!$B$10,Paramètres!$A$1:$I$89,5,0)</f>
        <v>189.696</v>
      </c>
      <c r="AK75" s="13">
        <f t="shared" si="89"/>
        <v>47.472736505152469</v>
      </c>
      <c r="AL75" s="20">
        <f t="shared" si="58"/>
        <v>413.06888274647389</v>
      </c>
      <c r="AM75" s="59">
        <f t="shared" si="59"/>
        <v>706.4022160798072</v>
      </c>
      <c r="AN75" s="59">
        <f ca="1">AVERAGE(OFFSET($AM$3,0,0,'Données projet'!$E$10+1,1))-AVERAGE(OFFSET($H$3,0,0,'Données projet'!$E$10+1,1))</f>
        <v>179.44051550872138</v>
      </c>
      <c r="AO75" s="59">
        <f t="shared" si="90"/>
        <v>272.9500808380069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53.535338026140444</v>
      </c>
      <c r="AV75" s="21">
        <f>EXP(-LN(2)/25)*AV74+(1-EXP(-LN(2)/25))/(LN(2)/25)*Calculateur!AQ75*Calculateur!AS75*VLOOKUP('Données projet'!$B$10,Paramètres!$A$1:$I$89,3,0)*0.475*44/12</f>
        <v>15.101531414736426</v>
      </c>
      <c r="AW75" s="21">
        <f>EXP(-LN(2)/2)*AW74+(1-EXP(-LN(2)/2))/(LN(2)/2)*AQ75*AT75*VLOOKUP('Données projet'!$B$10,Paramètres!$A$1:$I$89,3,0)*0.475*44/12</f>
        <v>1.0527863407977151E-7</v>
      </c>
      <c r="AX75" s="21">
        <f t="shared" si="60"/>
        <v>68.636869546155495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0.79999999999995453</v>
      </c>
      <c r="BE75" s="13">
        <f>BD75*VLOOKUP('Données projet'!$B$11,Paramètres!$A$1:$I$89,3,0)*VLOOKUP('Données projet'!$B$11,Paramètres!$A$1:$I$89,5,0)</f>
        <v>0.44719999999997456</v>
      </c>
      <c r="BF75" s="13">
        <f t="shared" si="91"/>
        <v>0.22632652264063857</v>
      </c>
      <c r="BG75" s="20">
        <f t="shared" si="61"/>
        <v>1.1730586935990679</v>
      </c>
      <c r="BH75" s="59">
        <f t="shared" si="62"/>
        <v>294.50639202693236</v>
      </c>
      <c r="BI75" s="59">
        <f ca="1">AVERAGE(OFFSET($BH$3,0,0,'Données projet'!$E$11+1,1))-AVERAGE(OFFSET($H$3,0,0,'Données projet'!$E$11+1,1))</f>
        <v>321.85808080442411</v>
      </c>
      <c r="BJ75" s="59">
        <f t="shared" si="92"/>
        <v>285.95942591879702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360.41733091191065</v>
      </c>
      <c r="BQ75" s="21">
        <f>EXP(-LN(2)/25)*BQ74+(1-EXP(-LN(2)/25))/(LN(2)/25)*Calculateur!BL75*Calculateur!BN75*VLOOKUP('Données projet'!$B$11,Paramètres!$A$1:$I$89,3,0)*0.475*44/12</f>
        <v>8.1093797685411797</v>
      </c>
      <c r="BR75" s="21">
        <f>EXP(-LN(2)/2)*BR74+(1-EXP(-LN(2)/2))/(LN(2)/2)*BL75*BO75*VLOOKUP('Données projet'!$B$11,Paramètres!$A$1:$I$89,3,0)*0.475*44/12</f>
        <v>8.613516665725042E-7</v>
      </c>
      <c r="BS75" s="22">
        <f t="shared" si="63"/>
        <v>368.52671154180354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12.4</v>
      </c>
      <c r="N76" s="13">
        <f>IF('Données projet'!$A$36&gt;35,N75+M76-V75,IF(A76&lt;'Données projet'!$A$36,$K$205^A76,IF(A76='Données projet'!$A$36,'Données projet'!$B$36,N75+M76-V75)))</f>
        <v>668.2</v>
      </c>
      <c r="O76" s="13">
        <f>N76*VLOOKUP('Données projet'!$B$9,Paramètres!$A$1:$I$89,3,0)*VLOOKUP('Données projet'!$B$9,Paramètres!$A$1:$I$89,5,0)</f>
        <v>399.58360000000005</v>
      </c>
      <c r="P76" s="13">
        <f t="shared" si="87"/>
        <v>91.692241394947928</v>
      </c>
      <c r="Q76" s="20">
        <f t="shared" si="54"/>
        <v>855.63875709620106</v>
      </c>
      <c r="R76" s="59">
        <f t="shared" si="55"/>
        <v>1148.9720904295343</v>
      </c>
      <c r="S76" s="59">
        <f ca="1">AVERAGE(OFFSET($R$3,0,0,'Données projet'!$E$9+1,1))-AVERAGE(OFFSET($H$3,0,0,'Données projet'!$E$9+1,1))</f>
        <v>430.93760474982633</v>
      </c>
      <c r="T76" s="59">
        <f t="shared" si="88"/>
        <v>371.5387876502981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89.390913007602279</v>
      </c>
      <c r="AA76" s="21">
        <f>EXP(-LN(2)/25)*AA75+(1-EXP(-LN(2)/25))/(LN(2)/25)*Calculateur!V76*Calculateur!X76*VLOOKUP('Données projet'!$B$9,Paramètres!$A$1:$I$89,3,0)*0.475*44/12</f>
        <v>17.872716773495377</v>
      </c>
      <c r="AB76" s="21">
        <f>EXP(-LN(2)/2)*AB75+(1-EXP(-LN(2)/2))/(LN(2)/2)*V76*Y76*VLOOKUP('Données projet'!$B$9,Paramètres!$A$1:$I$89,3,0)*0.475*44/12</f>
        <v>1.7656104257128352E-8</v>
      </c>
      <c r="AC76" s="22">
        <f t="shared" si="57"/>
        <v>107.26362979875375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304</v>
      </c>
      <c r="AJ76" s="13">
        <f>AI76*VLOOKUP('Données projet'!$B$10,Paramètres!$A$1:$I$89,3,0)*VLOOKUP('Données projet'!$B$10,Paramètres!$A$1:$I$89,5,0)</f>
        <v>189.696</v>
      </c>
      <c r="AK76" s="13">
        <f t="shared" si="89"/>
        <v>47.472736505152469</v>
      </c>
      <c r="AL76" s="20">
        <f t="shared" si="58"/>
        <v>413.06888274647389</v>
      </c>
      <c r="AM76" s="59">
        <f t="shared" si="59"/>
        <v>706.4022160798072</v>
      </c>
      <c r="AN76" s="59">
        <f ca="1">AVERAGE(OFFSET($AM$3,0,0,'Données projet'!$E$10+1,1))-AVERAGE(OFFSET($H$3,0,0,'Données projet'!$E$10+1,1))</f>
        <v>179.44051550872138</v>
      </c>
      <c r="AO76" s="59">
        <f t="shared" si="90"/>
        <v>272.9500808380069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52.485542700779774</v>
      </c>
      <c r="AV76" s="21">
        <f>EXP(-LN(2)/25)*AV75+(1-EXP(-LN(2)/25))/(LN(2)/25)*Calculateur!AQ76*Calculateur!AS76*VLOOKUP('Données projet'!$B$10,Paramètres!$A$1:$I$89,3,0)*0.475*44/12</f>
        <v>14.688579244045437</v>
      </c>
      <c r="AW76" s="21">
        <f>EXP(-LN(2)/2)*AW75+(1-EXP(-LN(2)/2))/(LN(2)/2)*AQ76*AT76*VLOOKUP('Données projet'!$B$10,Paramètres!$A$1:$I$89,3,0)*0.475*44/12</f>
        <v>7.4443236071863595E-8</v>
      </c>
      <c r="AX76" s="21">
        <f t="shared" si="60"/>
        <v>67.174122019268452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0.79999999999995453</v>
      </c>
      <c r="BE76" s="13">
        <f>BD76*VLOOKUP('Données projet'!$B$11,Paramètres!$A$1:$I$89,3,0)*VLOOKUP('Données projet'!$B$11,Paramètres!$A$1:$I$89,5,0)</f>
        <v>0.44719999999997456</v>
      </c>
      <c r="BF76" s="13">
        <f t="shared" si="91"/>
        <v>0.22632652264063857</v>
      </c>
      <c r="BG76" s="20">
        <f t="shared" si="61"/>
        <v>1.1730586935990679</v>
      </c>
      <c r="BH76" s="59">
        <f t="shared" si="62"/>
        <v>294.50639202693236</v>
      </c>
      <c r="BI76" s="59">
        <f ca="1">AVERAGE(OFFSET($BH$3,0,0,'Données projet'!$E$11+1,1))-AVERAGE(OFFSET($H$3,0,0,'Données projet'!$E$11+1,1))</f>
        <v>321.85808080442411</v>
      </c>
      <c r="BJ76" s="59">
        <f t="shared" si="92"/>
        <v>285.95942591879702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353.34976688559323</v>
      </c>
      <c r="BQ76" s="21">
        <f>EXP(-LN(2)/25)*BQ75+(1-EXP(-LN(2)/25))/(LN(2)/25)*Calculateur!BL76*Calculateur!BN76*VLOOKUP('Données projet'!$B$11,Paramètres!$A$1:$I$89,3,0)*0.475*44/12</f>
        <v>7.887628352316673</v>
      </c>
      <c r="BR76" s="21">
        <f>EXP(-LN(2)/2)*BR75+(1-EXP(-LN(2)/2))/(LN(2)/2)*BL76*BO76*VLOOKUP('Données projet'!$B$11,Paramètres!$A$1:$I$89,3,0)*0.475*44/12</f>
        <v>6.0906760441975176E-7</v>
      </c>
      <c r="BS76" s="22">
        <f t="shared" si="63"/>
        <v>361.23739584697751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12.4</v>
      </c>
      <c r="N77" s="13">
        <f>IF('Données projet'!$A$36&gt;35,N76+M77-V76,IF(A77&lt;'Données projet'!$A$36,$K$205^A77,IF(A77='Données projet'!$A$36,'Données projet'!$B$36,N76+M77-V76)))</f>
        <v>680.6</v>
      </c>
      <c r="O77" s="13">
        <f>N77*VLOOKUP('Données projet'!$B$9,Paramètres!$A$1:$I$89,3,0)*VLOOKUP('Données projet'!$B$9,Paramètres!$A$1:$I$89,5,0)</f>
        <v>406.99880000000002</v>
      </c>
      <c r="P77" s="13">
        <f t="shared" si="87"/>
        <v>93.194128934694703</v>
      </c>
      <c r="Q77" s="20">
        <f t="shared" si="54"/>
        <v>871.16935122792665</v>
      </c>
      <c r="R77" s="59">
        <f t="shared" si="55"/>
        <v>1164.5026845612599</v>
      </c>
      <c r="S77" s="59">
        <f ca="1">AVERAGE(OFFSET($R$3,0,0,'Données projet'!$E$9+1,1))-AVERAGE(OFFSET($H$3,0,0,'Données projet'!$E$9+1,1))</f>
        <v>430.93760474982633</v>
      </c>
      <c r="T77" s="59">
        <f t="shared" si="88"/>
        <v>371.5387876502981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87.638011726596432</v>
      </c>
      <c r="AA77" s="21">
        <f>EXP(-LN(2)/25)*AA76+(1-EXP(-LN(2)/25))/(LN(2)/25)*Calculateur!V77*Calculateur!X77*VLOOKUP('Données projet'!$B$9,Paramètres!$A$1:$I$89,3,0)*0.475*44/12</f>
        <v>17.383986393438818</v>
      </c>
      <c r="AB77" s="21">
        <f>EXP(-LN(2)/2)*AB76+(1-EXP(-LN(2)/2))/(LN(2)/2)*V77*Y77*VLOOKUP('Données projet'!$B$9,Paramètres!$A$1:$I$89,3,0)*0.475*44/12</f>
        <v>1.2484751049552128E-8</v>
      </c>
      <c r="AC77" s="22">
        <f t="shared" si="57"/>
        <v>105.02199813252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304</v>
      </c>
      <c r="AJ77" s="13">
        <f>AI77*VLOOKUP('Données projet'!$B$10,Paramètres!$A$1:$I$89,3,0)*VLOOKUP('Données projet'!$B$10,Paramètres!$A$1:$I$89,5,0)</f>
        <v>189.696</v>
      </c>
      <c r="AK77" s="13">
        <f t="shared" si="89"/>
        <v>47.472736505152469</v>
      </c>
      <c r="AL77" s="20">
        <f t="shared" si="58"/>
        <v>413.06888274647389</v>
      </c>
      <c r="AM77" s="59">
        <f t="shared" si="59"/>
        <v>706.4022160798072</v>
      </c>
      <c r="AN77" s="59">
        <f ca="1">AVERAGE(OFFSET($AM$3,0,0,'Données projet'!$E$10+1,1))-AVERAGE(OFFSET($H$3,0,0,'Données projet'!$E$10+1,1))</f>
        <v>179.44051550872138</v>
      </c>
      <c r="AO77" s="59">
        <f t="shared" si="90"/>
        <v>272.9500808380069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51.456333221437504</v>
      </c>
      <c r="AV77" s="21">
        <f>EXP(-LN(2)/25)*AV76+(1-EXP(-LN(2)/25))/(LN(2)/25)*Calculateur!AQ77*Calculateur!AS77*VLOOKUP('Données projet'!$B$10,Paramètres!$A$1:$I$89,3,0)*0.475*44/12</f>
        <v>14.286919272178203</v>
      </c>
      <c r="AW77" s="21">
        <f>EXP(-LN(2)/2)*AW76+(1-EXP(-LN(2)/2))/(LN(2)/2)*AQ77*AT77*VLOOKUP('Données projet'!$B$10,Paramètres!$A$1:$I$89,3,0)*0.475*44/12</f>
        <v>5.2639317039885753E-8</v>
      </c>
      <c r="AX77" s="21">
        <f t="shared" si="60"/>
        <v>65.743252546255022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0.79999999999995453</v>
      </c>
      <c r="BE77" s="13">
        <f>BD77*VLOOKUP('Données projet'!$B$11,Paramètres!$A$1:$I$89,3,0)*VLOOKUP('Données projet'!$B$11,Paramètres!$A$1:$I$89,5,0)</f>
        <v>0.44719999999997456</v>
      </c>
      <c r="BF77" s="13">
        <f t="shared" si="91"/>
        <v>0.22632652264063857</v>
      </c>
      <c r="BG77" s="20">
        <f t="shared" si="61"/>
        <v>1.1730586935990679</v>
      </c>
      <c r="BH77" s="59">
        <f t="shared" si="62"/>
        <v>294.50639202693236</v>
      </c>
      <c r="BI77" s="59">
        <f ca="1">AVERAGE(OFFSET($BH$3,0,0,'Données projet'!$E$11+1,1))-AVERAGE(OFFSET($H$3,0,0,'Données projet'!$E$11+1,1))</f>
        <v>321.85808080442411</v>
      </c>
      <c r="BJ77" s="59">
        <f t="shared" si="92"/>
        <v>285.95942591879702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346.42079347904348</v>
      </c>
      <c r="BQ77" s="21">
        <f>EXP(-LN(2)/25)*BQ76+(1-EXP(-LN(2)/25))/(LN(2)/25)*Calculateur!BL77*Calculateur!BN77*VLOOKUP('Données projet'!$B$11,Paramètres!$A$1:$I$89,3,0)*0.475*44/12</f>
        <v>7.6719407402302258</v>
      </c>
      <c r="BR77" s="21">
        <f>EXP(-LN(2)/2)*BR76+(1-EXP(-LN(2)/2))/(LN(2)/2)*BL77*BO77*VLOOKUP('Données projet'!$B$11,Paramètres!$A$1:$I$89,3,0)*0.475*44/12</f>
        <v>4.306758332862521E-7</v>
      </c>
      <c r="BS77" s="22">
        <f t="shared" si="63"/>
        <v>354.09273464994953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693</v>
      </c>
      <c r="L78" s="12">
        <f>VLOOKUP(A78,'Données projet'!$A$35:$I$55,9,0)</f>
        <v>12.4</v>
      </c>
      <c r="M78" s="12">
        <f t="array" ref="M78">INDEX(L:L,MIN(IF(ISNUMBER(L78:L274),ROW(L78:L274),"")))</f>
        <v>12.4</v>
      </c>
      <c r="N78" s="13">
        <f>IF('Données projet'!$A$36&gt;35,N77+M78-V77,IF(A78&lt;'Données projet'!$A$36,$K$205^A78,IF(A78='Données projet'!$A$36,'Données projet'!$B$36,N77+M78-V77)))</f>
        <v>693</v>
      </c>
      <c r="O78" s="13">
        <f>N78*VLOOKUP('Données projet'!$B$9,Paramètres!$A$1:$I$89,3,0)*VLOOKUP('Données projet'!$B$9,Paramètres!$A$1:$I$89,5,0)</f>
        <v>414.41400000000004</v>
      </c>
      <c r="P78" s="13">
        <f t="shared" si="87"/>
        <v>94.692834584825818</v>
      </c>
      <c r="Q78" s="20">
        <f t="shared" si="54"/>
        <v>886.6944035685716</v>
      </c>
      <c r="R78" s="59">
        <f t="shared" si="55"/>
        <v>1180.027736901905</v>
      </c>
      <c r="S78" s="59">
        <f ca="1">AVERAGE(OFFSET($R$3,0,0,'Données projet'!$E$9+1,1))-AVERAGE(OFFSET($H$3,0,0,'Données projet'!$E$9+1,1))</f>
        <v>430.93760474982633</v>
      </c>
      <c r="T78" s="59">
        <f t="shared" si="88"/>
        <v>371.5387876502981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30</v>
      </c>
      <c r="W78" s="16">
        <f>IF(ISNA(VLOOKUP(A78,'Données projet'!$A$35:$I$55,5,0)),0%,VLOOKUP(A78,'Données projet'!$A$35:$I$55,5,0)*VLOOKUP('Données projet'!$B$9,Paramètres!$A$1:$I$89,7,0))</f>
        <v>0.45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96.628838619310301</v>
      </c>
      <c r="AA78" s="21">
        <f>EXP(-LN(2)/25)*AA77+(1-EXP(-LN(2)/25))/(LN(2)/25)*Calculateur!V78*Calculateur!X78*VLOOKUP('Données projet'!$B$9,Paramètres!$A$1:$I$89,3,0)*0.475*44/12</f>
        <v>16.908620371326119</v>
      </c>
      <c r="AB78" s="21">
        <f>EXP(-LN(2)/2)*AB77+(1-EXP(-LN(2)/2))/(LN(2)/2)*V78*Y78*VLOOKUP('Données projet'!$B$9,Paramètres!$A$1:$I$89,3,0)*0.475*44/12</f>
        <v>8.8280521285641759E-9</v>
      </c>
      <c r="AC78" s="22">
        <f t="shared" si="57"/>
        <v>113.53745899946448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304</v>
      </c>
      <c r="AJ78" s="13">
        <f>AI78*VLOOKUP('Données projet'!$B$10,Paramètres!$A$1:$I$89,3,0)*VLOOKUP('Données projet'!$B$10,Paramètres!$A$1:$I$89,5,0)</f>
        <v>189.696</v>
      </c>
      <c r="AK78" s="13">
        <f t="shared" si="89"/>
        <v>47.472736505152469</v>
      </c>
      <c r="AL78" s="20">
        <f t="shared" si="58"/>
        <v>413.06888274647389</v>
      </c>
      <c r="AM78" s="59">
        <f t="shared" si="59"/>
        <v>706.4022160798072</v>
      </c>
      <c r="AN78" s="59">
        <f ca="1">AVERAGE(OFFSET($AM$3,0,0,'Données projet'!$E$10+1,1))-AVERAGE(OFFSET($H$3,0,0,'Données projet'!$E$10+1,1))</f>
        <v>179.44051550872138</v>
      </c>
      <c r="AO78" s="59">
        <f t="shared" si="90"/>
        <v>272.9500808380069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50.447305912229339</v>
      </c>
      <c r="AV78" s="21">
        <f>EXP(-LN(2)/25)*AV77+(1-EXP(-LN(2)/25))/(LN(2)/25)*Calculateur!AQ78*Calculateur!AS78*VLOOKUP('Données projet'!$B$10,Paramètres!$A$1:$I$89,3,0)*0.475*44/12</f>
        <v>13.896242713364058</v>
      </c>
      <c r="AW78" s="21">
        <f>EXP(-LN(2)/2)*AW77+(1-EXP(-LN(2)/2))/(LN(2)/2)*AQ78*AT78*VLOOKUP('Données projet'!$B$10,Paramètres!$A$1:$I$89,3,0)*0.475*44/12</f>
        <v>3.7221618035931797E-8</v>
      </c>
      <c r="AX78" s="21">
        <f t="shared" si="60"/>
        <v>64.343548662815024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0.79999999999995453</v>
      </c>
      <c r="BE78" s="13">
        <f>BD78*VLOOKUP('Données projet'!$B$11,Paramètres!$A$1:$I$89,3,0)*VLOOKUP('Données projet'!$B$11,Paramètres!$A$1:$I$89,5,0)</f>
        <v>0.44719999999997456</v>
      </c>
      <c r="BF78" s="13">
        <f t="shared" si="91"/>
        <v>0.22632652264063857</v>
      </c>
      <c r="BG78" s="20">
        <f t="shared" si="61"/>
        <v>1.1730586935990679</v>
      </c>
      <c r="BH78" s="59">
        <f t="shared" si="62"/>
        <v>294.50639202693236</v>
      </c>
      <c r="BI78" s="59">
        <f ca="1">AVERAGE(OFFSET($BH$3,0,0,'Données projet'!$E$11+1,1))-AVERAGE(OFFSET($H$3,0,0,'Données projet'!$E$11+1,1))</f>
        <v>321.85808080442411</v>
      </c>
      <c r="BJ78" s="59">
        <f t="shared" si="92"/>
        <v>285.95942591879702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339.62769301473975</v>
      </c>
      <c r="BQ78" s="21">
        <f>EXP(-LN(2)/25)*BQ77+(1-EXP(-LN(2)/25))/(LN(2)/25)*Calculateur!BL78*Calculateur!BN78*VLOOKUP('Données projet'!$B$11,Paramètres!$A$1:$I$89,3,0)*0.475*44/12</f>
        <v>7.4621511172388013</v>
      </c>
      <c r="BR78" s="21">
        <f>EXP(-LN(2)/2)*BR77+(1-EXP(-LN(2)/2))/(LN(2)/2)*BL78*BO78*VLOOKUP('Données projet'!$B$11,Paramètres!$A$1:$I$89,3,0)*0.475*44/12</f>
        <v>3.0453380220987588E-7</v>
      </c>
      <c r="BS78" s="22">
        <f t="shared" si="63"/>
        <v>347.08984443651235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</v>
      </c>
      <c r="N79" s="13">
        <f>IF('Données projet'!$A$36&gt;35,N78+M79-V78,IF(A79&lt;'Données projet'!$A$36,$K$205^A79,IF(A79='Données projet'!$A$36,'Données projet'!$B$36,N78+M79-V78)))</f>
        <v>674</v>
      </c>
      <c r="O79" s="13">
        <f>N79*VLOOKUP('Données projet'!$B$9,Paramètres!$A$1:$I$89,3,0)*VLOOKUP('Données projet'!$B$9,Paramètres!$A$1:$I$89,5,0)</f>
        <v>403.05200000000002</v>
      </c>
      <c r="P79" s="13">
        <f t="shared" si="87"/>
        <v>92.39513739653853</v>
      </c>
      <c r="Q79" s="20">
        <f t="shared" si="54"/>
        <v>862.9037642989714</v>
      </c>
      <c r="R79" s="59">
        <f t="shared" si="55"/>
        <v>1156.2370976323048</v>
      </c>
      <c r="S79" s="59">
        <f ca="1">AVERAGE(OFFSET($R$3,0,0,'Données projet'!$E$9+1,1))-AVERAGE(OFFSET($H$3,0,0,'Données projet'!$E$9+1,1))</f>
        <v>430.93760474982633</v>
      </c>
      <c r="T79" s="59">
        <f t="shared" si="88"/>
        <v>371.5387876502981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94.734006031757559</v>
      </c>
      <c r="AA79" s="21">
        <f>EXP(-LN(2)/25)*AA78+(1-EXP(-LN(2)/25))/(LN(2)/25)*Calculateur!V79*Calculateur!X79*VLOOKUP('Données projet'!$B$9,Paramètres!$A$1:$I$89,3,0)*0.475*44/12</f>
        <v>16.446253258086507</v>
      </c>
      <c r="AB79" s="21">
        <f>EXP(-LN(2)/2)*AB78+(1-EXP(-LN(2)/2))/(LN(2)/2)*V79*Y79*VLOOKUP('Données projet'!$B$9,Paramètres!$A$1:$I$89,3,0)*0.475*44/12</f>
        <v>6.2423755247760639E-9</v>
      </c>
      <c r="AC79" s="22">
        <f t="shared" si="57"/>
        <v>111.18025929608643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304</v>
      </c>
      <c r="AJ79" s="13">
        <f>AI79*VLOOKUP('Données projet'!$B$10,Paramètres!$A$1:$I$89,3,0)*VLOOKUP('Données projet'!$B$10,Paramètres!$A$1:$I$89,5,0)</f>
        <v>189.696</v>
      </c>
      <c r="AK79" s="13">
        <f t="shared" si="89"/>
        <v>47.472736505152469</v>
      </c>
      <c r="AL79" s="20">
        <f t="shared" si="58"/>
        <v>413.06888274647389</v>
      </c>
      <c r="AM79" s="59">
        <f t="shared" si="59"/>
        <v>706.4022160798072</v>
      </c>
      <c r="AN79" s="59">
        <f ca="1">AVERAGE(OFFSET($AM$3,0,0,'Données projet'!$E$10+1,1))-AVERAGE(OFFSET($H$3,0,0,'Données projet'!$E$10+1,1))</f>
        <v>179.44051550872138</v>
      </c>
      <c r="AO79" s="59">
        <f t="shared" si="90"/>
        <v>272.9500808380069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49.458065013108865</v>
      </c>
      <c r="AV79" s="21">
        <f>EXP(-LN(2)/25)*AV78+(1-EXP(-LN(2)/25))/(LN(2)/25)*Calculateur!AQ79*Calculateur!AS79*VLOOKUP('Données projet'!$B$10,Paramètres!$A$1:$I$89,3,0)*0.475*44/12</f>
        <v>13.516249225595475</v>
      </c>
      <c r="AW79" s="21">
        <f>EXP(-LN(2)/2)*AW78+(1-EXP(-LN(2)/2))/(LN(2)/2)*AQ79*AT79*VLOOKUP('Données projet'!$B$10,Paramètres!$A$1:$I$89,3,0)*0.475*44/12</f>
        <v>2.6319658519942877E-8</v>
      </c>
      <c r="AX79" s="21">
        <f t="shared" si="60"/>
        <v>62.974314265023999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0.79999999999995453</v>
      </c>
      <c r="BE79" s="13">
        <f>BD79*VLOOKUP('Données projet'!$B$11,Paramètres!$A$1:$I$89,3,0)*VLOOKUP('Données projet'!$B$11,Paramètres!$A$1:$I$89,5,0)</f>
        <v>0.44719999999997456</v>
      </c>
      <c r="BF79" s="13">
        <f t="shared" si="91"/>
        <v>0.22632652264063857</v>
      </c>
      <c r="BG79" s="20">
        <f t="shared" si="61"/>
        <v>1.1730586935990679</v>
      </c>
      <c r="BH79" s="59">
        <f t="shared" si="62"/>
        <v>294.50639202693236</v>
      </c>
      <c r="BI79" s="59">
        <f ca="1">AVERAGE(OFFSET($BH$3,0,0,'Données projet'!$E$11+1,1))-AVERAGE(OFFSET($H$3,0,0,'Données projet'!$E$11+1,1))</f>
        <v>321.85808080442411</v>
      </c>
      <c r="BJ79" s="59">
        <f t="shared" si="92"/>
        <v>285.95942591879702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332.96780110715883</v>
      </c>
      <c r="BQ79" s="21">
        <f>EXP(-LN(2)/25)*BQ78+(1-EXP(-LN(2)/25))/(LN(2)/25)*Calculateur!BL79*Calculateur!BN79*VLOOKUP('Données projet'!$B$11,Paramètres!$A$1:$I$89,3,0)*0.475*44/12</f>
        <v>7.2580982025204337</v>
      </c>
      <c r="BR79" s="21">
        <f>EXP(-LN(2)/2)*BR78+(1-EXP(-LN(2)/2))/(LN(2)/2)*BL79*BO79*VLOOKUP('Données projet'!$B$11,Paramètres!$A$1:$I$89,3,0)*0.475*44/12</f>
        <v>2.1533791664312605E-7</v>
      </c>
      <c r="BS79" s="22">
        <f t="shared" si="63"/>
        <v>340.22589952501721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</v>
      </c>
      <c r="N80" s="13">
        <f>IF('Données projet'!$A$36&gt;35,N79+M80-V79,IF(A80&lt;'Données projet'!$A$36,$K$205^A80,IF(A80='Données projet'!$A$36,'Données projet'!$B$36,N79+M80-V79)))</f>
        <v>685</v>
      </c>
      <c r="O80" s="13">
        <f>N80*VLOOKUP('Données projet'!$B$9,Paramètres!$A$1:$I$89,3,0)*VLOOKUP('Données projet'!$B$9,Paramètres!$A$1:$I$89,5,0)</f>
        <v>409.63000000000005</v>
      </c>
      <c r="P80" s="13">
        <f t="shared" si="87"/>
        <v>93.726288591583938</v>
      </c>
      <c r="Q80" s="20">
        <f t="shared" si="54"/>
        <v>876.67886929700865</v>
      </c>
      <c r="R80" s="59">
        <f t="shared" si="55"/>
        <v>1170.012202630342</v>
      </c>
      <c r="S80" s="59">
        <f ca="1">AVERAGE(OFFSET($R$3,0,0,'Données projet'!$E$9+1,1))-AVERAGE(OFFSET($H$3,0,0,'Données projet'!$E$9+1,1))</f>
        <v>430.93760474982633</v>
      </c>
      <c r="T80" s="59">
        <f t="shared" si="88"/>
        <v>371.5387876502981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92.876329955512972</v>
      </c>
      <c r="AA80" s="21">
        <f>EXP(-LN(2)/25)*AA79+(1-EXP(-LN(2)/25))/(LN(2)/25)*Calculateur!V80*Calculateur!X80*VLOOKUP('Données projet'!$B$9,Paramètres!$A$1:$I$89,3,0)*0.475*44/12</f>
        <v>15.996529597873261</v>
      </c>
      <c r="AB80" s="21">
        <f>EXP(-LN(2)/2)*AB79+(1-EXP(-LN(2)/2))/(LN(2)/2)*V80*Y80*VLOOKUP('Données projet'!$B$9,Paramètres!$A$1:$I$89,3,0)*0.475*44/12</f>
        <v>4.4140260642820879E-9</v>
      </c>
      <c r="AC80" s="22">
        <f t="shared" si="57"/>
        <v>108.87285955780025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304</v>
      </c>
      <c r="AJ80" s="13">
        <f>AI80*VLOOKUP('Données projet'!$B$10,Paramètres!$A$1:$I$89,3,0)*VLOOKUP('Données projet'!$B$10,Paramètres!$A$1:$I$89,5,0)</f>
        <v>189.696</v>
      </c>
      <c r="AK80" s="13">
        <f t="shared" si="89"/>
        <v>47.472736505152469</v>
      </c>
      <c r="AL80" s="20">
        <f t="shared" si="58"/>
        <v>413.06888274647389</v>
      </c>
      <c r="AM80" s="59">
        <f t="shared" si="59"/>
        <v>706.4022160798072</v>
      </c>
      <c r="AN80" s="59">
        <f ca="1">AVERAGE(OFFSET($AM$3,0,0,'Données projet'!$E$10+1,1))-AVERAGE(OFFSET($H$3,0,0,'Données projet'!$E$10+1,1))</f>
        <v>179.44051550872138</v>
      </c>
      <c r="AO80" s="59">
        <f t="shared" si="90"/>
        <v>272.9500808380069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48.488222524642772</v>
      </c>
      <c r="AV80" s="21">
        <f>EXP(-LN(2)/25)*AV79+(1-EXP(-LN(2)/25))/(LN(2)/25)*Calculateur!AQ80*Calculateur!AS80*VLOOKUP('Données projet'!$B$10,Paramètres!$A$1:$I$89,3,0)*0.475*44/12</f>
        <v>13.146646679732912</v>
      </c>
      <c r="AW80" s="21">
        <f>EXP(-LN(2)/2)*AW79+(1-EXP(-LN(2)/2))/(LN(2)/2)*AQ80*AT80*VLOOKUP('Données projet'!$B$10,Paramètres!$A$1:$I$89,3,0)*0.475*44/12</f>
        <v>1.8610809017965899E-8</v>
      </c>
      <c r="AX80" s="21">
        <f t="shared" si="60"/>
        <v>61.634869222986495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0.79999999999995453</v>
      </c>
      <c r="BE80" s="13">
        <f>BD80*VLOOKUP('Données projet'!$B$11,Paramètres!$A$1:$I$89,3,0)*VLOOKUP('Données projet'!$B$11,Paramètres!$A$1:$I$89,5,0)</f>
        <v>0.44719999999997456</v>
      </c>
      <c r="BF80" s="13">
        <f t="shared" si="91"/>
        <v>0.22632652264063857</v>
      </c>
      <c r="BG80" s="20">
        <f t="shared" si="61"/>
        <v>1.1730586935990679</v>
      </c>
      <c r="BH80" s="59">
        <f t="shared" si="62"/>
        <v>294.50639202693236</v>
      </c>
      <c r="BI80" s="59">
        <f ca="1">AVERAGE(OFFSET($BH$3,0,0,'Données projet'!$E$11+1,1))-AVERAGE(OFFSET($H$3,0,0,'Données projet'!$E$11+1,1))</f>
        <v>321.85808080442411</v>
      </c>
      <c r="BJ80" s="59">
        <f t="shared" si="92"/>
        <v>285.95942591879702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326.43850561775264</v>
      </c>
      <c r="BQ80" s="21">
        <f>EXP(-LN(2)/25)*BQ79+(1-EXP(-LN(2)/25))/(LN(2)/25)*Calculateur!BL80*Calculateur!BN80*VLOOKUP('Données projet'!$B$11,Paramètres!$A$1:$I$89,3,0)*0.475*44/12</f>
        <v>7.0596251254857165</v>
      </c>
      <c r="BR80" s="21">
        <f>EXP(-LN(2)/2)*BR79+(1-EXP(-LN(2)/2))/(LN(2)/2)*BL80*BO80*VLOOKUP('Données projet'!$B$11,Paramètres!$A$1:$I$89,3,0)*0.475*44/12</f>
        <v>1.5226690110493794E-7</v>
      </c>
      <c r="BS80" s="22">
        <f t="shared" si="63"/>
        <v>333.49813089550526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</v>
      </c>
      <c r="N81" s="13">
        <f>IF('Données projet'!$A$36&gt;35,N80+M81-V80,IF(A81&lt;'Données projet'!$A$36,$K$205^A81,IF(A81='Données projet'!$A$36,'Données projet'!$B$36,N80+M81-V80)))</f>
        <v>696</v>
      </c>
      <c r="O81" s="13">
        <f>N81*VLOOKUP('Données projet'!$B$9,Paramètres!$A$1:$I$89,3,0)*VLOOKUP('Données projet'!$B$9,Paramètres!$A$1:$I$89,5,0)</f>
        <v>416.20800000000003</v>
      </c>
      <c r="P81" s="13">
        <f t="shared" si="87"/>
        <v>95.054953813743452</v>
      </c>
      <c r="Q81" s="20">
        <f t="shared" si="54"/>
        <v>890.4496445589366</v>
      </c>
      <c r="R81" s="59">
        <f t="shared" si="55"/>
        <v>1183.7829778922699</v>
      </c>
      <c r="S81" s="59">
        <f ca="1">AVERAGE(OFFSET($R$3,0,0,'Données projet'!$E$9+1,1))-AVERAGE(OFFSET($H$3,0,0,'Données projet'!$E$9+1,1))</f>
        <v>430.93760474982633</v>
      </c>
      <c r="T81" s="59">
        <f t="shared" si="88"/>
        <v>371.5387876502981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91.055081774053008</v>
      </c>
      <c r="AA81" s="21">
        <f>EXP(-LN(2)/25)*AA80+(1-EXP(-LN(2)/25))/(LN(2)/25)*Calculateur!V81*Calculateur!X81*VLOOKUP('Données projet'!$B$9,Paramètres!$A$1:$I$89,3,0)*0.475*44/12</f>
        <v>15.559103654798486</v>
      </c>
      <c r="AB81" s="21">
        <f>EXP(-LN(2)/2)*AB80+(1-EXP(-LN(2)/2))/(LN(2)/2)*V81*Y81*VLOOKUP('Données projet'!$B$9,Paramètres!$A$1:$I$89,3,0)*0.475*44/12</f>
        <v>3.121187762388032E-9</v>
      </c>
      <c r="AC81" s="22">
        <f t="shared" si="57"/>
        <v>106.61418543197269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304</v>
      </c>
      <c r="AJ81" s="13">
        <f>AI81*VLOOKUP('Données projet'!$B$10,Paramètres!$A$1:$I$89,3,0)*VLOOKUP('Données projet'!$B$10,Paramètres!$A$1:$I$89,5,0)</f>
        <v>189.696</v>
      </c>
      <c r="AK81" s="13">
        <f t="shared" si="89"/>
        <v>47.472736505152469</v>
      </c>
      <c r="AL81" s="20">
        <f t="shared" si="58"/>
        <v>413.06888274647389</v>
      </c>
      <c r="AM81" s="59">
        <f t="shared" si="59"/>
        <v>706.4022160798072</v>
      </c>
      <c r="AN81" s="59">
        <f ca="1">AVERAGE(OFFSET($AM$3,0,0,'Données projet'!$E$10+1,1))-AVERAGE(OFFSET($H$3,0,0,'Données projet'!$E$10+1,1))</f>
        <v>179.44051550872138</v>
      </c>
      <c r="AO81" s="59">
        <f t="shared" si="90"/>
        <v>272.9500808380069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47.537398055829989</v>
      </c>
      <c r="AV81" s="21">
        <f>EXP(-LN(2)/25)*AV80+(1-EXP(-LN(2)/25))/(LN(2)/25)*Calculateur!AQ81*Calculateur!AS81*VLOOKUP('Données projet'!$B$10,Paramètres!$A$1:$I$89,3,0)*0.475*44/12</f>
        <v>12.787150934923513</v>
      </c>
      <c r="AW81" s="21">
        <f>EXP(-LN(2)/2)*AW80+(1-EXP(-LN(2)/2))/(LN(2)/2)*AQ81*AT81*VLOOKUP('Données projet'!$B$10,Paramètres!$A$1:$I$89,3,0)*0.475*44/12</f>
        <v>1.3159829259971438E-8</v>
      </c>
      <c r="AX81" s="21">
        <f t="shared" si="60"/>
        <v>60.324549003913326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0.79999999999995453</v>
      </c>
      <c r="BE81" s="13">
        <f>BD81*VLOOKUP('Données projet'!$B$11,Paramètres!$A$1:$I$89,3,0)*VLOOKUP('Données projet'!$B$11,Paramètres!$A$1:$I$89,5,0)</f>
        <v>0.44719999999997456</v>
      </c>
      <c r="BF81" s="13">
        <f t="shared" si="91"/>
        <v>0.22632652264063857</v>
      </c>
      <c r="BG81" s="20">
        <f t="shared" si="61"/>
        <v>1.1730586935990679</v>
      </c>
      <c r="BH81" s="59">
        <f t="shared" si="62"/>
        <v>294.50639202693236</v>
      </c>
      <c r="BI81" s="59">
        <f ca="1">AVERAGE(OFFSET($BH$3,0,0,'Données projet'!$E$11+1,1))-AVERAGE(OFFSET($H$3,0,0,'Données projet'!$E$11+1,1))</f>
        <v>321.85808080442411</v>
      </c>
      <c r="BJ81" s="59">
        <f t="shared" si="92"/>
        <v>285.95942591879702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320.03724563041669</v>
      </c>
      <c r="BQ81" s="21">
        <f>EXP(-LN(2)/25)*BQ80+(1-EXP(-LN(2)/25))/(LN(2)/25)*Calculateur!BL81*Calculateur!BN81*VLOOKUP('Données projet'!$B$11,Paramètres!$A$1:$I$89,3,0)*0.475*44/12</f>
        <v>6.8665793051797595</v>
      </c>
      <c r="BR81" s="21">
        <f>EXP(-LN(2)/2)*BR80+(1-EXP(-LN(2)/2))/(LN(2)/2)*BL81*BO81*VLOOKUP('Données projet'!$B$11,Paramètres!$A$1:$I$89,3,0)*0.475*44/12</f>
        <v>1.0766895832156302E-7</v>
      </c>
      <c r="BS81" s="22">
        <f t="shared" si="63"/>
        <v>326.90382504326539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</v>
      </c>
      <c r="N82" s="13">
        <f>IF('Données projet'!$A$36&gt;35,N81+M82-V81,IF(A82&lt;'Données projet'!$A$36,$K$205^A82,IF(A82='Données projet'!$A$36,'Données projet'!$B$36,N81+M82-V81)))</f>
        <v>707</v>
      </c>
      <c r="O82" s="13">
        <f>N82*VLOOKUP('Données projet'!$B$9,Paramètres!$A$1:$I$89,3,0)*VLOOKUP('Données projet'!$B$9,Paramètres!$A$1:$I$89,5,0)</f>
        <v>422.78600000000006</v>
      </c>
      <c r="P82" s="13">
        <f t="shared" si="87"/>
        <v>96.381176889504729</v>
      </c>
      <c r="Q82" s="20">
        <f t="shared" si="54"/>
        <v>904.21616641588753</v>
      </c>
      <c r="R82" s="59">
        <f t="shared" si="55"/>
        <v>1197.5494997492208</v>
      </c>
      <c r="S82" s="59">
        <f ca="1">AVERAGE(OFFSET($R$3,0,0,'Données projet'!$E$9+1,1))-AVERAGE(OFFSET($H$3,0,0,'Données projet'!$E$9+1,1))</f>
        <v>430.93760474982633</v>
      </c>
      <c r="T82" s="59">
        <f t="shared" si="88"/>
        <v>371.5387876502981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89.269547158579783</v>
      </c>
      <c r="AA82" s="21">
        <f>EXP(-LN(2)/25)*AA81+(1-EXP(-LN(2)/25))/(LN(2)/25)*Calculateur!V82*Calculateur!X82*VLOOKUP('Données projet'!$B$9,Paramètres!$A$1:$I$89,3,0)*0.475*44/12</f>
        <v>15.133639147140322</v>
      </c>
      <c r="AB82" s="21">
        <f>EXP(-LN(2)/2)*AB81+(1-EXP(-LN(2)/2))/(LN(2)/2)*V82*Y82*VLOOKUP('Données projet'!$B$9,Paramètres!$A$1:$I$89,3,0)*0.475*44/12</f>
        <v>2.207013032141044E-9</v>
      </c>
      <c r="AC82" s="22">
        <f t="shared" si="57"/>
        <v>104.40318630792713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304</v>
      </c>
      <c r="AJ82" s="13">
        <f>AI82*VLOOKUP('Données projet'!$B$10,Paramètres!$A$1:$I$89,3,0)*VLOOKUP('Données projet'!$B$10,Paramètres!$A$1:$I$89,5,0)</f>
        <v>189.696</v>
      </c>
      <c r="AK82" s="13">
        <f t="shared" si="89"/>
        <v>47.472736505152469</v>
      </c>
      <c r="AL82" s="20">
        <f t="shared" si="58"/>
        <v>413.06888274647389</v>
      </c>
      <c r="AM82" s="59">
        <f t="shared" si="59"/>
        <v>706.4022160798072</v>
      </c>
      <c r="AN82" s="59">
        <f ca="1">AVERAGE(OFFSET($AM$3,0,0,'Données projet'!$E$10+1,1))-AVERAGE(OFFSET($H$3,0,0,'Données projet'!$E$10+1,1))</f>
        <v>179.44051550872138</v>
      </c>
      <c r="AO82" s="59">
        <f t="shared" si="90"/>
        <v>272.9500808380069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46.605218674904961</v>
      </c>
      <c r="AV82" s="21">
        <f>EXP(-LN(2)/25)*AV81+(1-EXP(-LN(2)/25))/(LN(2)/25)*Calculateur!AQ82*Calculateur!AS82*VLOOKUP('Données projet'!$B$10,Paramètres!$A$1:$I$89,3,0)*0.475*44/12</f>
        <v>12.437485620160988</v>
      </c>
      <c r="AW82" s="21">
        <f>EXP(-LN(2)/2)*AW81+(1-EXP(-LN(2)/2))/(LN(2)/2)*AQ82*AT82*VLOOKUP('Données projet'!$B$10,Paramètres!$A$1:$I$89,3,0)*0.475*44/12</f>
        <v>9.3054045089829494E-9</v>
      </c>
      <c r="AX82" s="21">
        <f t="shared" si="60"/>
        <v>59.042704304371348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0.79999999999995453</v>
      </c>
      <c r="BE82" s="13">
        <f>BD82*VLOOKUP('Données projet'!$B$11,Paramètres!$A$1:$I$89,3,0)*VLOOKUP('Données projet'!$B$11,Paramètres!$A$1:$I$89,5,0)</f>
        <v>0.44719999999997456</v>
      </c>
      <c r="BF82" s="13">
        <f t="shared" si="91"/>
        <v>0.22632652264063857</v>
      </c>
      <c r="BG82" s="20">
        <f t="shared" si="61"/>
        <v>1.1730586935990679</v>
      </c>
      <c r="BH82" s="59">
        <f t="shared" si="62"/>
        <v>294.50639202693236</v>
      </c>
      <c r="BI82" s="59">
        <f ca="1">AVERAGE(OFFSET($BH$3,0,0,'Données projet'!$E$11+1,1))-AVERAGE(OFFSET($H$3,0,0,'Données projet'!$E$11+1,1))</f>
        <v>321.85808080442411</v>
      </c>
      <c r="BJ82" s="59">
        <f t="shared" si="92"/>
        <v>285.95942591879702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313.76151044704932</v>
      </c>
      <c r="BQ82" s="21">
        <f>EXP(-LN(2)/25)*BQ81+(1-EXP(-LN(2)/25))/(LN(2)/25)*Calculateur!BL82*Calculateur!BN82*VLOOKUP('Données projet'!$B$11,Paramètres!$A$1:$I$89,3,0)*0.475*44/12</f>
        <v>6.6788123329819067</v>
      </c>
      <c r="BR82" s="21">
        <f>EXP(-LN(2)/2)*BR81+(1-EXP(-LN(2)/2))/(LN(2)/2)*BL82*BO82*VLOOKUP('Données projet'!$B$11,Paramètres!$A$1:$I$89,3,0)*0.475*44/12</f>
        <v>7.613345055246897E-8</v>
      </c>
      <c r="BS82" s="22">
        <f t="shared" si="63"/>
        <v>320.4403228561647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718</v>
      </c>
      <c r="L83" s="12">
        <f>VLOOKUP(A83,'Données projet'!$A$35:$I$55,9,0)</f>
        <v>11</v>
      </c>
      <c r="M83" s="12">
        <f t="array" ref="M83">INDEX(L:L,MIN(IF(ISNUMBER(L83:L279),ROW(L83:L279),"")))</f>
        <v>11</v>
      </c>
      <c r="N83" s="13">
        <f>IF('Données projet'!$A$36&gt;35,N82+M83-V82,IF(A83&lt;'Données projet'!$A$36,$K$205^A83,IF(A83='Données projet'!$A$36,'Données projet'!$B$36,N82+M83-V82)))</f>
        <v>718</v>
      </c>
      <c r="O83" s="13">
        <f>N83*VLOOKUP('Données projet'!$B$9,Paramètres!$A$1:$I$89,3,0)*VLOOKUP('Données projet'!$B$9,Paramètres!$A$1:$I$89,5,0)</f>
        <v>429.36400000000003</v>
      </c>
      <c r="P83" s="13">
        <f t="shared" si="87"/>
        <v>97.705000203350068</v>
      </c>
      <c r="Q83" s="20">
        <f t="shared" si="54"/>
        <v>917.9785086875014</v>
      </c>
      <c r="R83" s="59">
        <f t="shared" si="55"/>
        <v>1211.3118420208348</v>
      </c>
      <c r="S83" s="59">
        <f ca="1">AVERAGE(OFFSET($R$3,0,0,'Données projet'!$E$9+1,1))-AVERAGE(OFFSET($H$3,0,0,'Données projet'!$E$9+1,1))</f>
        <v>430.93760474982633</v>
      </c>
      <c r="T83" s="59">
        <f t="shared" si="88"/>
        <v>371.5387876502981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29</v>
      </c>
      <c r="W83" s="16">
        <f>IF(ISNA(VLOOKUP(A83,'Données projet'!$A$35:$I$55,5,0)),0%,VLOOKUP(A83,'Données projet'!$A$35:$I$55,5,0)*VLOOKUP('Données projet'!$B$9,Paramètres!$A$1:$I$89,7,0))</f>
        <v>0.45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97.871402141652027</v>
      </c>
      <c r="AA83" s="21">
        <f>EXP(-LN(2)/25)*AA82+(1-EXP(-LN(2)/25))/(LN(2)/25)*Calculateur!V83*Calculateur!X83*VLOOKUP('Données projet'!$B$9,Paramètres!$A$1:$I$89,3,0)*0.475*44/12</f>
        <v>14.719808988818276</v>
      </c>
      <c r="AB83" s="21">
        <f>EXP(-LN(2)/2)*AB82+(1-EXP(-LN(2)/2))/(LN(2)/2)*V83*Y83*VLOOKUP('Données projet'!$B$9,Paramètres!$A$1:$I$89,3,0)*0.475*44/12</f>
        <v>1.560593881194016E-9</v>
      </c>
      <c r="AC83" s="22">
        <f t="shared" si="57"/>
        <v>112.59121113203089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304</v>
      </c>
      <c r="AJ83" s="13">
        <f>AI83*VLOOKUP('Données projet'!$B$10,Paramètres!$A$1:$I$89,3,0)*VLOOKUP('Données projet'!$B$10,Paramètres!$A$1:$I$89,5,0)</f>
        <v>189.696</v>
      </c>
      <c r="AK83" s="13">
        <f t="shared" si="89"/>
        <v>47.472736505152469</v>
      </c>
      <c r="AL83" s="20">
        <f t="shared" si="58"/>
        <v>413.06888274647389</v>
      </c>
      <c r="AM83" s="59">
        <f t="shared" si="59"/>
        <v>706.4022160798072</v>
      </c>
      <c r="AN83" s="59">
        <f ca="1">AVERAGE(OFFSET($AM$3,0,0,'Données projet'!$E$10+1,1))-AVERAGE(OFFSET($H$3,0,0,'Données projet'!$E$10+1,1))</f>
        <v>179.44051550872138</v>
      </c>
      <c r="AO83" s="59">
        <f t="shared" si="90"/>
        <v>272.9500808380069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45.691318763066597</v>
      </c>
      <c r="AV83" s="21">
        <f>EXP(-LN(2)/25)*AV82+(1-EXP(-LN(2)/25))/(LN(2)/25)*Calculateur!AQ83*Calculateur!AS83*VLOOKUP('Données projet'!$B$10,Paramètres!$A$1:$I$89,3,0)*0.475*44/12</f>
        <v>12.097381921818743</v>
      </c>
      <c r="AW83" s="21">
        <f>EXP(-LN(2)/2)*AW82+(1-EXP(-LN(2)/2))/(LN(2)/2)*AQ83*AT83*VLOOKUP('Données projet'!$B$10,Paramètres!$A$1:$I$89,3,0)*0.475*44/12</f>
        <v>6.5799146299857192E-9</v>
      </c>
      <c r="AX83" s="21">
        <f t="shared" si="60"/>
        <v>57.788700691465259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0.79999999999995453</v>
      </c>
      <c r="BE83" s="13">
        <f>BD83*VLOOKUP('Données projet'!$B$11,Paramètres!$A$1:$I$89,3,0)*VLOOKUP('Données projet'!$B$11,Paramètres!$A$1:$I$89,5,0)</f>
        <v>0.44719999999997456</v>
      </c>
      <c r="BF83" s="13">
        <f t="shared" si="91"/>
        <v>0.22632652264063857</v>
      </c>
      <c r="BG83" s="20">
        <f t="shared" si="61"/>
        <v>1.1730586935990679</v>
      </c>
      <c r="BH83" s="59">
        <f t="shared" si="62"/>
        <v>294.50639202693236</v>
      </c>
      <c r="BI83" s="59">
        <f ca="1">AVERAGE(OFFSET($BH$3,0,0,'Données projet'!$E$11+1,1))-AVERAGE(OFFSET($H$3,0,0,'Données projet'!$E$11+1,1))</f>
        <v>321.85808080442411</v>
      </c>
      <c r="BJ83" s="59">
        <f t="shared" si="92"/>
        <v>285.95942591879702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307.60883860280728</v>
      </c>
      <c r="BQ83" s="21">
        <f>EXP(-LN(2)/25)*BQ82+(1-EXP(-LN(2)/25))/(LN(2)/25)*Calculateur!BL83*Calculateur!BN83*VLOOKUP('Données projet'!$B$11,Paramètres!$A$1:$I$89,3,0)*0.475*44/12</f>
        <v>6.4961798585130408</v>
      </c>
      <c r="BR83" s="21">
        <f>EXP(-LN(2)/2)*BR82+(1-EXP(-LN(2)/2))/(LN(2)/2)*BL83*BO83*VLOOKUP('Données projet'!$B$11,Paramètres!$A$1:$I$89,3,0)*0.475*44/12</f>
        <v>5.3834479160781512E-8</v>
      </c>
      <c r="BS83" s="22">
        <f t="shared" si="63"/>
        <v>314.10501851515477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689</v>
      </c>
      <c r="O84" s="13">
        <f>N84*VLOOKUP('Données projet'!$B$9,Paramètres!$A$1:$I$89,3,0)*VLOOKUP('Données projet'!$B$9,Paramètres!$A$1:$I$89,5,0)</f>
        <v>412.02199999999999</v>
      </c>
      <c r="P84" s="13">
        <f t="shared" si="87"/>
        <v>94.209724877926391</v>
      </c>
      <c r="Q84" s="20">
        <f t="shared" si="54"/>
        <v>881.686920829055</v>
      </c>
      <c r="R84" s="59">
        <f t="shared" si="55"/>
        <v>1175.0202541623883</v>
      </c>
      <c r="S84" s="59">
        <f ca="1">AVERAGE(OFFSET($R$3,0,0,'Données projet'!$E$9+1,1))-AVERAGE(OFFSET($H$3,0,0,'Données projet'!$E$9+1,1))</f>
        <v>430.93760474982633</v>
      </c>
      <c r="T84" s="59">
        <f t="shared" si="88"/>
        <v>371.5387876502981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95.95220364131508</v>
      </c>
      <c r="AA84" s="21">
        <f>EXP(-LN(2)/25)*AA83+(1-EXP(-LN(2)/25))/(LN(2)/25)*Calculateur!V84*Calculateur!X84*VLOOKUP('Données projet'!$B$9,Paramètres!$A$1:$I$89,3,0)*0.475*44/12</f>
        <v>14.317295037937928</v>
      </c>
      <c r="AB84" s="21">
        <f>EXP(-LN(2)/2)*AB83+(1-EXP(-LN(2)/2))/(LN(2)/2)*V84*Y84*VLOOKUP('Données projet'!$B$9,Paramètres!$A$1:$I$89,3,0)*0.475*44/12</f>
        <v>1.103506516070522E-9</v>
      </c>
      <c r="AC84" s="22">
        <f t="shared" si="57"/>
        <v>110.26949868035651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304</v>
      </c>
      <c r="AJ84" s="13">
        <f>AI84*VLOOKUP('Données projet'!$B$10,Paramètres!$A$1:$I$89,3,0)*VLOOKUP('Données projet'!$B$10,Paramètres!$A$1:$I$89,5,0)</f>
        <v>189.696</v>
      </c>
      <c r="AK84" s="13">
        <f t="shared" si="89"/>
        <v>47.472736505152469</v>
      </c>
      <c r="AL84" s="20">
        <f t="shared" si="58"/>
        <v>413.06888274647389</v>
      </c>
      <c r="AM84" s="59">
        <f t="shared" si="59"/>
        <v>706.4022160798072</v>
      </c>
      <c r="AN84" s="59">
        <f ca="1">AVERAGE(OFFSET($AM$3,0,0,'Données projet'!$E$10+1,1))-AVERAGE(OFFSET($H$3,0,0,'Données projet'!$E$10+1,1))</f>
        <v>179.44051550872138</v>
      </c>
      <c r="AO84" s="59">
        <f t="shared" si="90"/>
        <v>272.9500808380069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44.795339871075477</v>
      </c>
      <c r="AV84" s="21">
        <f>EXP(-LN(2)/25)*AV83+(1-EXP(-LN(2)/25))/(LN(2)/25)*Calculateur!AQ84*Calculateur!AS84*VLOOKUP('Données projet'!$B$10,Paramètres!$A$1:$I$89,3,0)*0.475*44/12</f>
        <v>11.766578376992943</v>
      </c>
      <c r="AW84" s="21">
        <f>EXP(-LN(2)/2)*AW83+(1-EXP(-LN(2)/2))/(LN(2)/2)*AQ84*AT84*VLOOKUP('Données projet'!$B$10,Paramètres!$A$1:$I$89,3,0)*0.475*44/12</f>
        <v>4.6527022544914747E-9</v>
      </c>
      <c r="AX84" s="21">
        <f t="shared" si="60"/>
        <v>56.561918252721128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0.79999999999995453</v>
      </c>
      <c r="BE84" s="13">
        <f>BD84*VLOOKUP('Données projet'!$B$11,Paramètres!$A$1:$I$89,3,0)*VLOOKUP('Données projet'!$B$11,Paramètres!$A$1:$I$89,5,0)</f>
        <v>0.44719999999997456</v>
      </c>
      <c r="BF84" s="13">
        <f t="shared" si="91"/>
        <v>0.22632652264063857</v>
      </c>
      <c r="BG84" s="20">
        <f t="shared" si="61"/>
        <v>1.1730586935990679</v>
      </c>
      <c r="BH84" s="59">
        <f t="shared" si="62"/>
        <v>294.50639202693236</v>
      </c>
      <c r="BI84" s="59">
        <f ca="1">AVERAGE(OFFSET($BH$3,0,0,'Données projet'!$E$11+1,1))-AVERAGE(OFFSET($H$3,0,0,'Données projet'!$E$11+1,1))</f>
        <v>321.85808080442411</v>
      </c>
      <c r="BJ84" s="59">
        <f t="shared" si="92"/>
        <v>285.95942591879702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301.57681690067159</v>
      </c>
      <c r="BQ84" s="21">
        <f>EXP(-LN(2)/25)*BQ83+(1-EXP(-LN(2)/25))/(LN(2)/25)*Calculateur!BL84*Calculateur!BN84*VLOOKUP('Données projet'!$B$11,Paramètres!$A$1:$I$89,3,0)*0.475*44/12</f>
        <v>6.3185414786627501</v>
      </c>
      <c r="BR84" s="21">
        <f>EXP(-LN(2)/2)*BR83+(1-EXP(-LN(2)/2))/(LN(2)/2)*BL84*BO84*VLOOKUP('Données projet'!$B$11,Paramètres!$A$1:$I$89,3,0)*0.475*44/12</f>
        <v>3.8066725276234485E-8</v>
      </c>
      <c r="BS84" s="22">
        <f t="shared" si="63"/>
        <v>307.89535841740104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689</v>
      </c>
      <c r="O85" s="13">
        <f>N85*VLOOKUP('Données projet'!$B$9,Paramètres!$A$1:$I$89,3,0)*VLOOKUP('Données projet'!$B$9,Paramètres!$A$1:$I$89,5,0)</f>
        <v>412.02199999999999</v>
      </c>
      <c r="P85" s="13">
        <f t="shared" si="87"/>
        <v>94.209724877926391</v>
      </c>
      <c r="Q85" s="20">
        <f t="shared" si="54"/>
        <v>881.686920829055</v>
      </c>
      <c r="R85" s="59">
        <f t="shared" si="55"/>
        <v>1175.0202541623883</v>
      </c>
      <c r="S85" s="59">
        <f ca="1">AVERAGE(OFFSET($R$3,0,0,'Données projet'!$E$9+1,1))-AVERAGE(OFFSET($H$3,0,0,'Données projet'!$E$9+1,1))</f>
        <v>430.93760474982633</v>
      </c>
      <c r="T85" s="59">
        <f t="shared" si="88"/>
        <v>371.5387876502981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94.070639452974248</v>
      </c>
      <c r="AA85" s="21">
        <f>EXP(-LN(2)/25)*AA84+(1-EXP(-LN(2)/25))/(LN(2)/25)*Calculateur!V85*Calculateur!X85*VLOOKUP('Données projet'!$B$9,Paramètres!$A$1:$I$89,3,0)*0.475*44/12</f>
        <v>13.925787852211691</v>
      </c>
      <c r="AB85" s="21">
        <f>EXP(-LN(2)/2)*AB84+(1-EXP(-LN(2)/2))/(LN(2)/2)*V85*Y85*VLOOKUP('Données projet'!$B$9,Paramètres!$A$1:$I$89,3,0)*0.475*44/12</f>
        <v>7.8029694059700799E-10</v>
      </c>
      <c r="AC85" s="22">
        <f t="shared" si="57"/>
        <v>107.99642730596624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304</v>
      </c>
      <c r="AJ85" s="13">
        <f>AI85*VLOOKUP('Données projet'!$B$10,Paramètres!$A$1:$I$89,3,0)*VLOOKUP('Données projet'!$B$10,Paramètres!$A$1:$I$89,5,0)</f>
        <v>189.696</v>
      </c>
      <c r="AK85" s="13">
        <f t="shared" si="89"/>
        <v>47.472736505152469</v>
      </c>
      <c r="AL85" s="20">
        <f t="shared" si="58"/>
        <v>413.06888274647389</v>
      </c>
      <c r="AM85" s="59">
        <f t="shared" si="59"/>
        <v>706.4022160798072</v>
      </c>
      <c r="AN85" s="59">
        <f ca="1">AVERAGE(OFFSET($AM$3,0,0,'Données projet'!$E$10+1,1))-AVERAGE(OFFSET($H$3,0,0,'Données projet'!$E$10+1,1))</f>
        <v>179.44051550872138</v>
      </c>
      <c r="AO85" s="59">
        <f t="shared" si="90"/>
        <v>272.9500808380069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43.916930578663141</v>
      </c>
      <c r="AV85" s="21">
        <f>EXP(-LN(2)/25)*AV84+(1-EXP(-LN(2)/25))/(LN(2)/25)*Calculateur!AQ85*Calculateur!AS85*VLOOKUP('Données projet'!$B$10,Paramètres!$A$1:$I$89,3,0)*0.475*44/12</f>
        <v>11.444820672496606</v>
      </c>
      <c r="AW85" s="21">
        <f>EXP(-LN(2)/2)*AW84+(1-EXP(-LN(2)/2))/(LN(2)/2)*AQ85*AT85*VLOOKUP('Données projet'!$B$10,Paramètres!$A$1:$I$89,3,0)*0.475*44/12</f>
        <v>3.2899573149928596E-9</v>
      </c>
      <c r="AX85" s="21">
        <f t="shared" si="60"/>
        <v>55.3617512544497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0.79999999999995453</v>
      </c>
      <c r="BE85" s="13">
        <f>BD85*VLOOKUP('Données projet'!$B$11,Paramètres!$A$1:$I$89,3,0)*VLOOKUP('Données projet'!$B$11,Paramètres!$A$1:$I$89,5,0)</f>
        <v>0.44719999999997456</v>
      </c>
      <c r="BF85" s="13">
        <f t="shared" si="91"/>
        <v>0.22632652264063857</v>
      </c>
      <c r="BG85" s="20">
        <f t="shared" si="61"/>
        <v>1.1730586935990679</v>
      </c>
      <c r="BH85" s="59">
        <f t="shared" si="62"/>
        <v>294.50639202693236</v>
      </c>
      <c r="BI85" s="59">
        <f ca="1">AVERAGE(OFFSET($BH$3,0,0,'Données projet'!$E$11+1,1))-AVERAGE(OFFSET($H$3,0,0,'Données projet'!$E$11+1,1))</f>
        <v>321.85808080442411</v>
      </c>
      <c r="BJ85" s="59">
        <f t="shared" si="92"/>
        <v>285.95942591879702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295.66307946494481</v>
      </c>
      <c r="BQ85" s="21">
        <f>EXP(-LN(2)/25)*BQ84+(1-EXP(-LN(2)/25))/(LN(2)/25)*Calculateur!BL85*Calculateur!BN85*VLOOKUP('Données projet'!$B$11,Paramètres!$A$1:$I$89,3,0)*0.475*44/12</f>
        <v>6.1457606296510621</v>
      </c>
      <c r="BR85" s="21">
        <f>EXP(-LN(2)/2)*BR84+(1-EXP(-LN(2)/2))/(LN(2)/2)*BL85*BO85*VLOOKUP('Données projet'!$B$11,Paramètres!$A$1:$I$89,3,0)*0.475*44/12</f>
        <v>2.6917239580390756E-8</v>
      </c>
      <c r="BS85" s="22">
        <f t="shared" si="63"/>
        <v>301.80884012151313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689</v>
      </c>
      <c r="O86" s="13">
        <f>N86*VLOOKUP('Données projet'!$B$9,Paramètres!$A$1:$I$89,3,0)*VLOOKUP('Données projet'!$B$9,Paramètres!$A$1:$I$89,5,0)</f>
        <v>412.02199999999999</v>
      </c>
      <c r="P86" s="13">
        <f t="shared" si="87"/>
        <v>94.209724877926391</v>
      </c>
      <c r="Q86" s="20">
        <f t="shared" si="54"/>
        <v>881.686920829055</v>
      </c>
      <c r="R86" s="59">
        <f t="shared" si="55"/>
        <v>1175.0202541623883</v>
      </c>
      <c r="S86" s="59">
        <f ca="1">AVERAGE(OFFSET($R$3,0,0,'Données projet'!$E$9+1,1))-AVERAGE(OFFSET($H$3,0,0,'Données projet'!$E$9+1,1))</f>
        <v>430.93760474982633</v>
      </c>
      <c r="T86" s="59">
        <f t="shared" si="88"/>
        <v>371.5387876502981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92.225971590725933</v>
      </c>
      <c r="AA86" s="21">
        <f>EXP(-LN(2)/25)*AA85+(1-EXP(-LN(2)/25))/(LN(2)/25)*Calculateur!V86*Calculateur!X86*VLOOKUP('Données projet'!$B$9,Paramètres!$A$1:$I$89,3,0)*0.475*44/12</f>
        <v>13.544986451067608</v>
      </c>
      <c r="AB86" s="21">
        <f>EXP(-LN(2)/2)*AB85+(1-EXP(-LN(2)/2))/(LN(2)/2)*V86*Y86*VLOOKUP('Données projet'!$B$9,Paramètres!$A$1:$I$89,3,0)*0.475*44/12</f>
        <v>5.5175325803526099E-10</v>
      </c>
      <c r="AC86" s="22">
        <f t="shared" si="57"/>
        <v>105.77095804234528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304</v>
      </c>
      <c r="AJ86" s="13">
        <f>AI86*VLOOKUP('Données projet'!$B$10,Paramètres!$A$1:$I$89,3,0)*VLOOKUP('Données projet'!$B$10,Paramètres!$A$1:$I$89,5,0)</f>
        <v>189.696</v>
      </c>
      <c r="AK86" s="13">
        <f t="shared" si="89"/>
        <v>47.472736505152469</v>
      </c>
      <c r="AL86" s="20">
        <f t="shared" si="58"/>
        <v>413.06888274647389</v>
      </c>
      <c r="AM86" s="59">
        <f t="shared" si="59"/>
        <v>706.4022160798072</v>
      </c>
      <c r="AN86" s="59">
        <f ca="1">AVERAGE(OFFSET($AM$3,0,0,'Données projet'!$E$10+1,1))-AVERAGE(OFFSET($H$3,0,0,'Données projet'!$E$10+1,1))</f>
        <v>179.44051550872138</v>
      </c>
      <c r="AO86" s="59">
        <f t="shared" si="90"/>
        <v>272.9500808380069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43.055746356698243</v>
      </c>
      <c r="AV86" s="21">
        <f>EXP(-LN(2)/25)*AV85+(1-EXP(-LN(2)/25))/(LN(2)/25)*Calculateur!AQ86*Calculateur!AS86*VLOOKUP('Données projet'!$B$10,Paramètres!$A$1:$I$89,3,0)*0.475*44/12</f>
        <v>11.131861449350225</v>
      </c>
      <c r="AW86" s="21">
        <f>EXP(-LN(2)/2)*AW85+(1-EXP(-LN(2)/2))/(LN(2)/2)*AQ86*AT86*VLOOKUP('Données projet'!$B$10,Paramètres!$A$1:$I$89,3,0)*0.475*44/12</f>
        <v>2.3263511272457373E-9</v>
      </c>
      <c r="AX86" s="21">
        <f t="shared" si="60"/>
        <v>54.187607808374821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0.79999999999995453</v>
      </c>
      <c r="BE86" s="13">
        <f>BD86*VLOOKUP('Données projet'!$B$11,Paramètres!$A$1:$I$89,3,0)*VLOOKUP('Données projet'!$B$11,Paramètres!$A$1:$I$89,5,0)</f>
        <v>0.44719999999997456</v>
      </c>
      <c r="BF86" s="13">
        <f t="shared" si="91"/>
        <v>0.22632652264063857</v>
      </c>
      <c r="BG86" s="20">
        <f t="shared" si="61"/>
        <v>1.1730586935990679</v>
      </c>
      <c r="BH86" s="59">
        <f t="shared" si="62"/>
        <v>294.50639202693236</v>
      </c>
      <c r="BI86" s="59">
        <f ca="1">AVERAGE(OFFSET($BH$3,0,0,'Données projet'!$E$11+1,1))-AVERAGE(OFFSET($H$3,0,0,'Données projet'!$E$11+1,1))</f>
        <v>321.85808080442411</v>
      </c>
      <c r="BJ86" s="59">
        <f t="shared" si="92"/>
        <v>285.95942591879702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289.86530681330896</v>
      </c>
      <c r="BQ86" s="21">
        <f>EXP(-LN(2)/25)*BQ85+(1-EXP(-LN(2)/25))/(LN(2)/25)*Calculateur!BL86*Calculateur!BN86*VLOOKUP('Données projet'!$B$11,Paramètres!$A$1:$I$89,3,0)*0.475*44/12</f>
        <v>5.9777044820417489</v>
      </c>
      <c r="BR86" s="21">
        <f>EXP(-LN(2)/2)*BR85+(1-EXP(-LN(2)/2))/(LN(2)/2)*BL86*BO86*VLOOKUP('Données projet'!$B$11,Paramètres!$A$1:$I$89,3,0)*0.475*44/12</f>
        <v>1.9033362638117243E-8</v>
      </c>
      <c r="BS86" s="22">
        <f t="shared" si="63"/>
        <v>295.84301131438406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689</v>
      </c>
      <c r="O87" s="13">
        <f>N87*VLOOKUP('Données projet'!$B$9,Paramètres!$A$1:$I$89,3,0)*VLOOKUP('Données projet'!$B$9,Paramètres!$A$1:$I$89,5,0)</f>
        <v>412.02199999999999</v>
      </c>
      <c r="P87" s="13">
        <f t="shared" si="87"/>
        <v>94.209724877926391</v>
      </c>
      <c r="Q87" s="20">
        <f t="shared" si="54"/>
        <v>881.686920829055</v>
      </c>
      <c r="R87" s="59">
        <f t="shared" si="55"/>
        <v>1175.0202541623883</v>
      </c>
      <c r="S87" s="59">
        <f ca="1">AVERAGE(OFFSET($R$3,0,0,'Données projet'!$E$9+1,1))-AVERAGE(OFFSET($H$3,0,0,'Données projet'!$E$9+1,1))</f>
        <v>430.93760474982633</v>
      </c>
      <c r="T87" s="59">
        <f t="shared" si="88"/>
        <v>371.5387876502981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90.41747654012002</v>
      </c>
      <c r="AA87" s="21">
        <f>EXP(-LN(2)/25)*AA86+(1-EXP(-LN(2)/25))/(LN(2)/25)*Calculateur!V87*Calculateur!X87*VLOOKUP('Données projet'!$B$9,Paramètres!$A$1:$I$89,3,0)*0.475*44/12</f>
        <v>13.174598084263284</v>
      </c>
      <c r="AB87" s="21">
        <f>EXP(-LN(2)/2)*AB86+(1-EXP(-LN(2)/2))/(LN(2)/2)*V87*Y87*VLOOKUP('Données projet'!$B$9,Paramètres!$A$1:$I$89,3,0)*0.475*44/12</f>
        <v>3.90148470298504E-10</v>
      </c>
      <c r="AC87" s="22">
        <f t="shared" si="57"/>
        <v>103.59207462477345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304</v>
      </c>
      <c r="AJ87" s="13">
        <f>AI87*VLOOKUP('Données projet'!$B$10,Paramètres!$A$1:$I$89,3,0)*VLOOKUP('Données projet'!$B$10,Paramètres!$A$1:$I$89,5,0)</f>
        <v>189.696</v>
      </c>
      <c r="AK87" s="13">
        <f t="shared" si="89"/>
        <v>47.472736505152469</v>
      </c>
      <c r="AL87" s="20">
        <f t="shared" si="58"/>
        <v>413.06888274647389</v>
      </c>
      <c r="AM87" s="59">
        <f t="shared" si="59"/>
        <v>706.4022160798072</v>
      </c>
      <c r="AN87" s="59">
        <f ca="1">AVERAGE(OFFSET($AM$3,0,0,'Données projet'!$E$10+1,1))-AVERAGE(OFFSET($H$3,0,0,'Données projet'!$E$10+1,1))</f>
        <v>179.44051550872138</v>
      </c>
      <c r="AO87" s="59">
        <f t="shared" si="90"/>
        <v>272.9500808380069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42.211449432055566</v>
      </c>
      <c r="AV87" s="21">
        <f>EXP(-LN(2)/25)*AV86+(1-EXP(-LN(2)/25))/(LN(2)/25)*Calculateur!AQ87*Calculateur!AS87*VLOOKUP('Données projet'!$B$10,Paramètres!$A$1:$I$89,3,0)*0.475*44/12</f>
        <v>10.827460112618592</v>
      </c>
      <c r="AW87" s="21">
        <f>EXP(-LN(2)/2)*AW86+(1-EXP(-LN(2)/2))/(LN(2)/2)*AQ87*AT87*VLOOKUP('Données projet'!$B$10,Paramètres!$A$1:$I$89,3,0)*0.475*44/12</f>
        <v>1.6449786574964298E-9</v>
      </c>
      <c r="AX87" s="21">
        <f t="shared" si="60"/>
        <v>53.038909546319132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0.79999999999995453</v>
      </c>
      <c r="BE87" s="13">
        <f>BD87*VLOOKUP('Données projet'!$B$11,Paramètres!$A$1:$I$89,3,0)*VLOOKUP('Données projet'!$B$11,Paramètres!$A$1:$I$89,5,0)</f>
        <v>0.44719999999997456</v>
      </c>
      <c r="BF87" s="13">
        <f t="shared" si="91"/>
        <v>0.22632652264063857</v>
      </c>
      <c r="BG87" s="20">
        <f t="shared" si="61"/>
        <v>1.1730586935990679</v>
      </c>
      <c r="BH87" s="59">
        <f t="shared" si="62"/>
        <v>294.50639202693236</v>
      </c>
      <c r="BI87" s="59">
        <f ca="1">AVERAGE(OFFSET($BH$3,0,0,'Données projet'!$E$11+1,1))-AVERAGE(OFFSET($H$3,0,0,'Données projet'!$E$11+1,1))</f>
        <v>321.85808080442411</v>
      </c>
      <c r="BJ87" s="59">
        <f t="shared" si="92"/>
        <v>285.95942591879702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284.18122494707956</v>
      </c>
      <c r="BQ87" s="21">
        <f>EXP(-LN(2)/25)*BQ86+(1-EXP(-LN(2)/25))/(LN(2)/25)*Calculateur!BL87*Calculateur!BN87*VLOOKUP('Données projet'!$B$11,Paramètres!$A$1:$I$89,3,0)*0.475*44/12</f>
        <v>5.814243838626501</v>
      </c>
      <c r="BR87" s="21">
        <f>EXP(-LN(2)/2)*BR86+(1-EXP(-LN(2)/2))/(LN(2)/2)*BL87*BO87*VLOOKUP('Données projet'!$B$11,Paramètres!$A$1:$I$89,3,0)*0.475*44/12</f>
        <v>1.3458619790195378E-8</v>
      </c>
      <c r="BS87" s="22">
        <f t="shared" si="63"/>
        <v>289.99546879916471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689</v>
      </c>
      <c r="O88" s="13">
        <f>N88*VLOOKUP('Données projet'!$B$9,Paramètres!$A$1:$I$89,3,0)*VLOOKUP('Données projet'!$B$9,Paramètres!$A$1:$I$89,5,0)</f>
        <v>412.02199999999999</v>
      </c>
      <c r="P88" s="13">
        <f t="shared" si="87"/>
        <v>94.209724877926391</v>
      </c>
      <c r="Q88" s="20">
        <f t="shared" si="54"/>
        <v>881.686920829055</v>
      </c>
      <c r="R88" s="59">
        <f t="shared" si="55"/>
        <v>1175.0202541623883</v>
      </c>
      <c r="S88" s="59">
        <f ca="1">AVERAGE(OFFSET($R$3,0,0,'Données projet'!$E$9+1,1))-AVERAGE(OFFSET($H$3,0,0,'Données projet'!$E$9+1,1))</f>
        <v>430.93760474982633</v>
      </c>
      <c r="T88" s="59">
        <f t="shared" si="88"/>
        <v>371.5387876502981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88.644444974383418</v>
      </c>
      <c r="AA88" s="21">
        <f>EXP(-LN(2)/25)*AA87+(1-EXP(-LN(2)/25))/(LN(2)/25)*Calculateur!V88*Calculateur!X88*VLOOKUP('Données projet'!$B$9,Paramètres!$A$1:$I$89,3,0)*0.475*44/12</f>
        <v>12.814338006827102</v>
      </c>
      <c r="AB88" s="21">
        <f>EXP(-LN(2)/2)*AB87+(1-EXP(-LN(2)/2))/(LN(2)/2)*V88*Y88*VLOOKUP('Données projet'!$B$9,Paramètres!$A$1:$I$89,3,0)*0.475*44/12</f>
        <v>2.758766290176305E-10</v>
      </c>
      <c r="AC88" s="22">
        <f t="shared" si="57"/>
        <v>101.45878298148639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304</v>
      </c>
      <c r="AJ88" s="13">
        <f>AI88*VLOOKUP('Données projet'!$B$10,Paramètres!$A$1:$I$89,3,0)*VLOOKUP('Données projet'!$B$10,Paramètres!$A$1:$I$89,5,0)</f>
        <v>189.696</v>
      </c>
      <c r="AK88" s="13">
        <f t="shared" si="89"/>
        <v>47.472736505152469</v>
      </c>
      <c r="AL88" s="20">
        <f t="shared" si="58"/>
        <v>413.06888274647389</v>
      </c>
      <c r="AM88" s="59">
        <f t="shared" si="59"/>
        <v>706.4022160798072</v>
      </c>
      <c r="AN88" s="59">
        <f ca="1">AVERAGE(OFFSET($AM$3,0,0,'Données projet'!$E$10+1,1))-AVERAGE(OFFSET($H$3,0,0,'Données projet'!$E$10+1,1))</f>
        <v>179.44051550872138</v>
      </c>
      <c r="AO88" s="59">
        <f t="shared" si="90"/>
        <v>272.9500808380069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41.383708655134861</v>
      </c>
      <c r="AV88" s="21">
        <f>EXP(-LN(2)/25)*AV87+(1-EXP(-LN(2)/25))/(LN(2)/25)*Calculateur!AQ88*Calculateur!AS88*VLOOKUP('Données projet'!$B$10,Paramètres!$A$1:$I$89,3,0)*0.475*44/12</f>
        <v>10.531382646447655</v>
      </c>
      <c r="AW88" s="21">
        <f>EXP(-LN(2)/2)*AW87+(1-EXP(-LN(2)/2))/(LN(2)/2)*AQ88*AT88*VLOOKUP('Données projet'!$B$10,Paramètres!$A$1:$I$89,3,0)*0.475*44/12</f>
        <v>1.1631755636228687E-9</v>
      </c>
      <c r="AX88" s="21">
        <f t="shared" si="60"/>
        <v>51.915091302745687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0.79999999999995453</v>
      </c>
      <c r="BE88" s="13">
        <f>BD88*VLOOKUP('Données projet'!$B$11,Paramètres!$A$1:$I$89,3,0)*VLOOKUP('Données projet'!$B$11,Paramètres!$A$1:$I$89,5,0)</f>
        <v>0.44719999999997456</v>
      </c>
      <c r="BF88" s="13">
        <f t="shared" si="91"/>
        <v>0.22632652264063857</v>
      </c>
      <c r="BG88" s="20">
        <f t="shared" si="61"/>
        <v>1.1730586935990679</v>
      </c>
      <c r="BH88" s="59">
        <f t="shared" si="62"/>
        <v>294.50639202693236</v>
      </c>
      <c r="BI88" s="59">
        <f ca="1">AVERAGE(OFFSET($BH$3,0,0,'Données projet'!$E$11+1,1))-AVERAGE(OFFSET($H$3,0,0,'Données projet'!$E$11+1,1))</f>
        <v>321.85808080442411</v>
      </c>
      <c r="BJ88" s="59">
        <f t="shared" si="92"/>
        <v>285.95942591879702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278.60860445929927</v>
      </c>
      <c r="BQ88" s="21">
        <f>EXP(-LN(2)/25)*BQ87+(1-EXP(-LN(2)/25))/(LN(2)/25)*Calculateur!BL88*Calculateur!BN88*VLOOKUP('Données projet'!$B$11,Paramètres!$A$1:$I$89,3,0)*0.475*44/12</f>
        <v>5.655253035101464</v>
      </c>
      <c r="BR88" s="21">
        <f>EXP(-LN(2)/2)*BR87+(1-EXP(-LN(2)/2))/(LN(2)/2)*BL88*BO88*VLOOKUP('Données projet'!$B$11,Paramètres!$A$1:$I$89,3,0)*0.475*44/12</f>
        <v>9.5166813190586213E-9</v>
      </c>
      <c r="BS88" s="22">
        <f t="shared" si="63"/>
        <v>284.26385750391739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689</v>
      </c>
      <c r="O89" s="13">
        <f>N89*VLOOKUP('Données projet'!$B$9,Paramètres!$A$1:$I$89,3,0)*VLOOKUP('Données projet'!$B$9,Paramètres!$A$1:$I$89,5,0)</f>
        <v>412.02199999999999</v>
      </c>
      <c r="P89" s="13">
        <f t="shared" si="87"/>
        <v>94.209724877926391</v>
      </c>
      <c r="Q89" s="20">
        <f t="shared" si="54"/>
        <v>881.686920829055</v>
      </c>
      <c r="R89" s="59">
        <f t="shared" si="55"/>
        <v>1175.0202541623883</v>
      </c>
      <c r="S89" s="59">
        <f ca="1">AVERAGE(OFFSET($R$3,0,0,'Données projet'!$E$9+1,1))-AVERAGE(OFFSET($H$3,0,0,'Données projet'!$E$9+1,1))</f>
        <v>430.93760474982633</v>
      </c>
      <c r="T89" s="59">
        <f t="shared" si="88"/>
        <v>371.5387876502981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86.906181476208445</v>
      </c>
      <c r="AA89" s="21">
        <f>EXP(-LN(2)/25)*AA88+(1-EXP(-LN(2)/25))/(LN(2)/25)*Calculateur!V89*Calculateur!X89*VLOOKUP('Données projet'!$B$9,Paramètres!$A$1:$I$89,3,0)*0.475*44/12</f>
        <v>12.463929260153666</v>
      </c>
      <c r="AB89" s="21">
        <f>EXP(-LN(2)/2)*AB88+(1-EXP(-LN(2)/2))/(LN(2)/2)*V89*Y89*VLOOKUP('Données projet'!$B$9,Paramètres!$A$1:$I$89,3,0)*0.475*44/12</f>
        <v>1.95074235149252E-10</v>
      </c>
      <c r="AC89" s="22">
        <f t="shared" si="57"/>
        <v>99.37011073655718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304</v>
      </c>
      <c r="AJ89" s="13">
        <f>AI89*VLOOKUP('Données projet'!$B$10,Paramètres!$A$1:$I$89,3,0)*VLOOKUP('Données projet'!$B$10,Paramètres!$A$1:$I$89,5,0)</f>
        <v>189.696</v>
      </c>
      <c r="AK89" s="13">
        <f t="shared" si="89"/>
        <v>47.472736505152469</v>
      </c>
      <c r="AL89" s="20">
        <f t="shared" si="58"/>
        <v>413.06888274647389</v>
      </c>
      <c r="AM89" s="59">
        <f t="shared" si="59"/>
        <v>706.4022160798072</v>
      </c>
      <c r="AN89" s="59">
        <f ca="1">AVERAGE(OFFSET($AM$3,0,0,'Données projet'!$E$10+1,1))-AVERAGE(OFFSET($H$3,0,0,'Données projet'!$E$10+1,1))</f>
        <v>179.44051550872138</v>
      </c>
      <c r="AO89" s="59">
        <f t="shared" si="90"/>
        <v>272.9500808380069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40.572199369977547</v>
      </c>
      <c r="AV89" s="21">
        <f>EXP(-LN(2)/25)*AV88+(1-EXP(-LN(2)/25))/(LN(2)/25)*Calculateur!AQ89*Calculateur!AS89*VLOOKUP('Données projet'!$B$10,Paramètres!$A$1:$I$89,3,0)*0.475*44/12</f>
        <v>10.2434014341592</v>
      </c>
      <c r="AW89" s="21">
        <f>EXP(-LN(2)/2)*AW88+(1-EXP(-LN(2)/2))/(LN(2)/2)*AQ89*AT89*VLOOKUP('Données projet'!$B$10,Paramètres!$A$1:$I$89,3,0)*0.475*44/12</f>
        <v>8.224893287482149E-10</v>
      </c>
      <c r="AX89" s="21">
        <f t="shared" si="60"/>
        <v>50.815600804959239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0.79999999999995453</v>
      </c>
      <c r="BE89" s="13">
        <f>BD89*VLOOKUP('Données projet'!$B$11,Paramètres!$A$1:$I$89,3,0)*VLOOKUP('Données projet'!$B$11,Paramètres!$A$1:$I$89,5,0)</f>
        <v>0.44719999999997456</v>
      </c>
      <c r="BF89" s="13">
        <f t="shared" si="91"/>
        <v>0.22632652264063857</v>
      </c>
      <c r="BG89" s="20">
        <f t="shared" si="61"/>
        <v>1.1730586935990679</v>
      </c>
      <c r="BH89" s="59">
        <f t="shared" si="62"/>
        <v>294.50639202693236</v>
      </c>
      <c r="BI89" s="59">
        <f ca="1">AVERAGE(OFFSET($BH$3,0,0,'Données projet'!$E$11+1,1))-AVERAGE(OFFSET($H$3,0,0,'Données projet'!$E$11+1,1))</f>
        <v>321.85808080442411</v>
      </c>
      <c r="BJ89" s="59">
        <f t="shared" si="92"/>
        <v>285.95942591879702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273.14525966032147</v>
      </c>
      <c r="BQ89" s="21">
        <f>EXP(-LN(2)/25)*BQ88+(1-EXP(-LN(2)/25))/(LN(2)/25)*Calculateur!BL89*Calculateur!BN89*VLOOKUP('Données projet'!$B$11,Paramètres!$A$1:$I$89,3,0)*0.475*44/12</f>
        <v>5.5006098434597828</v>
      </c>
      <c r="BR89" s="21">
        <f>EXP(-LN(2)/2)*BR88+(1-EXP(-LN(2)/2))/(LN(2)/2)*BL89*BO89*VLOOKUP('Données projet'!$B$11,Paramètres!$A$1:$I$89,3,0)*0.475*44/12</f>
        <v>6.729309895097689E-9</v>
      </c>
      <c r="BS89" s="22">
        <f t="shared" si="63"/>
        <v>278.64586951051052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689</v>
      </c>
      <c r="O90" s="13">
        <f>N90*VLOOKUP('Données projet'!$B$9,Paramètres!$A$1:$I$89,3,0)*VLOOKUP('Données projet'!$B$9,Paramètres!$A$1:$I$89,5,0)</f>
        <v>412.02199999999999</v>
      </c>
      <c r="P90" s="13">
        <f t="shared" si="87"/>
        <v>94.209724877926391</v>
      </c>
      <c r="Q90" s="20">
        <f t="shared" si="54"/>
        <v>881.686920829055</v>
      </c>
      <c r="R90" s="59">
        <f t="shared" si="55"/>
        <v>1175.0202541623883</v>
      </c>
      <c r="S90" s="59">
        <f ca="1">AVERAGE(OFFSET($R$3,0,0,'Données projet'!$E$9+1,1))-AVERAGE(OFFSET($H$3,0,0,'Données projet'!$E$9+1,1))</f>
        <v>430.93760474982633</v>
      </c>
      <c r="T90" s="59">
        <f t="shared" si="88"/>
        <v>371.5387876502981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85.202004264996646</v>
      </c>
      <c r="AA90" s="21">
        <f>EXP(-LN(2)/25)*AA89+(1-EXP(-LN(2)/25))/(LN(2)/25)*Calculateur!V90*Calculateur!X90*VLOOKUP('Données projet'!$B$9,Paramètres!$A$1:$I$89,3,0)*0.475*44/12</f>
        <v>12.12310245908521</v>
      </c>
      <c r="AB90" s="21">
        <f>EXP(-LN(2)/2)*AB89+(1-EXP(-LN(2)/2))/(LN(2)/2)*V90*Y90*VLOOKUP('Données projet'!$B$9,Paramètres!$A$1:$I$89,3,0)*0.475*44/12</f>
        <v>1.3793831450881525E-10</v>
      </c>
      <c r="AC90" s="22">
        <f t="shared" si="57"/>
        <v>97.325106724219793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304</v>
      </c>
      <c r="AJ90" s="13">
        <f>AI90*VLOOKUP('Données projet'!$B$10,Paramètres!$A$1:$I$89,3,0)*VLOOKUP('Données projet'!$B$10,Paramètres!$A$1:$I$89,5,0)</f>
        <v>189.696</v>
      </c>
      <c r="AK90" s="13">
        <f t="shared" si="89"/>
        <v>47.472736505152469</v>
      </c>
      <c r="AL90" s="20">
        <f t="shared" si="58"/>
        <v>413.06888274647389</v>
      </c>
      <c r="AM90" s="59">
        <f t="shared" si="59"/>
        <v>706.4022160798072</v>
      </c>
      <c r="AN90" s="59">
        <f ca="1">AVERAGE(OFFSET($AM$3,0,0,'Données projet'!$E$10+1,1))-AVERAGE(OFFSET($H$3,0,0,'Données projet'!$E$10+1,1))</f>
        <v>179.44051550872138</v>
      </c>
      <c r="AO90" s="59">
        <f t="shared" si="90"/>
        <v>272.9500808380069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39.776603286930381</v>
      </c>
      <c r="AV90" s="21">
        <f>EXP(-LN(2)/25)*AV89+(1-EXP(-LN(2)/25))/(LN(2)/25)*Calculateur!AQ90*Calculateur!AS90*VLOOKUP('Données projet'!$B$10,Paramètres!$A$1:$I$89,3,0)*0.475*44/12</f>
        <v>9.9632950832650469</v>
      </c>
      <c r="AW90" s="21">
        <f>EXP(-LN(2)/2)*AW89+(1-EXP(-LN(2)/2))/(LN(2)/2)*AQ90*AT90*VLOOKUP('Données projet'!$B$10,Paramètres!$A$1:$I$89,3,0)*0.475*44/12</f>
        <v>5.8158778181143433E-10</v>
      </c>
      <c r="AX90" s="21">
        <f t="shared" si="60"/>
        <v>49.739898370777013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0.79999999999995453</v>
      </c>
      <c r="BE90" s="13">
        <f>BD90*VLOOKUP('Données projet'!$B$11,Paramètres!$A$1:$I$89,3,0)*VLOOKUP('Données projet'!$B$11,Paramètres!$A$1:$I$89,5,0)</f>
        <v>0.44719999999997456</v>
      </c>
      <c r="BF90" s="13">
        <f t="shared" si="91"/>
        <v>0.22632652264063857</v>
      </c>
      <c r="BG90" s="20">
        <f t="shared" si="61"/>
        <v>1.1730586935990679</v>
      </c>
      <c r="BH90" s="59">
        <f t="shared" si="62"/>
        <v>294.50639202693236</v>
      </c>
      <c r="BI90" s="59">
        <f ca="1">AVERAGE(OFFSET($BH$3,0,0,'Données projet'!$E$11+1,1))-AVERAGE(OFFSET($H$3,0,0,'Données projet'!$E$11+1,1))</f>
        <v>321.85808080442411</v>
      </c>
      <c r="BJ90" s="59">
        <f t="shared" si="92"/>
        <v>285.95942591879702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267.78904772054034</v>
      </c>
      <c r="BQ90" s="21">
        <f>EXP(-LN(2)/25)*BQ89+(1-EXP(-LN(2)/25))/(LN(2)/25)*Calculateur!BL90*Calculateur!BN90*VLOOKUP('Données projet'!$B$11,Paramètres!$A$1:$I$89,3,0)*0.475*44/12</f>
        <v>5.3501953780258749</v>
      </c>
      <c r="BR90" s="21">
        <f>EXP(-LN(2)/2)*BR89+(1-EXP(-LN(2)/2))/(LN(2)/2)*BL90*BO90*VLOOKUP('Données projet'!$B$11,Paramètres!$A$1:$I$89,3,0)*0.475*44/12</f>
        <v>4.7583406595293106E-9</v>
      </c>
      <c r="BS90" s="22">
        <f t="shared" si="63"/>
        <v>273.13924310332459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689</v>
      </c>
      <c r="O91" s="13">
        <f>N91*VLOOKUP('Données projet'!$B$9,Paramètres!$A$1:$I$89,3,0)*VLOOKUP('Données projet'!$B$9,Paramètres!$A$1:$I$89,5,0)</f>
        <v>412.02199999999999</v>
      </c>
      <c r="P91" s="13">
        <f t="shared" si="87"/>
        <v>94.209724877926391</v>
      </c>
      <c r="Q91" s="20">
        <f t="shared" si="54"/>
        <v>881.686920829055</v>
      </c>
      <c r="R91" s="59">
        <f t="shared" si="55"/>
        <v>1175.0202541623883</v>
      </c>
      <c r="S91" s="59">
        <f ca="1">AVERAGE(OFFSET($R$3,0,0,'Données projet'!$E$9+1,1))-AVERAGE(OFFSET($H$3,0,0,'Données projet'!$E$9+1,1))</f>
        <v>430.93760474982633</v>
      </c>
      <c r="T91" s="59">
        <f t="shared" si="88"/>
        <v>371.5387876502981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83.531244929451233</v>
      </c>
      <c r="AA91" s="21">
        <f>EXP(-LN(2)/25)*AA90+(1-EXP(-LN(2)/25))/(LN(2)/25)*Calculateur!V91*Calculateur!X91*VLOOKUP('Données projet'!$B$9,Paramètres!$A$1:$I$89,3,0)*0.475*44/12</f>
        <v>11.791595584815274</v>
      </c>
      <c r="AB91" s="21">
        <f>EXP(-LN(2)/2)*AB90+(1-EXP(-LN(2)/2))/(LN(2)/2)*V91*Y91*VLOOKUP('Données projet'!$B$9,Paramètres!$A$1:$I$89,3,0)*0.475*44/12</f>
        <v>9.7537117574625999E-11</v>
      </c>
      <c r="AC91" s="22">
        <f t="shared" si="57"/>
        <v>95.322840514364046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304</v>
      </c>
      <c r="AJ91" s="13">
        <f>AI91*VLOOKUP('Données projet'!$B$10,Paramètres!$A$1:$I$89,3,0)*VLOOKUP('Données projet'!$B$10,Paramètres!$A$1:$I$89,5,0)</f>
        <v>189.696</v>
      </c>
      <c r="AK91" s="13">
        <f t="shared" si="89"/>
        <v>47.472736505152469</v>
      </c>
      <c r="AL91" s="20">
        <f t="shared" si="58"/>
        <v>413.06888274647389</v>
      </c>
      <c r="AM91" s="59">
        <f t="shared" si="59"/>
        <v>706.4022160798072</v>
      </c>
      <c r="AN91" s="59">
        <f ca="1">AVERAGE(OFFSET($AM$3,0,0,'Données projet'!$E$10+1,1))-AVERAGE(OFFSET($H$3,0,0,'Données projet'!$E$10+1,1))</f>
        <v>179.44051550872138</v>
      </c>
      <c r="AO91" s="59">
        <f t="shared" si="90"/>
        <v>272.9500808380069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38.996608357806075</v>
      </c>
      <c r="AV91" s="21">
        <f>EXP(-LN(2)/25)*AV90+(1-EXP(-LN(2)/25))/(LN(2)/25)*Calculateur!AQ91*Calculateur!AS91*VLOOKUP('Données projet'!$B$10,Paramètres!$A$1:$I$89,3,0)*0.475*44/12</f>
        <v>9.6908482552662463</v>
      </c>
      <c r="AW91" s="21">
        <f>EXP(-LN(2)/2)*AW90+(1-EXP(-LN(2)/2))/(LN(2)/2)*AQ91*AT91*VLOOKUP('Données projet'!$B$10,Paramètres!$A$1:$I$89,3,0)*0.475*44/12</f>
        <v>4.1124466437410745E-10</v>
      </c>
      <c r="AX91" s="21">
        <f t="shared" si="60"/>
        <v>48.687456613483569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0.79999999999995453</v>
      </c>
      <c r="BE91" s="13">
        <f>BD91*VLOOKUP('Données projet'!$B$11,Paramètres!$A$1:$I$89,3,0)*VLOOKUP('Données projet'!$B$11,Paramètres!$A$1:$I$89,5,0)</f>
        <v>0.44719999999997456</v>
      </c>
      <c r="BF91" s="13">
        <f t="shared" si="91"/>
        <v>0.22632652264063857</v>
      </c>
      <c r="BG91" s="20">
        <f t="shared" si="61"/>
        <v>1.1730586935990679</v>
      </c>
      <c r="BH91" s="59">
        <f t="shared" si="62"/>
        <v>294.50639202693236</v>
      </c>
      <c r="BI91" s="59">
        <f ca="1">AVERAGE(OFFSET($BH$3,0,0,'Données projet'!$E$11+1,1))-AVERAGE(OFFSET($H$3,0,0,'Données projet'!$E$11+1,1))</f>
        <v>321.85808080442411</v>
      </c>
      <c r="BJ91" s="59">
        <f t="shared" si="92"/>
        <v>285.95942591879702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262.53786782993166</v>
      </c>
      <c r="BQ91" s="21">
        <f>EXP(-LN(2)/25)*BQ90+(1-EXP(-LN(2)/25))/(LN(2)/25)*Calculateur!BL91*Calculateur!BN91*VLOOKUP('Données projet'!$B$11,Paramètres!$A$1:$I$89,3,0)*0.475*44/12</f>
        <v>5.2038940040592108</v>
      </c>
      <c r="BR91" s="21">
        <f>EXP(-LN(2)/2)*BR90+(1-EXP(-LN(2)/2))/(LN(2)/2)*BL91*BO91*VLOOKUP('Données projet'!$B$11,Paramètres!$A$1:$I$89,3,0)*0.475*44/12</f>
        <v>3.3646549475488445E-9</v>
      </c>
      <c r="BS91" s="22">
        <f t="shared" si="63"/>
        <v>267.74176183735557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689</v>
      </c>
      <c r="O92" s="13">
        <f>N92*VLOOKUP('Données projet'!$B$9,Paramètres!$A$1:$I$89,3,0)*VLOOKUP('Données projet'!$B$9,Paramètres!$A$1:$I$89,5,0)</f>
        <v>412.02199999999999</v>
      </c>
      <c r="P92" s="13">
        <f t="shared" si="87"/>
        <v>94.209724877926391</v>
      </c>
      <c r="Q92" s="20">
        <f t="shared" si="54"/>
        <v>881.686920829055</v>
      </c>
      <c r="R92" s="59">
        <f t="shared" si="55"/>
        <v>1175.0202541623883</v>
      </c>
      <c r="S92" s="59">
        <f ca="1">AVERAGE(OFFSET($R$3,0,0,'Données projet'!$E$9+1,1))-AVERAGE(OFFSET($H$3,0,0,'Données projet'!$E$9+1,1))</f>
        <v>430.93760474982633</v>
      </c>
      <c r="T92" s="59">
        <f t="shared" si="88"/>
        <v>371.5387876502981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81.893248165413297</v>
      </c>
      <c r="AA92" s="21">
        <f>EXP(-LN(2)/25)*AA91+(1-EXP(-LN(2)/25))/(LN(2)/25)*Calculateur!V92*Calculateur!X92*VLOOKUP('Données projet'!$B$9,Paramètres!$A$1:$I$89,3,0)*0.475*44/12</f>
        <v>11.46915378345544</v>
      </c>
      <c r="AB92" s="21">
        <f>EXP(-LN(2)/2)*AB91+(1-EXP(-LN(2)/2))/(LN(2)/2)*V92*Y92*VLOOKUP('Données projet'!$B$9,Paramètres!$A$1:$I$89,3,0)*0.475*44/12</f>
        <v>6.8969157254407624E-11</v>
      </c>
      <c r="AC92" s="22">
        <f t="shared" si="57"/>
        <v>93.362401948937702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304</v>
      </c>
      <c r="AJ92" s="13">
        <f>AI92*VLOOKUP('Données projet'!$B$10,Paramètres!$A$1:$I$89,3,0)*VLOOKUP('Données projet'!$B$10,Paramètres!$A$1:$I$89,5,0)</f>
        <v>189.696</v>
      </c>
      <c r="AK92" s="13">
        <f t="shared" si="89"/>
        <v>47.472736505152469</v>
      </c>
      <c r="AL92" s="20">
        <f t="shared" si="58"/>
        <v>413.06888274647389</v>
      </c>
      <c r="AM92" s="59">
        <f t="shared" si="59"/>
        <v>706.4022160798072</v>
      </c>
      <c r="AN92" s="59">
        <f ca="1">AVERAGE(OFFSET($AM$3,0,0,'Données projet'!$E$10+1,1))-AVERAGE(OFFSET($H$3,0,0,'Données projet'!$E$10+1,1))</f>
        <v>179.44051550872138</v>
      </c>
      <c r="AO92" s="59">
        <f t="shared" si="90"/>
        <v>272.9500808380069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38.231908653491963</v>
      </c>
      <c r="AV92" s="21">
        <f>EXP(-LN(2)/25)*AV91+(1-EXP(-LN(2)/25))/(LN(2)/25)*Calculateur!AQ92*Calculateur!AS92*VLOOKUP('Données projet'!$B$10,Paramètres!$A$1:$I$89,3,0)*0.475*44/12</f>
        <v>9.4258515001064289</v>
      </c>
      <c r="AW92" s="21">
        <f>EXP(-LN(2)/2)*AW91+(1-EXP(-LN(2)/2))/(LN(2)/2)*AQ92*AT92*VLOOKUP('Données projet'!$B$10,Paramètres!$A$1:$I$89,3,0)*0.475*44/12</f>
        <v>2.9079389090571717E-10</v>
      </c>
      <c r="AX92" s="21">
        <f t="shared" si="60"/>
        <v>47.657760153889186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0.79999999999995453</v>
      </c>
      <c r="BE92" s="13">
        <f>BD92*VLOOKUP('Données projet'!$B$11,Paramètres!$A$1:$I$89,3,0)*VLOOKUP('Données projet'!$B$11,Paramètres!$A$1:$I$89,5,0)</f>
        <v>0.44719999999997456</v>
      </c>
      <c r="BF92" s="13">
        <f t="shared" si="91"/>
        <v>0.22632652264063857</v>
      </c>
      <c r="BG92" s="20">
        <f t="shared" si="61"/>
        <v>1.1730586935990679</v>
      </c>
      <c r="BH92" s="59">
        <f t="shared" si="62"/>
        <v>294.50639202693236</v>
      </c>
      <c r="BI92" s="59">
        <f ca="1">AVERAGE(OFFSET($BH$3,0,0,'Données projet'!$E$11+1,1))-AVERAGE(OFFSET($H$3,0,0,'Données projet'!$E$11+1,1))</f>
        <v>321.85808080442411</v>
      </c>
      <c r="BJ92" s="59">
        <f t="shared" si="92"/>
        <v>285.95942591879702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257.38966037407431</v>
      </c>
      <c r="BQ92" s="21">
        <f>EXP(-LN(2)/25)*BQ91+(1-EXP(-LN(2)/25))/(LN(2)/25)*Calculateur!BL92*Calculateur!BN92*VLOOKUP('Données projet'!$B$11,Paramètres!$A$1:$I$89,3,0)*0.475*44/12</f>
        <v>5.0615932488573199</v>
      </c>
      <c r="BR92" s="21">
        <f>EXP(-LN(2)/2)*BR91+(1-EXP(-LN(2)/2))/(LN(2)/2)*BL92*BO92*VLOOKUP('Données projet'!$B$11,Paramètres!$A$1:$I$89,3,0)*0.475*44/12</f>
        <v>2.3791703297646553E-9</v>
      </c>
      <c r="BS92" s="22">
        <f t="shared" si="63"/>
        <v>262.45125362531081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689</v>
      </c>
      <c r="O93" s="13">
        <f>N93*VLOOKUP('Données projet'!$B$9,Paramètres!$A$1:$I$89,3,0)*VLOOKUP('Données projet'!$B$9,Paramètres!$A$1:$I$89,5,0)</f>
        <v>412.02199999999999</v>
      </c>
      <c r="P93" s="13">
        <f t="shared" si="87"/>
        <v>94.209724877926391</v>
      </c>
      <c r="Q93" s="20">
        <f t="shared" si="54"/>
        <v>881.686920829055</v>
      </c>
      <c r="R93" s="59">
        <f t="shared" si="55"/>
        <v>1175.0202541623883</v>
      </c>
      <c r="S93" s="59">
        <f ca="1">AVERAGE(OFFSET($R$3,0,0,'Données projet'!$E$9+1,1))-AVERAGE(OFFSET($H$3,0,0,'Données projet'!$E$9+1,1))</f>
        <v>430.93760474982633</v>
      </c>
      <c r="T93" s="59">
        <f t="shared" si="88"/>
        <v>371.5387876502981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80.287371518838782</v>
      </c>
      <c r="AA93" s="21">
        <f>EXP(-LN(2)/25)*AA92+(1-EXP(-LN(2)/25))/(LN(2)/25)*Calculateur!V93*Calculateur!X93*VLOOKUP('Données projet'!$B$9,Paramètres!$A$1:$I$89,3,0)*0.475*44/12</f>
        <v>11.155529170110267</v>
      </c>
      <c r="AB93" s="21">
        <f>EXP(-LN(2)/2)*AB92+(1-EXP(-LN(2)/2))/(LN(2)/2)*V93*Y93*VLOOKUP('Données projet'!$B$9,Paramètres!$A$1:$I$89,3,0)*0.475*44/12</f>
        <v>4.8768558787312999E-11</v>
      </c>
      <c r="AC93" s="22">
        <f t="shared" si="57"/>
        <v>91.442900688997824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304</v>
      </c>
      <c r="AJ93" s="13">
        <f>AI93*VLOOKUP('Données projet'!$B$10,Paramètres!$A$1:$I$89,3,0)*VLOOKUP('Données projet'!$B$10,Paramètres!$A$1:$I$89,5,0)</f>
        <v>189.696</v>
      </c>
      <c r="AK93" s="13">
        <f t="shared" si="89"/>
        <v>47.472736505152469</v>
      </c>
      <c r="AL93" s="20">
        <f t="shared" si="58"/>
        <v>413.06888274647389</v>
      </c>
      <c r="AM93" s="59">
        <f t="shared" si="59"/>
        <v>706.4022160798072</v>
      </c>
      <c r="AN93" s="59">
        <f ca="1">AVERAGE(OFFSET($AM$3,0,0,'Données projet'!$E$10+1,1))-AVERAGE(OFFSET($H$3,0,0,'Données projet'!$E$10+1,1))</f>
        <v>179.44051550872138</v>
      </c>
      <c r="AO93" s="59">
        <f t="shared" si="90"/>
        <v>272.9500808380069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37.482204243958691</v>
      </c>
      <c r="AV93" s="21">
        <f>EXP(-LN(2)/25)*AV92+(1-EXP(-LN(2)/25))/(LN(2)/25)*Calculateur!AQ93*Calculateur!AS93*VLOOKUP('Données projet'!$B$10,Paramètres!$A$1:$I$89,3,0)*0.475*44/12</f>
        <v>9.1681010951520321</v>
      </c>
      <c r="AW93" s="21">
        <f>EXP(-LN(2)/2)*AW92+(1-EXP(-LN(2)/2))/(LN(2)/2)*AQ93*AT93*VLOOKUP('Données projet'!$B$10,Paramètres!$A$1:$I$89,3,0)*0.475*44/12</f>
        <v>2.0562233218705372E-10</v>
      </c>
      <c r="AX93" s="21">
        <f t="shared" si="60"/>
        <v>46.650305339316347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0.79999999999995453</v>
      </c>
      <c r="BE93" s="13">
        <f>BD93*VLOOKUP('Données projet'!$B$11,Paramètres!$A$1:$I$89,3,0)*VLOOKUP('Données projet'!$B$11,Paramètres!$A$1:$I$89,5,0)</f>
        <v>0.44719999999997456</v>
      </c>
      <c r="BF93" s="13">
        <f t="shared" si="91"/>
        <v>0.22632652264063857</v>
      </c>
      <c r="BG93" s="20">
        <f t="shared" si="61"/>
        <v>1.1730586935990679</v>
      </c>
      <c r="BH93" s="59">
        <f t="shared" si="62"/>
        <v>294.50639202693236</v>
      </c>
      <c r="BI93" s="59">
        <f ca="1">AVERAGE(OFFSET($BH$3,0,0,'Données projet'!$E$11+1,1))-AVERAGE(OFFSET($H$3,0,0,'Données projet'!$E$11+1,1))</f>
        <v>321.85808080442411</v>
      </c>
      <c r="BJ93" s="59">
        <f t="shared" si="92"/>
        <v>285.95942591879702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252.34240612632985</v>
      </c>
      <c r="BQ93" s="21">
        <f>EXP(-LN(2)/25)*BQ92+(1-EXP(-LN(2)/25))/(LN(2)/25)*Calculateur!BL93*Calculateur!BN93*VLOOKUP('Données projet'!$B$11,Paramètres!$A$1:$I$89,3,0)*0.475*44/12</f>
        <v>4.9231837152896958</v>
      </c>
      <c r="BR93" s="21">
        <f>EXP(-LN(2)/2)*BR92+(1-EXP(-LN(2)/2))/(LN(2)/2)*BL93*BO93*VLOOKUP('Données projet'!$B$11,Paramètres!$A$1:$I$89,3,0)*0.475*44/12</f>
        <v>1.6823274737744223E-9</v>
      </c>
      <c r="BS93" s="22">
        <f t="shared" si="63"/>
        <v>257.26558984330188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689</v>
      </c>
      <c r="O94" s="13">
        <f>N94*VLOOKUP('Données projet'!$B$9,Paramètres!$A$1:$I$89,3,0)*VLOOKUP('Données projet'!$B$9,Paramètres!$A$1:$I$89,5,0)</f>
        <v>412.02199999999999</v>
      </c>
      <c r="P94" s="13">
        <f t="shared" si="87"/>
        <v>94.209724877926391</v>
      </c>
      <c r="Q94" s="20">
        <f t="shared" si="54"/>
        <v>881.686920829055</v>
      </c>
      <c r="R94" s="59">
        <f t="shared" si="55"/>
        <v>1175.0202541623883</v>
      </c>
      <c r="S94" s="59">
        <f ca="1">AVERAGE(OFFSET($R$3,0,0,'Données projet'!$E$9+1,1))-AVERAGE(OFFSET($H$3,0,0,'Données projet'!$E$9+1,1))</f>
        <v>430.93760474982633</v>
      </c>
      <c r="T94" s="59">
        <f t="shared" si="88"/>
        <v>371.5387876502981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78.71298513381555</v>
      </c>
      <c r="AA94" s="21">
        <f>EXP(-LN(2)/25)*AA93+(1-EXP(-LN(2)/25))/(LN(2)/25)*Calculateur!V94*Calculateur!X94*VLOOKUP('Données projet'!$B$9,Paramètres!$A$1:$I$89,3,0)*0.475*44/12</f>
        <v>10.850480638309818</v>
      </c>
      <c r="AB94" s="21">
        <f>EXP(-LN(2)/2)*AB93+(1-EXP(-LN(2)/2))/(LN(2)/2)*V94*Y94*VLOOKUP('Données projet'!$B$9,Paramètres!$A$1:$I$89,3,0)*0.475*44/12</f>
        <v>3.4484578627203812E-11</v>
      </c>
      <c r="AC94" s="22">
        <f t="shared" si="57"/>
        <v>89.563465772159859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304</v>
      </c>
      <c r="AJ94" s="13">
        <f>AI94*VLOOKUP('Données projet'!$B$10,Paramètres!$A$1:$I$89,3,0)*VLOOKUP('Données projet'!$B$10,Paramètres!$A$1:$I$89,5,0)</f>
        <v>189.696</v>
      </c>
      <c r="AK94" s="13">
        <f t="shared" si="89"/>
        <v>47.472736505152469</v>
      </c>
      <c r="AL94" s="20">
        <f t="shared" si="58"/>
        <v>413.06888274647389</v>
      </c>
      <c r="AM94" s="59">
        <f t="shared" si="59"/>
        <v>706.4022160798072</v>
      </c>
      <c r="AN94" s="59">
        <f ca="1">AVERAGE(OFFSET($AM$3,0,0,'Données projet'!$E$10+1,1))-AVERAGE(OFFSET($H$3,0,0,'Données projet'!$E$10+1,1))</f>
        <v>179.44051550872138</v>
      </c>
      <c r="AO94" s="59">
        <f t="shared" si="90"/>
        <v>272.9500808380069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36.747201080621828</v>
      </c>
      <c r="AV94" s="21">
        <f>EXP(-LN(2)/25)*AV93+(1-EXP(-LN(2)/25))/(LN(2)/25)*Calculateur!AQ94*Calculateur!AS94*VLOOKUP('Données projet'!$B$10,Paramètres!$A$1:$I$89,3,0)*0.475*44/12</f>
        <v>8.917398888575617</v>
      </c>
      <c r="AW94" s="21">
        <f>EXP(-LN(2)/2)*AW93+(1-EXP(-LN(2)/2))/(LN(2)/2)*AQ94*AT94*VLOOKUP('Données projet'!$B$10,Paramètres!$A$1:$I$89,3,0)*0.475*44/12</f>
        <v>1.4539694545285858E-10</v>
      </c>
      <c r="AX94" s="21">
        <f t="shared" si="60"/>
        <v>45.664599969342845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0.79999999999995453</v>
      </c>
      <c r="BE94" s="13">
        <f>BD94*VLOOKUP('Données projet'!$B$11,Paramètres!$A$1:$I$89,3,0)*VLOOKUP('Données projet'!$B$11,Paramètres!$A$1:$I$89,5,0)</f>
        <v>0.44719999999997456</v>
      </c>
      <c r="BF94" s="13">
        <f t="shared" si="91"/>
        <v>0.22632652264063857</v>
      </c>
      <c r="BG94" s="20">
        <f t="shared" si="61"/>
        <v>1.1730586935990679</v>
      </c>
      <c r="BH94" s="59">
        <f t="shared" si="62"/>
        <v>294.50639202693236</v>
      </c>
      <c r="BI94" s="59">
        <f ca="1">AVERAGE(OFFSET($BH$3,0,0,'Données projet'!$E$11+1,1))-AVERAGE(OFFSET($H$3,0,0,'Données projet'!$E$11+1,1))</f>
        <v>321.85808080442411</v>
      </c>
      <c r="BJ94" s="59">
        <f t="shared" si="92"/>
        <v>285.95942591879702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247.39412545586254</v>
      </c>
      <c r="BQ94" s="21">
        <f>EXP(-LN(2)/25)*BQ93+(1-EXP(-LN(2)/25))/(LN(2)/25)*Calculateur!BL94*Calculateur!BN94*VLOOKUP('Données projet'!$B$11,Paramètres!$A$1:$I$89,3,0)*0.475*44/12</f>
        <v>4.7885589976961196</v>
      </c>
      <c r="BR94" s="21">
        <f>EXP(-LN(2)/2)*BR93+(1-EXP(-LN(2)/2))/(LN(2)/2)*BL94*BO94*VLOOKUP('Données projet'!$B$11,Paramètres!$A$1:$I$89,3,0)*0.475*44/12</f>
        <v>1.1895851648823277E-9</v>
      </c>
      <c r="BS94" s="22">
        <f t="shared" si="63"/>
        <v>252.18268445474826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689</v>
      </c>
      <c r="O95" s="13">
        <f>N95*VLOOKUP('Données projet'!$B$9,Paramètres!$A$1:$I$89,3,0)*VLOOKUP('Données projet'!$B$9,Paramètres!$A$1:$I$89,5,0)</f>
        <v>412.02199999999999</v>
      </c>
      <c r="P95" s="13">
        <f t="shared" si="87"/>
        <v>94.209724877926391</v>
      </c>
      <c r="Q95" s="20">
        <f t="shared" si="54"/>
        <v>881.686920829055</v>
      </c>
      <c r="R95" s="59">
        <f t="shared" si="55"/>
        <v>1175.0202541623883</v>
      </c>
      <c r="S95" s="59">
        <f ca="1">AVERAGE(OFFSET($R$3,0,0,'Données projet'!$E$9+1,1))-AVERAGE(OFFSET($H$3,0,0,'Données projet'!$E$9+1,1))</f>
        <v>430.93760474982633</v>
      </c>
      <c r="T95" s="59">
        <f t="shared" si="88"/>
        <v>371.5387876502981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77.169471505521742</v>
      </c>
      <c r="AA95" s="21">
        <f>EXP(-LN(2)/25)*AA94+(1-EXP(-LN(2)/25))/(LN(2)/25)*Calculateur!V95*Calculateur!X95*VLOOKUP('Données projet'!$B$9,Paramètres!$A$1:$I$89,3,0)*0.475*44/12</f>
        <v>10.553773674653259</v>
      </c>
      <c r="AB95" s="21">
        <f>EXP(-LN(2)/2)*AB94+(1-EXP(-LN(2)/2))/(LN(2)/2)*V95*Y95*VLOOKUP('Données projet'!$B$9,Paramètres!$A$1:$I$89,3,0)*0.475*44/12</f>
        <v>2.43842793936565E-11</v>
      </c>
      <c r="AC95" s="22">
        <f t="shared" si="57"/>
        <v>87.723245180199385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304</v>
      </c>
      <c r="AJ95" s="13">
        <f>AI95*VLOOKUP('Données projet'!$B$10,Paramètres!$A$1:$I$89,3,0)*VLOOKUP('Données projet'!$B$10,Paramètres!$A$1:$I$89,5,0)</f>
        <v>189.696</v>
      </c>
      <c r="AK95" s="13">
        <f t="shared" si="89"/>
        <v>47.472736505152469</v>
      </c>
      <c r="AL95" s="20">
        <f t="shared" si="58"/>
        <v>413.06888274647389</v>
      </c>
      <c r="AM95" s="59">
        <f t="shared" si="59"/>
        <v>706.4022160798072</v>
      </c>
      <c r="AN95" s="59">
        <f ca="1">AVERAGE(OFFSET($AM$3,0,0,'Données projet'!$E$10+1,1))-AVERAGE(OFFSET($H$3,0,0,'Données projet'!$E$10+1,1))</f>
        <v>179.44051550872138</v>
      </c>
      <c r="AO95" s="59">
        <f t="shared" si="90"/>
        <v>272.9500808380069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36.026610881010335</v>
      </c>
      <c r="AV95" s="21">
        <f>EXP(-LN(2)/25)*AV94+(1-EXP(-LN(2)/25))/(LN(2)/25)*Calculateur!AQ95*Calculateur!AS95*VLOOKUP('Données projet'!$B$10,Paramètres!$A$1:$I$89,3,0)*0.475*44/12</f>
        <v>8.6735521470218906</v>
      </c>
      <c r="AW95" s="21">
        <f>EXP(-LN(2)/2)*AW94+(1-EXP(-LN(2)/2))/(LN(2)/2)*AQ95*AT95*VLOOKUP('Données projet'!$B$10,Paramètres!$A$1:$I$89,3,0)*0.475*44/12</f>
        <v>1.0281116609352686E-10</v>
      </c>
      <c r="AX95" s="21">
        <f t="shared" si="60"/>
        <v>44.70016302813503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0.79999999999995453</v>
      </c>
      <c r="BE95" s="13">
        <f>BD95*VLOOKUP('Données projet'!$B$11,Paramètres!$A$1:$I$89,3,0)*VLOOKUP('Données projet'!$B$11,Paramètres!$A$1:$I$89,5,0)</f>
        <v>0.44719999999997456</v>
      </c>
      <c r="BF95" s="13">
        <f t="shared" si="91"/>
        <v>0.22632652264063857</v>
      </c>
      <c r="BG95" s="20">
        <f t="shared" si="61"/>
        <v>1.1730586935990679</v>
      </c>
      <c r="BH95" s="59">
        <f t="shared" si="62"/>
        <v>294.50639202693236</v>
      </c>
      <c r="BI95" s="59">
        <f ca="1">AVERAGE(OFFSET($BH$3,0,0,'Données projet'!$E$11+1,1))-AVERAGE(OFFSET($H$3,0,0,'Données projet'!$E$11+1,1))</f>
        <v>321.85808080442411</v>
      </c>
      <c r="BJ95" s="59">
        <f t="shared" si="92"/>
        <v>285.95942591879702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242.54287755118992</v>
      </c>
      <c r="BQ95" s="21">
        <f>EXP(-LN(2)/25)*BQ94+(1-EXP(-LN(2)/25))/(LN(2)/25)*Calculateur!BL95*Calculateur!BN95*VLOOKUP('Données projet'!$B$11,Paramètres!$A$1:$I$89,3,0)*0.475*44/12</f>
        <v>4.6576156000847462</v>
      </c>
      <c r="BR95" s="21">
        <f>EXP(-LN(2)/2)*BR94+(1-EXP(-LN(2)/2))/(LN(2)/2)*BL95*BO95*VLOOKUP('Données projet'!$B$11,Paramètres!$A$1:$I$89,3,0)*0.475*44/12</f>
        <v>8.4116373688721113E-10</v>
      </c>
      <c r="BS95" s="22">
        <f t="shared" si="63"/>
        <v>247.20049315211583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689</v>
      </c>
      <c r="O96" s="13">
        <f>N96*VLOOKUP('Données projet'!$B$9,Paramètres!$A$1:$I$89,3,0)*VLOOKUP('Données projet'!$B$9,Paramètres!$A$1:$I$89,5,0)</f>
        <v>412.02199999999999</v>
      </c>
      <c r="P96" s="13">
        <f t="shared" si="87"/>
        <v>94.209724877926391</v>
      </c>
      <c r="Q96" s="20">
        <f t="shared" si="54"/>
        <v>881.686920829055</v>
      </c>
      <c r="R96" s="59">
        <f t="shared" si="55"/>
        <v>1175.0202541623883</v>
      </c>
      <c r="S96" s="59">
        <f ca="1">AVERAGE(OFFSET($R$3,0,0,'Données projet'!$E$9+1,1))-AVERAGE(OFFSET($H$3,0,0,'Données projet'!$E$9+1,1))</f>
        <v>430.93760474982633</v>
      </c>
      <c r="T96" s="59">
        <f t="shared" si="88"/>
        <v>371.5387876502981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75.656225238028426</v>
      </c>
      <c r="AA96" s="21">
        <f>EXP(-LN(2)/25)*AA95+(1-EXP(-LN(2)/25))/(LN(2)/25)*Calculateur!V96*Calculateur!X96*VLOOKUP('Données projet'!$B$9,Paramètres!$A$1:$I$89,3,0)*0.475*44/12</f>
        <v>10.26518017852103</v>
      </c>
      <c r="AB96" s="21">
        <f>EXP(-LN(2)/2)*AB95+(1-EXP(-LN(2)/2))/(LN(2)/2)*V96*Y96*VLOOKUP('Données projet'!$B$9,Paramètres!$A$1:$I$89,3,0)*0.475*44/12</f>
        <v>1.7242289313601906E-11</v>
      </c>
      <c r="AC96" s="22">
        <f t="shared" si="57"/>
        <v>85.921405416566699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304</v>
      </c>
      <c r="AJ96" s="13">
        <f>AI96*VLOOKUP('Données projet'!$B$10,Paramètres!$A$1:$I$89,3,0)*VLOOKUP('Données projet'!$B$10,Paramètres!$A$1:$I$89,5,0)</f>
        <v>189.696</v>
      </c>
      <c r="AK96" s="13">
        <f t="shared" si="89"/>
        <v>47.472736505152469</v>
      </c>
      <c r="AL96" s="20">
        <f t="shared" si="58"/>
        <v>413.06888274647389</v>
      </c>
      <c r="AM96" s="59">
        <f t="shared" si="59"/>
        <v>706.4022160798072</v>
      </c>
      <c r="AN96" s="59">
        <f ca="1">AVERAGE(OFFSET($AM$3,0,0,'Données projet'!$E$10+1,1))-AVERAGE(OFFSET($H$3,0,0,'Données projet'!$E$10+1,1))</f>
        <v>179.44051550872138</v>
      </c>
      <c r="AO96" s="59">
        <f t="shared" si="90"/>
        <v>272.9500808380069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35.320151015696602</v>
      </c>
      <c r="AV96" s="21">
        <f>EXP(-LN(2)/25)*AV95+(1-EXP(-LN(2)/25))/(LN(2)/25)*Calculateur!AQ96*Calculateur!AS96*VLOOKUP('Données projet'!$B$10,Paramètres!$A$1:$I$89,3,0)*0.475*44/12</f>
        <v>8.4363734074392926</v>
      </c>
      <c r="AW96" s="21">
        <f>EXP(-LN(2)/2)*AW95+(1-EXP(-LN(2)/2))/(LN(2)/2)*AQ96*AT96*VLOOKUP('Données projet'!$B$10,Paramètres!$A$1:$I$89,3,0)*0.475*44/12</f>
        <v>7.2698472726429292E-11</v>
      </c>
      <c r="AX96" s="21">
        <f t="shared" si="60"/>
        <v>43.756524423208589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0.79999999999995453</v>
      </c>
      <c r="BE96" s="13">
        <f>BD96*VLOOKUP('Données projet'!$B$11,Paramètres!$A$1:$I$89,3,0)*VLOOKUP('Données projet'!$B$11,Paramètres!$A$1:$I$89,5,0)</f>
        <v>0.44719999999997456</v>
      </c>
      <c r="BF96" s="13">
        <f t="shared" si="91"/>
        <v>0.22632652264063857</v>
      </c>
      <c r="BG96" s="20">
        <f t="shared" si="61"/>
        <v>1.1730586935990679</v>
      </c>
      <c r="BH96" s="59">
        <f t="shared" si="62"/>
        <v>294.50639202693236</v>
      </c>
      <c r="BI96" s="59">
        <f ca="1">AVERAGE(OFFSET($BH$3,0,0,'Données projet'!$E$11+1,1))-AVERAGE(OFFSET($H$3,0,0,'Données projet'!$E$11+1,1))</f>
        <v>321.85808080442411</v>
      </c>
      <c r="BJ96" s="59">
        <f t="shared" si="92"/>
        <v>285.95942591879702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237.78675965895886</v>
      </c>
      <c r="BQ96" s="21">
        <f>EXP(-LN(2)/25)*BQ95+(1-EXP(-LN(2)/25))/(LN(2)/25)*Calculateur!BL96*Calculateur!BN96*VLOOKUP('Données projet'!$B$11,Paramètres!$A$1:$I$89,3,0)*0.475*44/12</f>
        <v>4.5302528565670697</v>
      </c>
      <c r="BR96" s="21">
        <f>EXP(-LN(2)/2)*BR95+(1-EXP(-LN(2)/2))/(LN(2)/2)*BL96*BO96*VLOOKUP('Données projet'!$B$11,Paramètres!$A$1:$I$89,3,0)*0.475*44/12</f>
        <v>5.9479258244116383E-10</v>
      </c>
      <c r="BS96" s="22">
        <f t="shared" si="63"/>
        <v>242.31701251612071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689</v>
      </c>
      <c r="O97" s="13">
        <f>N97*VLOOKUP('Données projet'!$B$9,Paramètres!$A$1:$I$89,3,0)*VLOOKUP('Données projet'!$B$9,Paramètres!$A$1:$I$89,5,0)</f>
        <v>412.02199999999999</v>
      </c>
      <c r="P97" s="13">
        <f t="shared" si="87"/>
        <v>94.209724877926391</v>
      </c>
      <c r="Q97" s="20">
        <f t="shared" si="54"/>
        <v>881.686920829055</v>
      </c>
      <c r="R97" s="59">
        <f t="shared" si="55"/>
        <v>1175.0202541623883</v>
      </c>
      <c r="S97" s="59">
        <f ca="1">AVERAGE(OFFSET($R$3,0,0,'Données projet'!$E$9+1,1))-AVERAGE(OFFSET($H$3,0,0,'Données projet'!$E$9+1,1))</f>
        <v>430.93760474982633</v>
      </c>
      <c r="T97" s="59">
        <f t="shared" si="88"/>
        <v>371.5387876502981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74.172652806851573</v>
      </c>
      <c r="AA97" s="21">
        <f>EXP(-LN(2)/25)*AA96+(1-EXP(-LN(2)/25))/(LN(2)/25)*Calculateur!V97*Calculateur!X97*VLOOKUP('Données projet'!$B$9,Paramètres!$A$1:$I$89,3,0)*0.475*44/12</f>
        <v>9.9844782867170085</v>
      </c>
      <c r="AB97" s="21">
        <f>EXP(-LN(2)/2)*AB96+(1-EXP(-LN(2)/2))/(LN(2)/2)*V97*Y97*VLOOKUP('Données projet'!$B$9,Paramètres!$A$1:$I$89,3,0)*0.475*44/12</f>
        <v>1.219213969682825E-11</v>
      </c>
      <c r="AC97" s="22">
        <f t="shared" si="57"/>
        <v>84.157131093580773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304</v>
      </c>
      <c r="AJ97" s="13">
        <f>AI97*VLOOKUP('Données projet'!$B$10,Paramètres!$A$1:$I$89,3,0)*VLOOKUP('Données projet'!$B$10,Paramètres!$A$1:$I$89,5,0)</f>
        <v>189.696</v>
      </c>
      <c r="AK97" s="13">
        <f t="shared" si="89"/>
        <v>47.472736505152469</v>
      </c>
      <c r="AL97" s="20">
        <f t="shared" si="58"/>
        <v>413.06888274647389</v>
      </c>
      <c r="AM97" s="59">
        <f t="shared" si="59"/>
        <v>706.4022160798072</v>
      </c>
      <c r="AN97" s="59">
        <f ca="1">AVERAGE(OFFSET($AM$3,0,0,'Données projet'!$E$10+1,1))-AVERAGE(OFFSET($H$3,0,0,'Données projet'!$E$10+1,1))</f>
        <v>179.44051550872138</v>
      </c>
      <c r="AO97" s="59">
        <f t="shared" si="90"/>
        <v>272.9500808380069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34.6275443974437</v>
      </c>
      <c r="AV97" s="21">
        <f>EXP(-LN(2)/25)*AV96+(1-EXP(-LN(2)/25))/(LN(2)/25)*Calculateur!AQ97*Calculateur!AS97*VLOOKUP('Données projet'!$B$10,Paramètres!$A$1:$I$89,3,0)*0.475*44/12</f>
        <v>8.2056803329632686</v>
      </c>
      <c r="AW97" s="21">
        <f>EXP(-LN(2)/2)*AW96+(1-EXP(-LN(2)/2))/(LN(2)/2)*AQ97*AT97*VLOOKUP('Données projet'!$B$10,Paramètres!$A$1:$I$89,3,0)*0.475*44/12</f>
        <v>5.1405583046763431E-11</v>
      </c>
      <c r="AX97" s="21">
        <f t="shared" si="60"/>
        <v>42.833224730458376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0.79999999999995453</v>
      </c>
      <c r="BE97" s="13">
        <f>BD97*VLOOKUP('Données projet'!$B$11,Paramètres!$A$1:$I$89,3,0)*VLOOKUP('Données projet'!$B$11,Paramètres!$A$1:$I$89,5,0)</f>
        <v>0.44719999999997456</v>
      </c>
      <c r="BF97" s="13">
        <f t="shared" si="91"/>
        <v>0.22632652264063857</v>
      </c>
      <c r="BG97" s="20">
        <f t="shared" si="61"/>
        <v>1.1730586935990679</v>
      </c>
      <c r="BH97" s="59">
        <f t="shared" si="62"/>
        <v>294.50639202693236</v>
      </c>
      <c r="BI97" s="59">
        <f ca="1">AVERAGE(OFFSET($BH$3,0,0,'Données projet'!$E$11+1,1))-AVERAGE(OFFSET($H$3,0,0,'Données projet'!$E$11+1,1))</f>
        <v>321.85808080442411</v>
      </c>
      <c r="BJ97" s="59">
        <f t="shared" si="92"/>
        <v>285.95942591879702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233.123906337649</v>
      </c>
      <c r="BQ97" s="21">
        <f>EXP(-LN(2)/25)*BQ96+(1-EXP(-LN(2)/25))/(LN(2)/25)*Calculateur!BL97*Calculateur!BN97*VLOOKUP('Données projet'!$B$11,Paramètres!$A$1:$I$89,3,0)*0.475*44/12</f>
        <v>4.4063728539685991</v>
      </c>
      <c r="BR97" s="21">
        <f>EXP(-LN(2)/2)*BR96+(1-EXP(-LN(2)/2))/(LN(2)/2)*BL97*BO97*VLOOKUP('Données projet'!$B$11,Paramètres!$A$1:$I$89,3,0)*0.475*44/12</f>
        <v>4.2058186844360557E-10</v>
      </c>
      <c r="BS97" s="22">
        <f t="shared" si="63"/>
        <v>237.53027919203819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689</v>
      </c>
      <c r="O98" s="13">
        <f>N98*VLOOKUP('Données projet'!$B$9,Paramètres!$A$1:$I$89,3,0)*VLOOKUP('Données projet'!$B$9,Paramètres!$A$1:$I$89,5,0)</f>
        <v>412.02199999999999</v>
      </c>
      <c r="P98" s="13">
        <f t="shared" si="87"/>
        <v>94.209724877926391</v>
      </c>
      <c r="Q98" s="20">
        <f t="shared" si="54"/>
        <v>881.686920829055</v>
      </c>
      <c r="R98" s="59">
        <f t="shared" si="55"/>
        <v>1175.0202541623883</v>
      </c>
      <c r="S98" s="59">
        <f ca="1">AVERAGE(OFFSET($R$3,0,0,'Données projet'!$E$9+1,1))-AVERAGE(OFFSET($H$3,0,0,'Données projet'!$E$9+1,1))</f>
        <v>430.93760474982633</v>
      </c>
      <c r="T98" s="59">
        <f t="shared" si="88"/>
        <v>371.5387876502981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72.718172326160257</v>
      </c>
      <c r="AA98" s="21">
        <f>EXP(-LN(2)/25)*AA97+(1-EXP(-LN(2)/25))/(LN(2)/25)*Calculateur!V98*Calculateur!X98*VLOOKUP('Données projet'!$B$9,Paramètres!$A$1:$I$89,3,0)*0.475*44/12</f>
        <v>9.7114522029058392</v>
      </c>
      <c r="AB98" s="21">
        <f>EXP(-LN(2)/2)*AB97+(1-EXP(-LN(2)/2))/(LN(2)/2)*V98*Y98*VLOOKUP('Données projet'!$B$9,Paramètres!$A$1:$I$89,3,0)*0.475*44/12</f>
        <v>8.621144656800953E-12</v>
      </c>
      <c r="AC98" s="22">
        <f t="shared" si="57"/>
        <v>82.429624529074729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304</v>
      </c>
      <c r="AJ98" s="13">
        <f>AI98*VLOOKUP('Données projet'!$B$10,Paramètres!$A$1:$I$89,3,0)*VLOOKUP('Données projet'!$B$10,Paramètres!$A$1:$I$89,5,0)</f>
        <v>189.696</v>
      </c>
      <c r="AK98" s="13">
        <f t="shared" si="89"/>
        <v>47.472736505152469</v>
      </c>
      <c r="AL98" s="20">
        <f t="shared" si="58"/>
        <v>413.06888274647389</v>
      </c>
      <c r="AM98" s="59">
        <f t="shared" si="59"/>
        <v>706.4022160798072</v>
      </c>
      <c r="AN98" s="59">
        <f ca="1">AVERAGE(OFFSET($AM$3,0,0,'Données projet'!$E$10+1,1))-AVERAGE(OFFSET($H$3,0,0,'Données projet'!$E$10+1,1))</f>
        <v>179.44051550872138</v>
      </c>
      <c r="AO98" s="59">
        <f t="shared" si="90"/>
        <v>272.9500808380069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33.948519372526412</v>
      </c>
      <c r="AV98" s="21">
        <f>EXP(-LN(2)/25)*AV97+(1-EXP(-LN(2)/25))/(LN(2)/25)*Calculateur!AQ98*Calculateur!AS98*VLOOKUP('Données projet'!$B$10,Paramètres!$A$1:$I$89,3,0)*0.475*44/12</f>
        <v>7.9812955727404136</v>
      </c>
      <c r="AW98" s="21">
        <f>EXP(-LN(2)/2)*AW97+(1-EXP(-LN(2)/2))/(LN(2)/2)*AQ98*AT98*VLOOKUP('Données projet'!$B$10,Paramètres!$A$1:$I$89,3,0)*0.475*44/12</f>
        <v>3.6349236363214646E-11</v>
      </c>
      <c r="AX98" s="21">
        <f t="shared" si="60"/>
        <v>41.929814945303178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0.79999999999995453</v>
      </c>
      <c r="BE98" s="13">
        <f>BD98*VLOOKUP('Données projet'!$B$11,Paramètres!$A$1:$I$89,3,0)*VLOOKUP('Données projet'!$B$11,Paramètres!$A$1:$I$89,5,0)</f>
        <v>0.44719999999997456</v>
      </c>
      <c r="BF98" s="13">
        <f t="shared" si="91"/>
        <v>0.22632652264063857</v>
      </c>
      <c r="BG98" s="20">
        <f t="shared" si="61"/>
        <v>1.1730586935990679</v>
      </c>
      <c r="BH98" s="59">
        <f t="shared" si="62"/>
        <v>294.50639202693236</v>
      </c>
      <c r="BI98" s="59">
        <f ca="1">AVERAGE(OFFSET($BH$3,0,0,'Données projet'!$E$11+1,1))-AVERAGE(OFFSET($H$3,0,0,'Données projet'!$E$11+1,1))</f>
        <v>321.85808080442411</v>
      </c>
      <c r="BJ98" s="59">
        <f t="shared" si="92"/>
        <v>285.95942591879702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228.55248872591034</v>
      </c>
      <c r="BQ98" s="21">
        <f>EXP(-LN(2)/25)*BQ97+(1-EXP(-LN(2)/25))/(LN(2)/25)*Calculateur!BL98*Calculateur!BN98*VLOOKUP('Données projet'!$B$11,Paramètres!$A$1:$I$89,3,0)*0.475*44/12</f>
        <v>4.2858803565557499</v>
      </c>
      <c r="BR98" s="21">
        <f>EXP(-LN(2)/2)*BR97+(1-EXP(-LN(2)/2))/(LN(2)/2)*BL98*BO98*VLOOKUP('Données projet'!$B$11,Paramètres!$A$1:$I$89,3,0)*0.475*44/12</f>
        <v>2.9739629122058191E-10</v>
      </c>
      <c r="BS98" s="22">
        <f t="shared" si="63"/>
        <v>232.83836908276348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689</v>
      </c>
      <c r="O99" s="13">
        <f>N99*VLOOKUP('Données projet'!$B$9,Paramètres!$A$1:$I$89,3,0)*VLOOKUP('Données projet'!$B$9,Paramètres!$A$1:$I$89,5,0)</f>
        <v>412.02199999999999</v>
      </c>
      <c r="P99" s="13">
        <f t="shared" si="87"/>
        <v>94.209724877926391</v>
      </c>
      <c r="Q99" s="20">
        <f t="shared" ref="Q99:Q130" si="107">(O99+P99)*0.475*44/12</f>
        <v>881.686920829055</v>
      </c>
      <c r="R99" s="59">
        <f t="shared" si="55"/>
        <v>1175.0202541623883</v>
      </c>
      <c r="S99" s="59">
        <f ca="1">AVERAGE(OFFSET($R$3,0,0,'Données projet'!$E$9+1,1))-AVERAGE(OFFSET($H$3,0,0,'Données projet'!$E$9+1,1))</f>
        <v>430.93760474982633</v>
      </c>
      <c r="T99" s="59">
        <f t="shared" si="88"/>
        <v>371.5387876502981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71.292213320549806</v>
      </c>
      <c r="AA99" s="21">
        <f>EXP(-LN(2)/25)*AA98+(1-EXP(-LN(2)/25))/(LN(2)/25)*Calculateur!V99*Calculateur!X99*VLOOKUP('Données projet'!$B$9,Paramètres!$A$1:$I$89,3,0)*0.475*44/12</f>
        <v>9.4458920317143029</v>
      </c>
      <c r="AB99" s="21">
        <f>EXP(-LN(2)/2)*AB98+(1-EXP(-LN(2)/2))/(LN(2)/2)*V99*Y99*VLOOKUP('Données projet'!$B$9,Paramètres!$A$1:$I$89,3,0)*0.475*44/12</f>
        <v>6.0960698484141249E-12</v>
      </c>
      <c r="AC99" s="22">
        <f t="shared" si="57"/>
        <v>80.73810535227021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304</v>
      </c>
      <c r="AJ99" s="13">
        <f>AI99*VLOOKUP('Données projet'!$B$10,Paramètres!$A$1:$I$89,3,0)*VLOOKUP('Données projet'!$B$10,Paramètres!$A$1:$I$89,5,0)</f>
        <v>189.696</v>
      </c>
      <c r="AK99" s="13">
        <f t="shared" si="89"/>
        <v>47.472736505152469</v>
      </c>
      <c r="AL99" s="20">
        <f t="shared" si="58"/>
        <v>413.06888274647389</v>
      </c>
      <c r="AM99" s="59">
        <f t="shared" si="59"/>
        <v>706.4022160798072</v>
      </c>
      <c r="AN99" s="59">
        <f ca="1">AVERAGE(OFFSET($AM$3,0,0,'Données projet'!$E$10+1,1))-AVERAGE(OFFSET($H$3,0,0,'Données projet'!$E$10+1,1))</f>
        <v>179.44051550872138</v>
      </c>
      <c r="AO99" s="59">
        <f t="shared" si="90"/>
        <v>272.9500808380069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33.282809614183385</v>
      </c>
      <c r="AV99" s="21">
        <f>EXP(-LN(2)/25)*AV98+(1-EXP(-LN(2)/25))/(LN(2)/25)*Calculateur!AQ99*Calculateur!AS99*VLOOKUP('Données projet'!$B$10,Paramètres!$A$1:$I$89,3,0)*0.475*44/12</f>
        <v>7.7630466255857344</v>
      </c>
      <c r="AW99" s="21">
        <f>EXP(-LN(2)/2)*AW98+(1-EXP(-LN(2)/2))/(LN(2)/2)*AQ99*AT99*VLOOKUP('Données projet'!$B$10,Paramètres!$A$1:$I$89,3,0)*0.475*44/12</f>
        <v>2.5702791523381715E-11</v>
      </c>
      <c r="AX99" s="21">
        <f t="shared" si="60"/>
        <v>41.045856239794823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0.79999999999995453</v>
      </c>
      <c r="BE99" s="13">
        <f>BD99*VLOOKUP('Données projet'!$B$11,Paramètres!$A$1:$I$89,3,0)*VLOOKUP('Données projet'!$B$11,Paramètres!$A$1:$I$89,5,0)</f>
        <v>0.44719999999997456</v>
      </c>
      <c r="BF99" s="13">
        <f t="shared" si="91"/>
        <v>0.22632652264063857</v>
      </c>
      <c r="BG99" s="20">
        <f t="shared" si="61"/>
        <v>1.1730586935990679</v>
      </c>
      <c r="BH99" s="59">
        <f t="shared" si="62"/>
        <v>294.50639202693236</v>
      </c>
      <c r="BI99" s="59">
        <f ca="1">AVERAGE(OFFSET($BH$3,0,0,'Données projet'!$E$11+1,1))-AVERAGE(OFFSET($H$3,0,0,'Données projet'!$E$11+1,1))</f>
        <v>321.85808080442411</v>
      </c>
      <c r="BJ99" s="59">
        <f t="shared" si="92"/>
        <v>285.95942591879702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224.07071382524842</v>
      </c>
      <c r="BQ99" s="21">
        <f>EXP(-LN(2)/25)*BQ98+(1-EXP(-LN(2)/25))/(LN(2)/25)*Calculateur!BL99*Calculateur!BN99*VLOOKUP('Données projet'!$B$11,Paramètres!$A$1:$I$89,3,0)*0.475*44/12</f>
        <v>4.1686827328210807</v>
      </c>
      <c r="BR99" s="21">
        <f>EXP(-LN(2)/2)*BR98+(1-EXP(-LN(2)/2))/(LN(2)/2)*BL99*BO99*VLOOKUP('Données projet'!$B$11,Paramètres!$A$1:$I$89,3,0)*0.475*44/12</f>
        <v>2.1029093422180278E-10</v>
      </c>
      <c r="BS99" s="22">
        <f t="shared" si="63"/>
        <v>228.23939655827979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689</v>
      </c>
      <c r="O100" s="13">
        <f>N100*VLOOKUP('Données projet'!$B$9,Paramètres!$A$1:$I$89,3,0)*VLOOKUP('Données projet'!$B$9,Paramètres!$A$1:$I$89,5,0)</f>
        <v>412.02199999999999</v>
      </c>
      <c r="P100" s="13">
        <f t="shared" si="87"/>
        <v>94.209724877926391</v>
      </c>
      <c r="Q100" s="20">
        <f t="shared" si="107"/>
        <v>881.686920829055</v>
      </c>
      <c r="R100" s="59">
        <f t="shared" si="55"/>
        <v>1175.0202541623883</v>
      </c>
      <c r="S100" s="59">
        <f ca="1">AVERAGE(OFFSET($R$3,0,0,'Données projet'!$E$9+1,1))-AVERAGE(OFFSET($H$3,0,0,'Données projet'!$E$9+1,1))</f>
        <v>430.93760474982633</v>
      </c>
      <c r="T100" s="59">
        <f t="shared" si="88"/>
        <v>371.5387876502981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69.894216501290259</v>
      </c>
      <c r="AA100" s="21">
        <f>EXP(-LN(2)/25)*AA99+(1-EXP(-LN(2)/25))/(LN(2)/25)*Calculateur!V100*Calculateur!X100*VLOOKUP('Données projet'!$B$9,Paramètres!$A$1:$I$89,3,0)*0.475*44/12</f>
        <v>9.1875936173692025</v>
      </c>
      <c r="AB100" s="21">
        <f>EXP(-LN(2)/2)*AB99+(1-EXP(-LN(2)/2))/(LN(2)/2)*V100*Y100*VLOOKUP('Données projet'!$B$9,Paramètres!$A$1:$I$89,3,0)*0.475*44/12</f>
        <v>4.3105723284004765E-12</v>
      </c>
      <c r="AC100" s="22">
        <f t="shared" si="57"/>
        <v>79.081810118663768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304</v>
      </c>
      <c r="AJ100" s="13">
        <f>AI100*VLOOKUP('Données projet'!$B$10,Paramètres!$A$1:$I$89,3,0)*VLOOKUP('Données projet'!$B$10,Paramètres!$A$1:$I$89,5,0)</f>
        <v>189.696</v>
      </c>
      <c r="AK100" s="13">
        <f t="shared" si="89"/>
        <v>47.472736505152469</v>
      </c>
      <c r="AL100" s="20">
        <f t="shared" si="58"/>
        <v>413.06888274647389</v>
      </c>
      <c r="AM100" s="59">
        <f t="shared" si="59"/>
        <v>706.4022160798072</v>
      </c>
      <c r="AN100" s="59">
        <f ca="1">AVERAGE(OFFSET($AM$3,0,0,'Données projet'!$E$10+1,1))-AVERAGE(OFFSET($H$3,0,0,'Données projet'!$E$10+1,1))</f>
        <v>179.44051550872138</v>
      </c>
      <c r="AO100" s="59">
        <f t="shared" si="90"/>
        <v>272.9500808380069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32.630154018158606</v>
      </c>
      <c r="AV100" s="21">
        <f>EXP(-LN(2)/25)*AV99+(1-EXP(-LN(2)/25))/(LN(2)/25)*Calculateur!AQ100*Calculateur!AS100*VLOOKUP('Données projet'!$B$10,Paramètres!$A$1:$I$89,3,0)*0.475*44/12</f>
        <v>7.5507657073682131</v>
      </c>
      <c r="AW100" s="21">
        <f>EXP(-LN(2)/2)*AW99+(1-EXP(-LN(2)/2))/(LN(2)/2)*AQ100*AT100*VLOOKUP('Données projet'!$B$10,Paramètres!$A$1:$I$89,3,0)*0.475*44/12</f>
        <v>1.8174618181607323E-11</v>
      </c>
      <c r="AX100" s="21">
        <f t="shared" si="60"/>
        <v>40.180919725544996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0.79999999999995453</v>
      </c>
      <c r="BE100" s="13">
        <f>BD100*VLOOKUP('Données projet'!$B$11,Paramètres!$A$1:$I$89,3,0)*VLOOKUP('Données projet'!$B$11,Paramètres!$A$1:$I$89,5,0)</f>
        <v>0.44719999999997456</v>
      </c>
      <c r="BF100" s="13">
        <f t="shared" si="91"/>
        <v>0.22632652264063857</v>
      </c>
      <c r="BG100" s="20">
        <f t="shared" si="61"/>
        <v>1.1730586935990679</v>
      </c>
      <c r="BH100" s="59">
        <f t="shared" si="62"/>
        <v>294.50639202693236</v>
      </c>
      <c r="BI100" s="59">
        <f ca="1">AVERAGE(OFFSET($BH$3,0,0,'Données projet'!$E$11+1,1))-AVERAGE(OFFSET($H$3,0,0,'Données projet'!$E$11+1,1))</f>
        <v>321.85808080442411</v>
      </c>
      <c r="BJ100" s="59">
        <f t="shared" si="92"/>
        <v>285.95942591879702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219.67682379677572</v>
      </c>
      <c r="BQ100" s="21">
        <f>EXP(-LN(2)/25)*BQ99+(1-EXP(-LN(2)/25))/(LN(2)/25)*Calculateur!BL100*Calculateur!BN100*VLOOKUP('Données projet'!$B$11,Paramètres!$A$1:$I$89,3,0)*0.475*44/12</f>
        <v>4.0546898842705907</v>
      </c>
      <c r="BR100" s="21">
        <f>EXP(-LN(2)/2)*BR99+(1-EXP(-LN(2)/2))/(LN(2)/2)*BL100*BO100*VLOOKUP('Données projet'!$B$11,Paramètres!$A$1:$I$89,3,0)*0.475*44/12</f>
        <v>1.4869814561029096E-10</v>
      </c>
      <c r="BS100" s="22">
        <f t="shared" si="63"/>
        <v>223.73151368119503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689</v>
      </c>
      <c r="O101" s="13">
        <f>N101*VLOOKUP('Données projet'!$B$9,Paramètres!$A$1:$I$89,3,0)*VLOOKUP('Données projet'!$B$9,Paramètres!$A$1:$I$89,5,0)</f>
        <v>412.02199999999999</v>
      </c>
      <c r="P101" s="13">
        <f t="shared" si="87"/>
        <v>94.209724877926391</v>
      </c>
      <c r="Q101" s="20">
        <f t="shared" si="107"/>
        <v>881.686920829055</v>
      </c>
      <c r="R101" s="59">
        <f t="shared" si="55"/>
        <v>1175.0202541623883</v>
      </c>
      <c r="S101" s="59">
        <f ca="1">AVERAGE(OFFSET($R$3,0,0,'Données projet'!$E$9+1,1))-AVERAGE(OFFSET($H$3,0,0,'Données projet'!$E$9+1,1))</f>
        <v>430.93760474982633</v>
      </c>
      <c r="T101" s="59">
        <f t="shared" si="88"/>
        <v>371.5387876502981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68.523633546962529</v>
      </c>
      <c r="AA101" s="21">
        <f>EXP(-LN(2)/25)*AA100+(1-EXP(-LN(2)/25))/(LN(2)/25)*Calculateur!V101*Calculateur!X101*VLOOKUP('Données projet'!$B$9,Paramètres!$A$1:$I$89,3,0)*0.475*44/12</f>
        <v>8.9363583867476919</v>
      </c>
      <c r="AB101" s="21">
        <f>EXP(-LN(2)/2)*AB100+(1-EXP(-LN(2)/2))/(LN(2)/2)*V101*Y101*VLOOKUP('Données projet'!$B$9,Paramètres!$A$1:$I$89,3,0)*0.475*44/12</f>
        <v>3.0480349242070625E-12</v>
      </c>
      <c r="AC101" s="22">
        <f t="shared" si="57"/>
        <v>77.459991933713269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304</v>
      </c>
      <c r="AJ101" s="13">
        <f>AI101*VLOOKUP('Données projet'!$B$10,Paramètres!$A$1:$I$89,3,0)*VLOOKUP('Données projet'!$B$10,Paramètres!$A$1:$I$89,5,0)</f>
        <v>189.696</v>
      </c>
      <c r="AK101" s="13">
        <f t="shared" si="89"/>
        <v>47.472736505152469</v>
      </c>
      <c r="AL101" s="20">
        <f t="shared" si="58"/>
        <v>413.06888274647389</v>
      </c>
      <c r="AM101" s="59">
        <f t="shared" si="59"/>
        <v>706.4022160798072</v>
      </c>
      <c r="AN101" s="59">
        <f ca="1">AVERAGE(OFFSET($AM$3,0,0,'Données projet'!$E$10+1,1))-AVERAGE(OFFSET($H$3,0,0,'Données projet'!$E$10+1,1))</f>
        <v>179.44051550872138</v>
      </c>
      <c r="AO101" s="59">
        <f t="shared" si="90"/>
        <v>272.9500808380069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31.990296600291266</v>
      </c>
      <c r="AV101" s="21">
        <f>EXP(-LN(2)/25)*AV100+(1-EXP(-LN(2)/25))/(LN(2)/25)*Calculateur!AQ101*Calculateur!AS101*VLOOKUP('Données projet'!$B$10,Paramètres!$A$1:$I$89,3,0)*0.475*44/12</f>
        <v>7.3442896220227185</v>
      </c>
      <c r="AW101" s="21">
        <f>EXP(-LN(2)/2)*AW100+(1-EXP(-LN(2)/2))/(LN(2)/2)*AQ101*AT101*VLOOKUP('Données projet'!$B$10,Paramètres!$A$1:$I$89,3,0)*0.475*44/12</f>
        <v>1.2851395761690858E-11</v>
      </c>
      <c r="AX101" s="21">
        <f t="shared" si="60"/>
        <v>39.334586222326841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0.79999999999995453</v>
      </c>
      <c r="BE101" s="13">
        <f>BD101*VLOOKUP('Données projet'!$B$11,Paramètres!$A$1:$I$89,3,0)*VLOOKUP('Données projet'!$B$11,Paramètres!$A$1:$I$89,5,0)</f>
        <v>0.44719999999997456</v>
      </c>
      <c r="BF101" s="13">
        <f t="shared" si="91"/>
        <v>0.22632652264063857</v>
      </c>
      <c r="BG101" s="20">
        <f t="shared" si="61"/>
        <v>1.1730586935990679</v>
      </c>
      <c r="BH101" s="59">
        <f t="shared" si="62"/>
        <v>294.50639202693236</v>
      </c>
      <c r="BI101" s="59">
        <f ca="1">AVERAGE(OFFSET($BH$3,0,0,'Données projet'!$E$11+1,1))-AVERAGE(OFFSET($H$3,0,0,'Données projet'!$E$11+1,1))</f>
        <v>321.85808080442411</v>
      </c>
      <c r="BJ101" s="59">
        <f t="shared" si="92"/>
        <v>285.95942591879702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215.36909527175308</v>
      </c>
      <c r="BQ101" s="21">
        <f>EXP(-LN(2)/25)*BQ100+(1-EXP(-LN(2)/25))/(LN(2)/25)*Calculateur!BL101*Calculateur!BN101*VLOOKUP('Données projet'!$B$11,Paramètres!$A$1:$I$89,3,0)*0.475*44/12</f>
        <v>3.9438141761583374</v>
      </c>
      <c r="BR101" s="21">
        <f>EXP(-LN(2)/2)*BR100+(1-EXP(-LN(2)/2))/(LN(2)/2)*BL101*BO101*VLOOKUP('Données projet'!$B$11,Paramètres!$A$1:$I$89,3,0)*0.475*44/12</f>
        <v>1.0514546711090139E-10</v>
      </c>
      <c r="BS101" s="22">
        <f t="shared" si="63"/>
        <v>219.31290944801654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689</v>
      </c>
      <c r="O102" s="13">
        <f>N102*VLOOKUP('Données projet'!$B$9,Paramètres!$A$1:$I$89,3,0)*VLOOKUP('Données projet'!$B$9,Paramètres!$A$1:$I$89,5,0)</f>
        <v>412.02199999999999</v>
      </c>
      <c r="P102" s="13">
        <f t="shared" si="87"/>
        <v>94.209724877926391</v>
      </c>
      <c r="Q102" s="20">
        <f t="shared" si="107"/>
        <v>881.686920829055</v>
      </c>
      <c r="R102" s="59">
        <f t="shared" si="55"/>
        <v>1175.0202541623883</v>
      </c>
      <c r="S102" s="59">
        <f ca="1">AVERAGE(OFFSET($R$3,0,0,'Données projet'!$E$9+1,1))-AVERAGE(OFFSET($H$3,0,0,'Données projet'!$E$9+1,1))</f>
        <v>430.93760474982633</v>
      </c>
      <c r="T102" s="59">
        <f t="shared" si="88"/>
        <v>371.5387876502981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67.17992688839611</v>
      </c>
      <c r="AA102" s="21">
        <f>EXP(-LN(2)/25)*AA101+(1-EXP(-LN(2)/25))/(LN(2)/25)*Calculateur!V102*Calculateur!X102*VLOOKUP('Données projet'!$B$9,Paramètres!$A$1:$I$89,3,0)*0.475*44/12</f>
        <v>8.6919931967194124</v>
      </c>
      <c r="AB102" s="21">
        <f>EXP(-LN(2)/2)*AB101+(1-EXP(-LN(2)/2))/(LN(2)/2)*V102*Y102*VLOOKUP('Données projet'!$B$9,Paramètres!$A$1:$I$89,3,0)*0.475*44/12</f>
        <v>2.1552861642002382E-12</v>
      </c>
      <c r="AC102" s="22">
        <f t="shared" si="57"/>
        <v>75.871920085117679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304</v>
      </c>
      <c r="AJ102" s="13">
        <f>AI102*VLOOKUP('Données projet'!$B$10,Paramètres!$A$1:$I$89,3,0)*VLOOKUP('Données projet'!$B$10,Paramètres!$A$1:$I$89,5,0)</f>
        <v>189.696</v>
      </c>
      <c r="AK102" s="13">
        <f t="shared" si="89"/>
        <v>47.472736505152469</v>
      </c>
      <c r="AL102" s="20">
        <f t="shared" si="58"/>
        <v>413.06888274647389</v>
      </c>
      <c r="AM102" s="59">
        <f t="shared" si="59"/>
        <v>706.4022160798072</v>
      </c>
      <c r="AN102" s="59">
        <f ca="1">AVERAGE(OFFSET($AM$3,0,0,'Données projet'!$E$10+1,1))-AVERAGE(OFFSET($H$3,0,0,'Données projet'!$E$10+1,1))</f>
        <v>179.44051550872138</v>
      </c>
      <c r="AO102" s="59">
        <f t="shared" si="90"/>
        <v>272.9500808380069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31.362986396113815</v>
      </c>
      <c r="AV102" s="21">
        <f>EXP(-LN(2)/25)*AV101+(1-EXP(-LN(2)/25))/(LN(2)/25)*Calculateur!AQ102*Calculateur!AS102*VLOOKUP('Données projet'!$B$10,Paramètres!$A$1:$I$89,3,0)*0.475*44/12</f>
        <v>7.1434596360891014</v>
      </c>
      <c r="AW102" s="21">
        <f>EXP(-LN(2)/2)*AW101+(1-EXP(-LN(2)/2))/(LN(2)/2)*AQ102*AT102*VLOOKUP('Données projet'!$B$10,Paramètres!$A$1:$I$89,3,0)*0.475*44/12</f>
        <v>9.0873090908036615E-12</v>
      </c>
      <c r="AX102" s="21">
        <f t="shared" si="60"/>
        <v>38.506446032212004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0.79999999999995453</v>
      </c>
      <c r="BE102" s="13">
        <f>BD102*VLOOKUP('Données projet'!$B$11,Paramètres!$A$1:$I$89,3,0)*VLOOKUP('Données projet'!$B$11,Paramètres!$A$1:$I$89,5,0)</f>
        <v>0.44719999999997456</v>
      </c>
      <c r="BF102" s="13">
        <f t="shared" si="91"/>
        <v>0.22632652264063857</v>
      </c>
      <c r="BG102" s="20">
        <f t="shared" si="61"/>
        <v>1.1730586935990679</v>
      </c>
      <c r="BH102" s="59">
        <f t="shared" si="62"/>
        <v>294.50639202693236</v>
      </c>
      <c r="BI102" s="59">
        <f ca="1">AVERAGE(OFFSET($BH$3,0,0,'Données projet'!$E$11+1,1))-AVERAGE(OFFSET($H$3,0,0,'Données projet'!$E$11+1,1))</f>
        <v>321.85808080442411</v>
      </c>
      <c r="BJ102" s="59">
        <f t="shared" si="92"/>
        <v>285.95942591879702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211.14583867565119</v>
      </c>
      <c r="BQ102" s="21">
        <f>EXP(-LN(2)/25)*BQ101+(1-EXP(-LN(2)/25))/(LN(2)/25)*Calculateur!BL102*Calculateur!BN102*VLOOKUP('Données projet'!$B$11,Paramètres!$A$1:$I$89,3,0)*0.475*44/12</f>
        <v>3.8359703701151138</v>
      </c>
      <c r="BR102" s="21">
        <f>EXP(-LN(2)/2)*BR101+(1-EXP(-LN(2)/2))/(LN(2)/2)*BL102*BO102*VLOOKUP('Données projet'!$B$11,Paramètres!$A$1:$I$89,3,0)*0.475*44/12</f>
        <v>7.4349072805145479E-11</v>
      </c>
      <c r="BS102" s="22">
        <f t="shared" si="63"/>
        <v>214.98180904584066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689</v>
      </c>
      <c r="O103" s="13">
        <f>N103*VLOOKUP('Données projet'!$B$9,Paramètres!$A$1:$I$89,3,0)*VLOOKUP('Données projet'!$B$9,Paramètres!$A$1:$I$89,5,0)</f>
        <v>412.02199999999999</v>
      </c>
      <c r="P103" s="13">
        <f t="shared" si="87"/>
        <v>94.209724877926391</v>
      </c>
      <c r="Q103" s="20">
        <f t="shared" si="107"/>
        <v>881.686920829055</v>
      </c>
      <c r="R103" s="59">
        <f t="shared" si="55"/>
        <v>1175.0202541623883</v>
      </c>
      <c r="S103" s="59">
        <f ca="1">AVERAGE(OFFSET($R$3,0,0,'Données projet'!$E$9+1,1))-AVERAGE(OFFSET($H$3,0,0,'Données projet'!$E$9+1,1))</f>
        <v>430.93760474982633</v>
      </c>
      <c r="T103" s="59">
        <f t="shared" si="88"/>
        <v>371.5387876502981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65.862569497824055</v>
      </c>
      <c r="AA103" s="21">
        <f>EXP(-LN(2)/25)*AA102+(1-EXP(-LN(2)/25))/(LN(2)/25)*Calculateur!V103*Calculateur!X103*VLOOKUP('Données projet'!$B$9,Paramètres!$A$1:$I$89,3,0)*0.475*44/12</f>
        <v>8.4543101856630631</v>
      </c>
      <c r="AB103" s="21">
        <f>EXP(-LN(2)/2)*AB102+(1-EXP(-LN(2)/2))/(LN(2)/2)*V103*Y103*VLOOKUP('Données projet'!$B$9,Paramètres!$A$1:$I$89,3,0)*0.475*44/12</f>
        <v>1.5240174621035312E-12</v>
      </c>
      <c r="AC103" s="22">
        <f t="shared" si="57"/>
        <v>74.316879683488636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304</v>
      </c>
      <c r="AJ103" s="13">
        <f>AI103*VLOOKUP('Données projet'!$B$10,Paramètres!$A$1:$I$89,3,0)*VLOOKUP('Données projet'!$B$10,Paramètres!$A$1:$I$89,5,0)</f>
        <v>189.696</v>
      </c>
      <c r="AK103" s="13">
        <f t="shared" si="89"/>
        <v>47.472736505152469</v>
      </c>
      <c r="AL103" s="20">
        <f t="shared" si="58"/>
        <v>413.06888274647389</v>
      </c>
      <c r="AM103" s="59">
        <f t="shared" si="59"/>
        <v>706.4022160798072</v>
      </c>
      <c r="AN103" s="59">
        <f ca="1">AVERAGE(OFFSET($AM$3,0,0,'Données projet'!$E$10+1,1))-AVERAGE(OFFSET($H$3,0,0,'Données projet'!$E$10+1,1))</f>
        <v>179.44051550872138</v>
      </c>
      <c r="AO103" s="59">
        <f t="shared" si="90"/>
        <v>272.9500808380069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30.74797736241884</v>
      </c>
      <c r="AV103" s="21">
        <f>EXP(-LN(2)/25)*AV102+(1-EXP(-LN(2)/25))/(LN(2)/25)*Calculateur!AQ103*Calculateur!AS103*VLOOKUP('Données projet'!$B$10,Paramètres!$A$1:$I$89,3,0)*0.475*44/12</f>
        <v>6.9481213566820292</v>
      </c>
      <c r="AW103" s="21">
        <f>EXP(-LN(2)/2)*AW102+(1-EXP(-LN(2)/2))/(LN(2)/2)*AQ103*AT103*VLOOKUP('Données projet'!$B$10,Paramètres!$A$1:$I$89,3,0)*0.475*44/12</f>
        <v>6.4256978808454289E-12</v>
      </c>
      <c r="AX103" s="21">
        <f t="shared" si="60"/>
        <v>37.69609871910729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0.79999999999995453</v>
      </c>
      <c r="BE103" s="13">
        <f>BD103*VLOOKUP('Données projet'!$B$11,Paramètres!$A$1:$I$89,3,0)*VLOOKUP('Données projet'!$B$11,Paramètres!$A$1:$I$89,5,0)</f>
        <v>0.44719999999997456</v>
      </c>
      <c r="BF103" s="13">
        <f t="shared" si="91"/>
        <v>0.22632652264063857</v>
      </c>
      <c r="BG103" s="20">
        <f t="shared" si="61"/>
        <v>1.1730586935990679</v>
      </c>
      <c r="BH103" s="59">
        <f t="shared" si="62"/>
        <v>294.50639202693236</v>
      </c>
      <c r="BI103" s="59">
        <f ca="1">AVERAGE(OFFSET($BH$3,0,0,'Données projet'!$E$11+1,1))-AVERAGE(OFFSET($H$3,0,0,'Données projet'!$E$11+1,1))</f>
        <v>321.85808080442411</v>
      </c>
      <c r="BJ103" s="59">
        <f t="shared" si="92"/>
        <v>285.95942591879702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207.00539756546667</v>
      </c>
      <c r="BQ103" s="21">
        <f>EXP(-LN(2)/25)*BQ102+(1-EXP(-LN(2)/25))/(LN(2)/25)*Calculateur!BL103*Calculateur!BN103*VLOOKUP('Données projet'!$B$11,Paramètres!$A$1:$I$89,3,0)*0.475*44/12</f>
        <v>3.7310755586194015</v>
      </c>
      <c r="BR103" s="21">
        <f>EXP(-LN(2)/2)*BR102+(1-EXP(-LN(2)/2))/(LN(2)/2)*BL103*BO103*VLOOKUP('Données projet'!$B$11,Paramètres!$A$1:$I$89,3,0)*0.475*44/12</f>
        <v>5.2572733555450696E-11</v>
      </c>
      <c r="BS103" s="22">
        <f t="shared" si="63"/>
        <v>210.73647312413866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689</v>
      </c>
      <c r="O104" s="13">
        <f>N104*VLOOKUP('Données projet'!$B$9,Paramètres!$A$1:$I$89,3,0)*VLOOKUP('Données projet'!$B$9,Paramètres!$A$1:$I$89,5,0)</f>
        <v>412.02199999999999</v>
      </c>
      <c r="P104" s="13">
        <f t="shared" si="87"/>
        <v>94.209724877926391</v>
      </c>
      <c r="Q104" s="20">
        <f t="shared" si="107"/>
        <v>881.686920829055</v>
      </c>
      <c r="R104" s="59">
        <f t="shared" si="55"/>
        <v>1175.0202541623883</v>
      </c>
      <c r="S104" s="59">
        <f ca="1">AVERAGE(OFFSET($R$3,0,0,'Données projet'!$E$9+1,1))-AVERAGE(OFFSET($H$3,0,0,'Données projet'!$E$9+1,1))</f>
        <v>430.93760474982633</v>
      </c>
      <c r="T104" s="59">
        <f t="shared" si="88"/>
        <v>371.5387876502981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64.571044682172442</v>
      </c>
      <c r="AA104" s="21">
        <f>EXP(-LN(2)/25)*AA103+(1-EXP(-LN(2)/25))/(LN(2)/25)*Calculateur!V104*Calculateur!X104*VLOOKUP('Données projet'!$B$9,Paramètres!$A$1:$I$89,3,0)*0.475*44/12</f>
        <v>8.2231266290432572</v>
      </c>
      <c r="AB104" s="21">
        <f>EXP(-LN(2)/2)*AB103+(1-EXP(-LN(2)/2))/(LN(2)/2)*V104*Y104*VLOOKUP('Données projet'!$B$9,Paramètres!$A$1:$I$89,3,0)*0.475*44/12</f>
        <v>1.0776430821001191E-12</v>
      </c>
      <c r="AC104" s="22">
        <f t="shared" si="57"/>
        <v>72.794171311216786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304</v>
      </c>
      <c r="AJ104" s="13">
        <f>AI104*VLOOKUP('Données projet'!$B$10,Paramètres!$A$1:$I$89,3,0)*VLOOKUP('Données projet'!$B$10,Paramètres!$A$1:$I$89,5,0)</f>
        <v>189.696</v>
      </c>
      <c r="AK104" s="13">
        <f t="shared" si="89"/>
        <v>47.472736505152469</v>
      </c>
      <c r="AL104" s="20">
        <f t="shared" si="58"/>
        <v>413.06888274647389</v>
      </c>
      <c r="AM104" s="59">
        <f t="shared" si="59"/>
        <v>706.4022160798072</v>
      </c>
      <c r="AN104" s="59">
        <f ca="1">AVERAGE(OFFSET($AM$3,0,0,'Données projet'!$E$10+1,1))-AVERAGE(OFFSET($H$3,0,0,'Données projet'!$E$10+1,1))</f>
        <v>179.44051550872138</v>
      </c>
      <c r="AO104" s="59">
        <f t="shared" si="90"/>
        <v>272.9500808380069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30.145028280756154</v>
      </c>
      <c r="AV104" s="21">
        <f>EXP(-LN(2)/25)*AV103+(1-EXP(-LN(2)/25))/(LN(2)/25)*Calculateur!AQ104*Calculateur!AS104*VLOOKUP('Données projet'!$B$10,Paramètres!$A$1:$I$89,3,0)*0.475*44/12</f>
        <v>6.7581246127977375</v>
      </c>
      <c r="AW104" s="21">
        <f>EXP(-LN(2)/2)*AW103+(1-EXP(-LN(2)/2))/(LN(2)/2)*AQ104*AT104*VLOOKUP('Données projet'!$B$10,Paramètres!$A$1:$I$89,3,0)*0.475*44/12</f>
        <v>4.5436545454018307E-12</v>
      </c>
      <c r="AX104" s="21">
        <f t="shared" si="60"/>
        <v>36.903152893558435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0.79999999999995453</v>
      </c>
      <c r="BE104" s="13">
        <f>BD104*VLOOKUP('Données projet'!$B$11,Paramètres!$A$1:$I$89,3,0)*VLOOKUP('Données projet'!$B$11,Paramètres!$A$1:$I$89,5,0)</f>
        <v>0.44719999999997456</v>
      </c>
      <c r="BF104" s="13">
        <f t="shared" si="91"/>
        <v>0.22632652264063857</v>
      </c>
      <c r="BG104" s="20">
        <f t="shared" si="61"/>
        <v>1.1730586935990679</v>
      </c>
      <c r="BH104" s="59">
        <f t="shared" si="62"/>
        <v>294.50639202693236</v>
      </c>
      <c r="BI104" s="59">
        <f ca="1">AVERAGE(OFFSET($BH$3,0,0,'Données projet'!$E$11+1,1))-AVERAGE(OFFSET($H$3,0,0,'Données projet'!$E$11+1,1))</f>
        <v>321.85808080442411</v>
      </c>
      <c r="BJ104" s="59">
        <f t="shared" si="92"/>
        <v>285.95942591879702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202.94614798003315</v>
      </c>
      <c r="BQ104" s="21">
        <f>EXP(-LN(2)/25)*BQ103+(1-EXP(-LN(2)/25))/(LN(2)/25)*Calculateur!BL104*Calculateur!BN104*VLOOKUP('Données projet'!$B$11,Paramètres!$A$1:$I$89,3,0)*0.475*44/12</f>
        <v>3.6290491012602177</v>
      </c>
      <c r="BR104" s="21">
        <f>EXP(-LN(2)/2)*BR103+(1-EXP(-LN(2)/2))/(LN(2)/2)*BL104*BO104*VLOOKUP('Données projet'!$B$11,Paramètres!$A$1:$I$89,3,0)*0.475*44/12</f>
        <v>3.7174536402572739E-11</v>
      </c>
      <c r="BS104" s="22">
        <f t="shared" si="63"/>
        <v>206.57519708133054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689</v>
      </c>
      <c r="O105" s="13">
        <f>N105*VLOOKUP('Données projet'!$B$9,Paramètres!$A$1:$I$89,3,0)*VLOOKUP('Données projet'!$B$9,Paramètres!$A$1:$I$89,5,0)</f>
        <v>412.02199999999999</v>
      </c>
      <c r="P105" s="13">
        <f t="shared" si="87"/>
        <v>94.209724877926391</v>
      </c>
      <c r="Q105" s="20">
        <f t="shared" si="107"/>
        <v>881.686920829055</v>
      </c>
      <c r="R105" s="59">
        <f t="shared" si="55"/>
        <v>1175.0202541623883</v>
      </c>
      <c r="S105" s="59">
        <f ca="1">AVERAGE(OFFSET($R$3,0,0,'Données projet'!$E$9+1,1))-AVERAGE(OFFSET($H$3,0,0,'Données projet'!$E$9+1,1))</f>
        <v>430.93760474982633</v>
      </c>
      <c r="T105" s="59">
        <f t="shared" si="88"/>
        <v>371.5387876502981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63.304845880403406</v>
      </c>
      <c r="AA105" s="21">
        <f>EXP(-LN(2)/25)*AA104+(1-EXP(-LN(2)/25))/(LN(2)/25)*Calculateur!V105*Calculateur!X105*VLOOKUP('Données projet'!$B$9,Paramètres!$A$1:$I$89,3,0)*0.475*44/12</f>
        <v>7.998264798936634</v>
      </c>
      <c r="AB105" s="21">
        <f>EXP(-LN(2)/2)*AB104+(1-EXP(-LN(2)/2))/(LN(2)/2)*V105*Y105*VLOOKUP('Données projet'!$B$9,Paramètres!$A$1:$I$89,3,0)*0.475*44/12</f>
        <v>7.6200873105176562E-13</v>
      </c>
      <c r="AC105" s="22">
        <f t="shared" si="57"/>
        <v>71.303110679340804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304</v>
      </c>
      <c r="AJ105" s="13">
        <f>AI105*VLOOKUP('Données projet'!$B$10,Paramètres!$A$1:$I$89,3,0)*VLOOKUP('Données projet'!$B$10,Paramètres!$A$1:$I$89,5,0)</f>
        <v>189.696</v>
      </c>
      <c r="AK105" s="13">
        <f t="shared" si="89"/>
        <v>47.472736505152469</v>
      </c>
      <c r="AL105" s="20">
        <f t="shared" si="58"/>
        <v>413.06888274647389</v>
      </c>
      <c r="AM105" s="59">
        <f t="shared" si="59"/>
        <v>706.4022160798072</v>
      </c>
      <c r="AN105" s="59">
        <f ca="1">AVERAGE(OFFSET($AM$3,0,0,'Données projet'!$E$10+1,1))-AVERAGE(OFFSET($H$3,0,0,'Données projet'!$E$10+1,1))</f>
        <v>179.44051550872138</v>
      </c>
      <c r="AO105" s="59">
        <f t="shared" si="90"/>
        <v>272.9500808380069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29.553902662822246</v>
      </c>
      <c r="AV105" s="21">
        <f>EXP(-LN(2)/25)*AV104+(1-EXP(-LN(2)/25))/(LN(2)/25)*Calculateur!AQ105*Calculateur!AS105*VLOOKUP('Données projet'!$B$10,Paramètres!$A$1:$I$89,3,0)*0.475*44/12</f>
        <v>6.5733233398664561</v>
      </c>
      <c r="AW105" s="21">
        <f>EXP(-LN(2)/2)*AW104+(1-EXP(-LN(2)/2))/(LN(2)/2)*AQ105*AT105*VLOOKUP('Données projet'!$B$10,Paramètres!$A$1:$I$89,3,0)*0.475*44/12</f>
        <v>3.2128489404227144E-12</v>
      </c>
      <c r="AX105" s="21">
        <f t="shared" si="60"/>
        <v>36.127226002691913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0.79999999999995453</v>
      </c>
      <c r="BE105" s="13">
        <f>BD105*VLOOKUP('Données projet'!$B$11,Paramètres!$A$1:$I$89,3,0)*VLOOKUP('Données projet'!$B$11,Paramètres!$A$1:$I$89,5,0)</f>
        <v>0.44719999999997456</v>
      </c>
      <c r="BF105" s="13">
        <f t="shared" si="91"/>
        <v>0.22632652264063857</v>
      </c>
      <c r="BG105" s="20">
        <f t="shared" si="61"/>
        <v>1.1730586935990679</v>
      </c>
      <c r="BH105" s="59">
        <f t="shared" si="62"/>
        <v>294.50639202693236</v>
      </c>
      <c r="BI105" s="59">
        <f ca="1">AVERAGE(OFFSET($BH$3,0,0,'Données projet'!$E$11+1,1))-AVERAGE(OFFSET($H$3,0,0,'Données projet'!$E$11+1,1))</f>
        <v>321.85808080442411</v>
      </c>
      <c r="BJ105" s="59">
        <f t="shared" si="92"/>
        <v>285.95942591879702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198.96649780307223</v>
      </c>
      <c r="BQ105" s="21">
        <f>EXP(-LN(2)/25)*BQ104+(1-EXP(-LN(2)/25))/(LN(2)/25)*Calculateur!BL105*Calculateur!BN105*VLOOKUP('Données projet'!$B$11,Paramètres!$A$1:$I$89,3,0)*0.475*44/12</f>
        <v>3.5298125627428591</v>
      </c>
      <c r="BR105" s="21">
        <f>EXP(-LN(2)/2)*BR104+(1-EXP(-LN(2)/2))/(LN(2)/2)*BL105*BO105*VLOOKUP('Données projet'!$B$11,Paramètres!$A$1:$I$89,3,0)*0.475*44/12</f>
        <v>2.6286366777725348E-11</v>
      </c>
      <c r="BS105" s="22">
        <f t="shared" si="63"/>
        <v>202.49631036584137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689</v>
      </c>
      <c r="O106" s="13">
        <f>N106*VLOOKUP('Données projet'!$B$9,Paramètres!$A$1:$I$89,3,0)*VLOOKUP('Données projet'!$B$9,Paramètres!$A$1:$I$89,5,0)</f>
        <v>412.02199999999999</v>
      </c>
      <c r="P106" s="13">
        <f t="shared" si="87"/>
        <v>94.209724877926391</v>
      </c>
      <c r="Q106" s="20">
        <f t="shared" si="107"/>
        <v>881.686920829055</v>
      </c>
      <c r="R106" s="59">
        <f t="shared" si="55"/>
        <v>1175.0202541623883</v>
      </c>
      <c r="S106" s="59">
        <f ca="1">AVERAGE(OFFSET($R$3,0,0,'Données projet'!$E$9+1,1))-AVERAGE(OFFSET($H$3,0,0,'Données projet'!$E$9+1,1))</f>
        <v>430.93760474982633</v>
      </c>
      <c r="T106" s="59">
        <f t="shared" si="88"/>
        <v>371.5387876502981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62.06347646483205</v>
      </c>
      <c r="AA106" s="21">
        <f>EXP(-LN(2)/25)*AA105+(1-EXP(-LN(2)/25))/(LN(2)/25)*Calculateur!V106*Calculateur!X106*VLOOKUP('Données projet'!$B$9,Paramètres!$A$1:$I$89,3,0)*0.475*44/12</f>
        <v>7.7795518273992466</v>
      </c>
      <c r="AB106" s="21">
        <f>EXP(-LN(2)/2)*AB105+(1-EXP(-LN(2)/2))/(LN(2)/2)*V106*Y106*VLOOKUP('Données projet'!$B$9,Paramètres!$A$1:$I$89,3,0)*0.475*44/12</f>
        <v>5.3882154105005956E-13</v>
      </c>
      <c r="AC106" s="22">
        <f t="shared" si="57"/>
        <v>69.843028292231836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304</v>
      </c>
      <c r="AJ106" s="13">
        <f>AI106*VLOOKUP('Données projet'!$B$10,Paramètres!$A$1:$I$89,3,0)*VLOOKUP('Données projet'!$B$10,Paramètres!$A$1:$I$89,5,0)</f>
        <v>189.696</v>
      </c>
      <c r="AK106" s="13">
        <f t="shared" si="89"/>
        <v>47.472736505152469</v>
      </c>
      <c r="AL106" s="20">
        <f t="shared" si="58"/>
        <v>413.06888274647389</v>
      </c>
      <c r="AM106" s="59">
        <f t="shared" si="59"/>
        <v>706.4022160798072</v>
      </c>
      <c r="AN106" s="59">
        <f ca="1">AVERAGE(OFFSET($AM$3,0,0,'Données projet'!$E$10+1,1))-AVERAGE(OFFSET($H$3,0,0,'Données projet'!$E$10+1,1))</f>
        <v>179.44051550872138</v>
      </c>
      <c r="AO106" s="59">
        <f t="shared" si="90"/>
        <v>272.9500808380069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28.974368657704996</v>
      </c>
      <c r="AV106" s="21">
        <f>EXP(-LN(2)/25)*AV105+(1-EXP(-LN(2)/25))/(LN(2)/25)*Calculateur!AQ106*Calculateur!AS106*VLOOKUP('Données projet'!$B$10,Paramètres!$A$1:$I$89,3,0)*0.475*44/12</f>
        <v>6.3935754674617566</v>
      </c>
      <c r="AW106" s="21">
        <f>EXP(-LN(2)/2)*AW105+(1-EXP(-LN(2)/2))/(LN(2)/2)*AQ106*AT106*VLOOKUP('Données projet'!$B$10,Paramètres!$A$1:$I$89,3,0)*0.475*44/12</f>
        <v>2.2718272727009154E-12</v>
      </c>
      <c r="AX106" s="21">
        <f t="shared" si="60"/>
        <v>35.367944125169025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0.79999999999995453</v>
      </c>
      <c r="BE106" s="13">
        <f>BD106*VLOOKUP('Données projet'!$B$11,Paramètres!$A$1:$I$89,3,0)*VLOOKUP('Données projet'!$B$11,Paramètres!$A$1:$I$89,5,0)</f>
        <v>0.44719999999997456</v>
      </c>
      <c r="BF106" s="13">
        <f t="shared" si="91"/>
        <v>0.22632652264063857</v>
      </c>
      <c r="BG106" s="20">
        <f t="shared" si="61"/>
        <v>1.1730586935990679</v>
      </c>
      <c r="BH106" s="59">
        <f t="shared" si="62"/>
        <v>294.50639202693236</v>
      </c>
      <c r="BI106" s="59">
        <f ca="1">AVERAGE(OFFSET($BH$3,0,0,'Données projet'!$E$11+1,1))-AVERAGE(OFFSET($H$3,0,0,'Données projet'!$E$11+1,1))</f>
        <v>321.85808080442411</v>
      </c>
      <c r="BJ106" s="59">
        <f t="shared" si="92"/>
        <v>285.95942591879702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195.06488613873458</v>
      </c>
      <c r="BQ106" s="21">
        <f>EXP(-LN(2)/25)*BQ105+(1-EXP(-LN(2)/25))/(LN(2)/25)*Calculateur!BL106*Calculateur!BN106*VLOOKUP('Données projet'!$B$11,Paramètres!$A$1:$I$89,3,0)*0.475*44/12</f>
        <v>3.4332896525898806</v>
      </c>
      <c r="BR106" s="21">
        <f>EXP(-LN(2)/2)*BR105+(1-EXP(-LN(2)/2))/(LN(2)/2)*BL106*BO106*VLOOKUP('Données projet'!$B$11,Paramètres!$A$1:$I$89,3,0)*0.475*44/12</f>
        <v>1.858726820128637E-11</v>
      </c>
      <c r="BS106" s="22">
        <f t="shared" si="63"/>
        <v>198.49817579134304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689</v>
      </c>
      <c r="O107" s="13">
        <f>N107*VLOOKUP('Données projet'!$B$9,Paramètres!$A$1:$I$89,3,0)*VLOOKUP('Données projet'!$B$9,Paramètres!$A$1:$I$89,5,0)</f>
        <v>412.02199999999999</v>
      </c>
      <c r="P107" s="13">
        <f t="shared" si="87"/>
        <v>94.209724877926391</v>
      </c>
      <c r="Q107" s="20">
        <f t="shared" si="107"/>
        <v>881.686920829055</v>
      </c>
      <c r="R107" s="59">
        <f t="shared" si="55"/>
        <v>1175.0202541623883</v>
      </c>
      <c r="S107" s="59">
        <f ca="1">AVERAGE(OFFSET($R$3,0,0,'Données projet'!$E$9+1,1))-AVERAGE(OFFSET($H$3,0,0,'Données projet'!$E$9+1,1))</f>
        <v>430.93760474982633</v>
      </c>
      <c r="T107" s="59">
        <f t="shared" si="88"/>
        <v>371.5387876502981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60.846449546339471</v>
      </c>
      <c r="AA107" s="21">
        <f>EXP(-LN(2)/25)*AA106+(1-EXP(-LN(2)/25))/(LN(2)/25)*Calculateur!V107*Calculateur!X107*VLOOKUP('Données projet'!$B$9,Paramètres!$A$1:$I$89,3,0)*0.475*44/12</f>
        <v>7.5668195735701635</v>
      </c>
      <c r="AB107" s="21">
        <f>EXP(-LN(2)/2)*AB106+(1-EXP(-LN(2)/2))/(LN(2)/2)*V107*Y107*VLOOKUP('Données projet'!$B$9,Paramètres!$A$1:$I$89,3,0)*0.475*44/12</f>
        <v>3.8100436552588281E-13</v>
      </c>
      <c r="AC107" s="22">
        <f t="shared" si="57"/>
        <v>68.413269119910012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304</v>
      </c>
      <c r="AJ107" s="13">
        <f>AI107*VLOOKUP('Données projet'!$B$10,Paramètres!$A$1:$I$89,3,0)*VLOOKUP('Données projet'!$B$10,Paramètres!$A$1:$I$89,5,0)</f>
        <v>189.696</v>
      </c>
      <c r="AK107" s="13">
        <f t="shared" si="89"/>
        <v>47.472736505152469</v>
      </c>
      <c r="AL107" s="20">
        <f t="shared" si="58"/>
        <v>413.06888274647389</v>
      </c>
      <c r="AM107" s="59">
        <f t="shared" si="59"/>
        <v>706.4022160798072</v>
      </c>
      <c r="AN107" s="59">
        <f ca="1">AVERAGE(OFFSET($AM$3,0,0,'Données projet'!$E$10+1,1))-AVERAGE(OFFSET($H$3,0,0,'Données projet'!$E$10+1,1))</f>
        <v>179.44051550872138</v>
      </c>
      <c r="AO107" s="59">
        <f t="shared" si="90"/>
        <v>272.9500808380069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28.406198960947258</v>
      </c>
      <c r="AV107" s="21">
        <f>EXP(-LN(2)/25)*AV106+(1-EXP(-LN(2)/25))/(LN(2)/25)*Calculateur!AQ107*Calculateur!AS107*VLOOKUP('Données projet'!$B$10,Paramètres!$A$1:$I$89,3,0)*0.475*44/12</f>
        <v>6.218742810080494</v>
      </c>
      <c r="AW107" s="21">
        <f>EXP(-LN(2)/2)*AW106+(1-EXP(-LN(2)/2))/(LN(2)/2)*AQ107*AT107*VLOOKUP('Données projet'!$B$10,Paramètres!$A$1:$I$89,3,0)*0.475*44/12</f>
        <v>1.6064244702113572E-12</v>
      </c>
      <c r="AX107" s="21">
        <f t="shared" si="60"/>
        <v>34.624941771029356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0.79999999999995453</v>
      </c>
      <c r="BE107" s="13">
        <f>BD107*VLOOKUP('Données projet'!$B$11,Paramètres!$A$1:$I$89,3,0)*VLOOKUP('Données projet'!$B$11,Paramètres!$A$1:$I$89,5,0)</f>
        <v>0.44719999999997456</v>
      </c>
      <c r="BF107" s="13">
        <f t="shared" si="91"/>
        <v>0.22632652264063857</v>
      </c>
      <c r="BG107" s="20">
        <f t="shared" si="61"/>
        <v>1.1730586935990679</v>
      </c>
      <c r="BH107" s="59">
        <f t="shared" si="62"/>
        <v>294.50639202693236</v>
      </c>
      <c r="BI107" s="59">
        <f ca="1">AVERAGE(OFFSET($BH$3,0,0,'Données projet'!$E$11+1,1))-AVERAGE(OFFSET($H$3,0,0,'Données projet'!$E$11+1,1))</f>
        <v>321.85808080442411</v>
      </c>
      <c r="BJ107" s="59">
        <f t="shared" si="92"/>
        <v>285.95942591879702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191.23978269938647</v>
      </c>
      <c r="BQ107" s="21">
        <f>EXP(-LN(2)/25)*BQ106+(1-EXP(-LN(2)/25))/(LN(2)/25)*Calculateur!BL107*Calculateur!BN107*VLOOKUP('Données projet'!$B$11,Paramètres!$A$1:$I$89,3,0)*0.475*44/12</f>
        <v>3.3394061664909542</v>
      </c>
      <c r="BR107" s="21">
        <f>EXP(-LN(2)/2)*BR106+(1-EXP(-LN(2)/2))/(LN(2)/2)*BL107*BO107*VLOOKUP('Données projet'!$B$11,Paramètres!$A$1:$I$89,3,0)*0.475*44/12</f>
        <v>1.3143183388862674E-11</v>
      </c>
      <c r="BS107" s="22">
        <f t="shared" si="63"/>
        <v>194.57918886589056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689</v>
      </c>
      <c r="O108" s="13">
        <f>N108*VLOOKUP('Données projet'!$B$9,Paramètres!$A$1:$I$89,3,0)*VLOOKUP('Données projet'!$B$9,Paramètres!$A$1:$I$89,5,0)</f>
        <v>412.02199999999999</v>
      </c>
      <c r="P108" s="13">
        <f t="shared" si="87"/>
        <v>94.209724877926391</v>
      </c>
      <c r="Q108" s="20">
        <f t="shared" si="107"/>
        <v>881.686920829055</v>
      </c>
      <c r="R108" s="59">
        <f t="shared" si="55"/>
        <v>1175.0202541623883</v>
      </c>
      <c r="S108" s="59">
        <f ca="1">AVERAGE(OFFSET($R$3,0,0,'Données projet'!$E$9+1,1))-AVERAGE(OFFSET($H$3,0,0,'Données projet'!$E$9+1,1))</f>
        <v>430.93760474982633</v>
      </c>
      <c r="T108" s="59">
        <f t="shared" si="88"/>
        <v>371.5387876502981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59.653287783405403</v>
      </c>
      <c r="AA108" s="21">
        <f>EXP(-LN(2)/25)*AA107+(1-EXP(-LN(2)/25))/(LN(2)/25)*Calculateur!V108*Calculateur!X108*VLOOKUP('Données projet'!$B$9,Paramètres!$A$1:$I$89,3,0)*0.475*44/12</f>
        <v>7.3599044944091405</v>
      </c>
      <c r="AB108" s="21">
        <f>EXP(-LN(2)/2)*AB107+(1-EXP(-LN(2)/2))/(LN(2)/2)*V108*Y108*VLOOKUP('Données projet'!$B$9,Paramètres!$A$1:$I$89,3,0)*0.475*44/12</f>
        <v>2.6941077052502978E-13</v>
      </c>
      <c r="AC108" s="22">
        <f t="shared" si="57"/>
        <v>67.013192277814809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304</v>
      </c>
      <c r="AJ108" s="13">
        <f>AI108*VLOOKUP('Données projet'!$B$10,Paramètres!$A$1:$I$89,3,0)*VLOOKUP('Données projet'!$B$10,Paramètres!$A$1:$I$89,5,0)</f>
        <v>189.696</v>
      </c>
      <c r="AK108" s="13">
        <f t="shared" si="89"/>
        <v>47.472736505152469</v>
      </c>
      <c r="AL108" s="20">
        <f t="shared" si="58"/>
        <v>413.06888274647389</v>
      </c>
      <c r="AM108" s="59">
        <f t="shared" si="59"/>
        <v>706.4022160798072</v>
      </c>
      <c r="AN108" s="59">
        <f ca="1">AVERAGE(OFFSET($AM$3,0,0,'Données projet'!$E$10+1,1))-AVERAGE(OFFSET($H$3,0,0,'Données projet'!$E$10+1,1))</f>
        <v>179.44051550872138</v>
      </c>
      <c r="AO108" s="59">
        <f t="shared" si="90"/>
        <v>272.9500808380069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27.849170725393641</v>
      </c>
      <c r="AV108" s="21">
        <f>EXP(-LN(2)/25)*AV107+(1-EXP(-LN(2)/25))/(LN(2)/25)*Calculateur!AQ108*Calculateur!AS108*VLOOKUP('Données projet'!$B$10,Paramètres!$A$1:$I$89,3,0)*0.475*44/12</f>
        <v>6.0486909609093713</v>
      </c>
      <c r="AW108" s="21">
        <f>EXP(-LN(2)/2)*AW107+(1-EXP(-LN(2)/2))/(LN(2)/2)*AQ108*AT108*VLOOKUP('Données projet'!$B$10,Paramètres!$A$1:$I$89,3,0)*0.475*44/12</f>
        <v>1.1359136363504577E-12</v>
      </c>
      <c r="AX108" s="21">
        <f t="shared" si="60"/>
        <v>33.897861686304147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0.79999999999995453</v>
      </c>
      <c r="BE108" s="13">
        <f>BD108*VLOOKUP('Données projet'!$B$11,Paramètres!$A$1:$I$89,3,0)*VLOOKUP('Données projet'!$B$11,Paramètres!$A$1:$I$89,5,0)</f>
        <v>0.44719999999997456</v>
      </c>
      <c r="BF108" s="13">
        <f t="shared" si="91"/>
        <v>0.22632652264063857</v>
      </c>
      <c r="BG108" s="20">
        <f t="shared" si="61"/>
        <v>1.1730586935990679</v>
      </c>
      <c r="BH108" s="59">
        <f t="shared" si="62"/>
        <v>294.50639202693236</v>
      </c>
      <c r="BI108" s="59">
        <f ca="1">AVERAGE(OFFSET($BH$3,0,0,'Données projet'!$E$11+1,1))-AVERAGE(OFFSET($H$3,0,0,'Données projet'!$E$11+1,1))</f>
        <v>321.85808080442411</v>
      </c>
      <c r="BJ108" s="59">
        <f t="shared" si="92"/>
        <v>285.95942591879702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187.48968720540122</v>
      </c>
      <c r="BQ108" s="21">
        <f>EXP(-LN(2)/25)*BQ107+(1-EXP(-LN(2)/25))/(LN(2)/25)*Calculateur!BL108*Calculateur!BN108*VLOOKUP('Données projet'!$B$11,Paramètres!$A$1:$I$89,3,0)*0.475*44/12</f>
        <v>3.2480899292565213</v>
      </c>
      <c r="BR108" s="21">
        <f>EXP(-LN(2)/2)*BR107+(1-EXP(-LN(2)/2))/(LN(2)/2)*BL108*BO108*VLOOKUP('Données projet'!$B$11,Paramètres!$A$1:$I$89,3,0)*0.475*44/12</f>
        <v>9.2936341006431848E-12</v>
      </c>
      <c r="BS108" s="22">
        <f t="shared" si="63"/>
        <v>190.73777713466703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689</v>
      </c>
      <c r="O109" s="13">
        <f>N109*VLOOKUP('Données projet'!$B$9,Paramètres!$A$1:$I$89,3,0)*VLOOKUP('Données projet'!$B$9,Paramètres!$A$1:$I$89,5,0)</f>
        <v>412.02199999999999</v>
      </c>
      <c r="P109" s="13">
        <f t="shared" si="87"/>
        <v>94.209724877926391</v>
      </c>
      <c r="Q109" s="20">
        <f t="shared" si="107"/>
        <v>881.686920829055</v>
      </c>
      <c r="R109" s="59">
        <f t="shared" si="55"/>
        <v>1175.0202541623883</v>
      </c>
      <c r="S109" s="59">
        <f ca="1">AVERAGE(OFFSET($R$3,0,0,'Données projet'!$E$9+1,1))-AVERAGE(OFFSET($H$3,0,0,'Données projet'!$E$9+1,1))</f>
        <v>430.93760474982633</v>
      </c>
      <c r="T109" s="59">
        <f t="shared" si="88"/>
        <v>371.5387876502981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58.483523194885663</v>
      </c>
      <c r="AA109" s="21">
        <f>EXP(-LN(2)/25)*AA108+(1-EXP(-LN(2)/25))/(LN(2)/25)*Calculateur!V109*Calculateur!X109*VLOOKUP('Données projet'!$B$9,Paramètres!$A$1:$I$89,3,0)*0.475*44/12</f>
        <v>7.1586475189689667</v>
      </c>
      <c r="AB109" s="21">
        <f>EXP(-LN(2)/2)*AB108+(1-EXP(-LN(2)/2))/(LN(2)/2)*V109*Y109*VLOOKUP('Données projet'!$B$9,Paramètres!$A$1:$I$89,3,0)*0.475*44/12</f>
        <v>1.905021827629414E-13</v>
      </c>
      <c r="AC109" s="22">
        <f t="shared" si="57"/>
        <v>65.64217071385481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304</v>
      </c>
      <c r="AJ109" s="13">
        <f>AI109*VLOOKUP('Données projet'!$B$10,Paramètres!$A$1:$I$89,3,0)*VLOOKUP('Données projet'!$B$10,Paramètres!$A$1:$I$89,5,0)</f>
        <v>189.696</v>
      </c>
      <c r="AK109" s="13">
        <f t="shared" si="89"/>
        <v>47.472736505152469</v>
      </c>
      <c r="AL109" s="20">
        <f t="shared" si="58"/>
        <v>413.06888274647389</v>
      </c>
      <c r="AM109" s="59">
        <f t="shared" si="59"/>
        <v>706.4022160798072</v>
      </c>
      <c r="AN109" s="59">
        <f ca="1">AVERAGE(OFFSET($AM$3,0,0,'Données projet'!$E$10+1,1))-AVERAGE(OFFSET($H$3,0,0,'Données projet'!$E$10+1,1))</f>
        <v>179.44051550872138</v>
      </c>
      <c r="AO109" s="59">
        <f t="shared" si="90"/>
        <v>272.9500808380069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27.303065473785555</v>
      </c>
      <c r="AV109" s="21">
        <f>EXP(-LN(2)/25)*AV108+(1-EXP(-LN(2)/25))/(LN(2)/25)*Calculateur!AQ109*Calculateur!AS109*VLOOKUP('Données projet'!$B$10,Paramètres!$A$1:$I$89,3,0)*0.475*44/12</f>
        <v>5.8832891884964713</v>
      </c>
      <c r="AW109" s="21">
        <f>EXP(-LN(2)/2)*AW108+(1-EXP(-LN(2)/2))/(LN(2)/2)*AQ109*AT109*VLOOKUP('Données projet'!$B$10,Paramètres!$A$1:$I$89,3,0)*0.475*44/12</f>
        <v>8.0321223510567861E-13</v>
      </c>
      <c r="AX109" s="21">
        <f t="shared" si="60"/>
        <v>33.186354662282831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0.79999999999995453</v>
      </c>
      <c r="BE109" s="13">
        <f>BD109*VLOOKUP('Données projet'!$B$11,Paramètres!$A$1:$I$89,3,0)*VLOOKUP('Données projet'!$B$11,Paramètres!$A$1:$I$89,5,0)</f>
        <v>0.44719999999997456</v>
      </c>
      <c r="BF109" s="13">
        <f t="shared" si="91"/>
        <v>0.22632652264063857</v>
      </c>
      <c r="BG109" s="20">
        <f t="shared" si="61"/>
        <v>1.1730586935990679</v>
      </c>
      <c r="BH109" s="59">
        <f t="shared" si="62"/>
        <v>294.50639202693236</v>
      </c>
      <c r="BI109" s="59">
        <f ca="1">AVERAGE(OFFSET($BH$3,0,0,'Données projet'!$E$11+1,1))-AVERAGE(OFFSET($H$3,0,0,'Données projet'!$E$11+1,1))</f>
        <v>321.85808080442411</v>
      </c>
      <c r="BJ109" s="59">
        <f t="shared" si="92"/>
        <v>285.95942591879702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183.81312879672063</v>
      </c>
      <c r="BQ109" s="21">
        <f>EXP(-LN(2)/25)*BQ108+(1-EXP(-LN(2)/25))/(LN(2)/25)*Calculateur!BL109*Calculateur!BN109*VLOOKUP('Données projet'!$B$11,Paramètres!$A$1:$I$89,3,0)*0.475*44/12</f>
        <v>3.1592707393313759</v>
      </c>
      <c r="BR109" s="21">
        <f>EXP(-LN(2)/2)*BR108+(1-EXP(-LN(2)/2))/(LN(2)/2)*BL109*BO109*VLOOKUP('Données projet'!$B$11,Paramètres!$A$1:$I$89,3,0)*0.475*44/12</f>
        <v>6.571591694431337E-12</v>
      </c>
      <c r="BS109" s="22">
        <f t="shared" si="63"/>
        <v>186.97239953605859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689</v>
      </c>
      <c r="O110" s="13">
        <f>N110*VLOOKUP('Données projet'!$B$9,Paramètres!$A$1:$I$89,3,0)*VLOOKUP('Données projet'!$B$9,Paramètres!$A$1:$I$89,5,0)</f>
        <v>412.02199999999999</v>
      </c>
      <c r="P110" s="13">
        <f t="shared" si="87"/>
        <v>94.209724877926391</v>
      </c>
      <c r="Q110" s="20">
        <f t="shared" si="107"/>
        <v>881.686920829055</v>
      </c>
      <c r="R110" s="59">
        <f t="shared" si="55"/>
        <v>1175.0202541623883</v>
      </c>
      <c r="S110" s="59">
        <f ca="1">AVERAGE(OFFSET($R$3,0,0,'Données projet'!$E$9+1,1))-AVERAGE(OFFSET($H$3,0,0,'Données projet'!$E$9+1,1))</f>
        <v>430.93760474982633</v>
      </c>
      <c r="T110" s="59">
        <f t="shared" si="88"/>
        <v>371.5387876502981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57.336696976460843</v>
      </c>
      <c r="AA110" s="21">
        <f>EXP(-LN(2)/25)*AA109+(1-EXP(-LN(2)/25))/(LN(2)/25)*Calculateur!V110*Calculateur!X110*VLOOKUP('Données projet'!$B$9,Paramètres!$A$1:$I$89,3,0)*0.475*44/12</f>
        <v>6.9628939261058482</v>
      </c>
      <c r="AB110" s="21">
        <f>EXP(-LN(2)/2)*AB109+(1-EXP(-LN(2)/2))/(LN(2)/2)*V110*Y110*VLOOKUP('Données projet'!$B$9,Paramètres!$A$1:$I$89,3,0)*0.475*44/12</f>
        <v>1.3470538526251489E-13</v>
      </c>
      <c r="AC110" s="22">
        <f t="shared" si="57"/>
        <v>64.29959090256682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304</v>
      </c>
      <c r="AJ110" s="13">
        <f>AI110*VLOOKUP('Données projet'!$B$10,Paramètres!$A$1:$I$89,3,0)*VLOOKUP('Données projet'!$B$10,Paramètres!$A$1:$I$89,5,0)</f>
        <v>189.696</v>
      </c>
      <c r="AK110" s="13">
        <f t="shared" si="89"/>
        <v>47.472736505152469</v>
      </c>
      <c r="AL110" s="20">
        <f t="shared" si="58"/>
        <v>413.06888274647389</v>
      </c>
      <c r="AM110" s="59">
        <f t="shared" si="59"/>
        <v>706.4022160798072</v>
      </c>
      <c r="AN110" s="59">
        <f ca="1">AVERAGE(OFFSET($AM$3,0,0,'Données projet'!$E$10+1,1))-AVERAGE(OFFSET($H$3,0,0,'Données projet'!$E$10+1,1))</f>
        <v>179.44051550872138</v>
      </c>
      <c r="AO110" s="59">
        <f t="shared" si="90"/>
        <v>272.9500808380069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26.76766901307019</v>
      </c>
      <c r="AV110" s="21">
        <f>EXP(-LN(2)/25)*AV109+(1-EXP(-LN(2)/25))/(LN(2)/25)*Calculateur!AQ110*Calculateur!AS110*VLOOKUP('Données projet'!$B$10,Paramètres!$A$1:$I$89,3,0)*0.475*44/12</f>
        <v>5.722410336248303</v>
      </c>
      <c r="AW110" s="21">
        <f>EXP(-LN(2)/2)*AW109+(1-EXP(-LN(2)/2))/(LN(2)/2)*AQ110*AT110*VLOOKUP('Données projet'!$B$10,Paramètres!$A$1:$I$89,3,0)*0.475*44/12</f>
        <v>5.6795681817522884E-13</v>
      </c>
      <c r="AX110" s="21">
        <f t="shared" si="60"/>
        <v>32.49007934931906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0.79999999999995453</v>
      </c>
      <c r="BE110" s="13">
        <f>BD110*VLOOKUP('Données projet'!$B$11,Paramètres!$A$1:$I$89,3,0)*VLOOKUP('Données projet'!$B$11,Paramètres!$A$1:$I$89,5,0)</f>
        <v>0.44719999999997456</v>
      </c>
      <c r="BF110" s="13">
        <f t="shared" si="91"/>
        <v>0.22632652264063857</v>
      </c>
      <c r="BG110" s="20">
        <f t="shared" si="61"/>
        <v>1.1730586935990679</v>
      </c>
      <c r="BH110" s="59">
        <f t="shared" si="62"/>
        <v>294.50639202693236</v>
      </c>
      <c r="BI110" s="59">
        <f ca="1">AVERAGE(OFFSET($BH$3,0,0,'Données projet'!$E$11+1,1))-AVERAGE(OFFSET($H$3,0,0,'Données projet'!$E$11+1,1))</f>
        <v>321.85808080442411</v>
      </c>
      <c r="BJ110" s="59">
        <f t="shared" si="92"/>
        <v>285.95942591879702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180.20866545595507</v>
      </c>
      <c r="BQ110" s="21">
        <f>EXP(-LN(2)/25)*BQ109+(1-EXP(-LN(2)/25))/(LN(2)/25)*Calculateur!BL110*Calculateur!BN110*VLOOKUP('Données projet'!$B$11,Paramètres!$A$1:$I$89,3,0)*0.475*44/12</f>
        <v>3.0728803148255319</v>
      </c>
      <c r="BR110" s="21">
        <f>EXP(-LN(2)/2)*BR109+(1-EXP(-LN(2)/2))/(LN(2)/2)*BL110*BO110*VLOOKUP('Données projet'!$B$11,Paramètres!$A$1:$I$89,3,0)*0.475*44/12</f>
        <v>4.6468170503215924E-12</v>
      </c>
      <c r="BS110" s="22">
        <f t="shared" si="63"/>
        <v>183.28154577078524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689</v>
      </c>
      <c r="O111" s="13">
        <f>N111*VLOOKUP('Données projet'!$B$9,Paramètres!$A$1:$I$89,3,0)*VLOOKUP('Données projet'!$B$9,Paramètres!$A$1:$I$89,5,0)</f>
        <v>412.02199999999999</v>
      </c>
      <c r="P111" s="13">
        <f t="shared" si="87"/>
        <v>94.209724877926391</v>
      </c>
      <c r="Q111" s="20">
        <f t="shared" si="107"/>
        <v>881.686920829055</v>
      </c>
      <c r="R111" s="59">
        <f t="shared" si="55"/>
        <v>1175.0202541623883</v>
      </c>
      <c r="S111" s="59">
        <f ca="1">AVERAGE(OFFSET($R$3,0,0,'Données projet'!$E$9+1,1))-AVERAGE(OFFSET($H$3,0,0,'Données projet'!$E$9+1,1))</f>
        <v>430.93760474982633</v>
      </c>
      <c r="T111" s="59">
        <f t="shared" si="88"/>
        <v>371.5387876502981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56.212359320684406</v>
      </c>
      <c r="AA111" s="21">
        <f>EXP(-LN(2)/25)*AA110+(1-EXP(-LN(2)/25))/(LN(2)/25)*Calculateur!V111*Calculateur!X111*VLOOKUP('Données projet'!$B$9,Paramètres!$A$1:$I$89,3,0)*0.475*44/12</f>
        <v>6.7724932255338057</v>
      </c>
      <c r="AB111" s="21">
        <f>EXP(-LN(2)/2)*AB110+(1-EXP(-LN(2)/2))/(LN(2)/2)*V111*Y111*VLOOKUP('Données projet'!$B$9,Paramètres!$A$1:$I$89,3,0)*0.475*44/12</f>
        <v>9.5251091381470702E-14</v>
      </c>
      <c r="AC111" s="22">
        <f t="shared" si="57"/>
        <v>62.984852546218306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304</v>
      </c>
      <c r="AJ111" s="13">
        <f>AI111*VLOOKUP('Données projet'!$B$10,Paramètres!$A$1:$I$89,3,0)*VLOOKUP('Données projet'!$B$10,Paramètres!$A$1:$I$89,5,0)</f>
        <v>189.696</v>
      </c>
      <c r="AK111" s="13">
        <f t="shared" si="89"/>
        <v>47.472736505152469</v>
      </c>
      <c r="AL111" s="20">
        <f t="shared" si="58"/>
        <v>413.06888274647389</v>
      </c>
      <c r="AM111" s="59">
        <f t="shared" si="59"/>
        <v>706.4022160798072</v>
      </c>
      <c r="AN111" s="59">
        <f ca="1">AVERAGE(OFFSET($AM$3,0,0,'Données projet'!$E$10+1,1))-AVERAGE(OFFSET($H$3,0,0,'Données projet'!$E$10+1,1))</f>
        <v>179.44051550872138</v>
      </c>
      <c r="AO111" s="59">
        <f t="shared" si="90"/>
        <v>272.9500808380069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26.242771350389859</v>
      </c>
      <c r="AV111" s="21">
        <f>EXP(-LN(2)/25)*AV110+(1-EXP(-LN(2)/25))/(LN(2)/25)*Calculateur!AQ111*Calculateur!AS111*VLOOKUP('Données projet'!$B$10,Paramètres!$A$1:$I$89,3,0)*0.475*44/12</f>
        <v>5.5659307246751126</v>
      </c>
      <c r="AW111" s="21">
        <f>EXP(-LN(2)/2)*AW110+(1-EXP(-LN(2)/2))/(LN(2)/2)*AQ111*AT111*VLOOKUP('Données projet'!$B$10,Paramètres!$A$1:$I$89,3,0)*0.475*44/12</f>
        <v>4.016061175528393E-13</v>
      </c>
      <c r="AX111" s="21">
        <f t="shared" si="60"/>
        <v>31.808702075065373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0.79999999999995453</v>
      </c>
      <c r="BE111" s="13">
        <f>BD111*VLOOKUP('Données projet'!$B$11,Paramètres!$A$1:$I$89,3,0)*VLOOKUP('Données projet'!$B$11,Paramètres!$A$1:$I$89,5,0)</f>
        <v>0.44719999999997456</v>
      </c>
      <c r="BF111" s="13">
        <f t="shared" si="91"/>
        <v>0.22632652264063857</v>
      </c>
      <c r="BG111" s="20">
        <f t="shared" si="61"/>
        <v>1.1730586935990679</v>
      </c>
      <c r="BH111" s="59">
        <f t="shared" si="62"/>
        <v>294.50639202693236</v>
      </c>
      <c r="BI111" s="59">
        <f ca="1">AVERAGE(OFFSET($BH$3,0,0,'Données projet'!$E$11+1,1))-AVERAGE(OFFSET($H$3,0,0,'Données projet'!$E$11+1,1))</f>
        <v>321.85808080442411</v>
      </c>
      <c r="BJ111" s="59">
        <f t="shared" si="92"/>
        <v>285.95942591879702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176.67488344279639</v>
      </c>
      <c r="BQ111" s="21">
        <f>EXP(-LN(2)/25)*BQ110+(1-EXP(-LN(2)/25))/(LN(2)/25)*Calculateur!BL111*Calculateur!BN111*VLOOKUP('Données projet'!$B$11,Paramètres!$A$1:$I$89,3,0)*0.475*44/12</f>
        <v>2.9888522410208753</v>
      </c>
      <c r="BR111" s="21">
        <f>EXP(-LN(2)/2)*BR110+(1-EXP(-LN(2)/2))/(LN(2)/2)*BL111*BO111*VLOOKUP('Données projet'!$B$11,Paramètres!$A$1:$I$89,3,0)*0.475*44/12</f>
        <v>3.2857958472156685E-12</v>
      </c>
      <c r="BS111" s="22">
        <f t="shared" si="63"/>
        <v>179.66373568382056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689</v>
      </c>
      <c r="O112" s="13">
        <f>N112*VLOOKUP('Données projet'!$B$9,Paramètres!$A$1:$I$89,3,0)*VLOOKUP('Données projet'!$B$9,Paramètres!$A$1:$I$89,5,0)</f>
        <v>412.02199999999999</v>
      </c>
      <c r="P112" s="13">
        <f t="shared" si="87"/>
        <v>94.209724877926391</v>
      </c>
      <c r="Q112" s="20">
        <f t="shared" si="107"/>
        <v>881.686920829055</v>
      </c>
      <c r="R112" s="59">
        <f t="shared" si="55"/>
        <v>1175.0202541623883</v>
      </c>
      <c r="S112" s="59">
        <f ca="1">AVERAGE(OFFSET($R$3,0,0,'Données projet'!$E$9+1,1))-AVERAGE(OFFSET($H$3,0,0,'Données projet'!$E$9+1,1))</f>
        <v>430.93760474982633</v>
      </c>
      <c r="T112" s="59">
        <f t="shared" si="88"/>
        <v>371.5387876502981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55.110069240559497</v>
      </c>
      <c r="AA112" s="21">
        <f>EXP(-LN(2)/25)*AA111+(1-EXP(-LN(2)/25))/(LN(2)/25)*Calculateur!V112*Calculateur!X112*VLOOKUP('Données projet'!$B$9,Paramètres!$A$1:$I$89,3,0)*0.475*44/12</f>
        <v>6.5872990421316437</v>
      </c>
      <c r="AB112" s="21">
        <f>EXP(-LN(2)/2)*AB111+(1-EXP(-LN(2)/2))/(LN(2)/2)*V112*Y112*VLOOKUP('Données projet'!$B$9,Paramètres!$A$1:$I$89,3,0)*0.475*44/12</f>
        <v>6.7352692631257445E-14</v>
      </c>
      <c r="AC112" s="22">
        <f t="shared" si="57"/>
        <v>61.697368282691208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304</v>
      </c>
      <c r="AJ112" s="13">
        <f>AI112*VLOOKUP('Données projet'!$B$10,Paramètres!$A$1:$I$89,3,0)*VLOOKUP('Données projet'!$B$10,Paramètres!$A$1:$I$89,5,0)</f>
        <v>189.696</v>
      </c>
      <c r="AK112" s="13">
        <f t="shared" si="89"/>
        <v>47.472736505152469</v>
      </c>
      <c r="AL112" s="20">
        <f t="shared" si="58"/>
        <v>413.06888274647389</v>
      </c>
      <c r="AM112" s="59">
        <f t="shared" si="59"/>
        <v>706.4022160798072</v>
      </c>
      <c r="AN112" s="59">
        <f ca="1">AVERAGE(OFFSET($AM$3,0,0,'Données projet'!$E$10+1,1))-AVERAGE(OFFSET($H$3,0,0,'Données projet'!$E$10+1,1))</f>
        <v>179.44051550872138</v>
      </c>
      <c r="AO112" s="59">
        <f t="shared" si="90"/>
        <v>272.9500808380069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25.728166610718727</v>
      </c>
      <c r="AV112" s="21">
        <f>EXP(-LN(2)/25)*AV111+(1-EXP(-LN(2)/25))/(LN(2)/25)*Calculateur!AQ112*Calculateur!AS112*VLOOKUP('Données projet'!$B$10,Paramètres!$A$1:$I$89,3,0)*0.475*44/12</f>
        <v>5.413730056309296</v>
      </c>
      <c r="AW112" s="21">
        <f>EXP(-LN(2)/2)*AW111+(1-EXP(-LN(2)/2))/(LN(2)/2)*AQ112*AT112*VLOOKUP('Données projet'!$B$10,Paramètres!$A$1:$I$89,3,0)*0.475*44/12</f>
        <v>2.8397840908761442E-13</v>
      </c>
      <c r="AX112" s="21">
        <f t="shared" si="60"/>
        <v>31.141896667028306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0.79999999999995453</v>
      </c>
      <c r="BE112" s="13">
        <f>BD112*VLOOKUP('Données projet'!$B$11,Paramètres!$A$1:$I$89,3,0)*VLOOKUP('Données projet'!$B$11,Paramètres!$A$1:$I$89,5,0)</f>
        <v>0.44719999999997456</v>
      </c>
      <c r="BF112" s="13">
        <f t="shared" si="91"/>
        <v>0.22632652264063857</v>
      </c>
      <c r="BG112" s="20">
        <f t="shared" si="61"/>
        <v>1.1730586935990679</v>
      </c>
      <c r="BH112" s="59">
        <f t="shared" si="62"/>
        <v>294.50639202693236</v>
      </c>
      <c r="BI112" s="59">
        <f ca="1">AVERAGE(OFFSET($BH$3,0,0,'Données projet'!$E$11+1,1))-AVERAGE(OFFSET($H$3,0,0,'Données projet'!$E$11+1,1))</f>
        <v>321.85808080442411</v>
      </c>
      <c r="BJ112" s="59">
        <f t="shared" si="92"/>
        <v>285.95942591879702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173.21039673952154</v>
      </c>
      <c r="BQ112" s="21">
        <f>EXP(-LN(2)/25)*BQ111+(1-EXP(-LN(2)/25))/(LN(2)/25)*Calculateur!BL112*Calculateur!BN112*VLOOKUP('Données projet'!$B$11,Paramètres!$A$1:$I$89,3,0)*0.475*44/12</f>
        <v>2.9071219193132514</v>
      </c>
      <c r="BR112" s="21">
        <f>EXP(-LN(2)/2)*BR111+(1-EXP(-LN(2)/2))/(LN(2)/2)*BL112*BO112*VLOOKUP('Données projet'!$B$11,Paramètres!$A$1:$I$89,3,0)*0.475*44/12</f>
        <v>2.3234085251607962E-12</v>
      </c>
      <c r="BS112" s="22">
        <f t="shared" si="63"/>
        <v>176.11751865883713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689</v>
      </c>
      <c r="O113" s="13">
        <f>N113*VLOOKUP('Données projet'!$B$9,Paramètres!$A$1:$I$89,3,0)*VLOOKUP('Données projet'!$B$9,Paramètres!$A$1:$I$89,5,0)</f>
        <v>412.02199999999999</v>
      </c>
      <c r="P113" s="13">
        <f t="shared" si="87"/>
        <v>94.209724877926391</v>
      </c>
      <c r="Q113" s="20">
        <f t="shared" si="107"/>
        <v>881.686920829055</v>
      </c>
      <c r="R113" s="59">
        <f t="shared" si="55"/>
        <v>1175.0202541623883</v>
      </c>
      <c r="S113" s="59">
        <f ca="1">AVERAGE(OFFSET($R$3,0,0,'Données projet'!$E$9+1,1))-AVERAGE(OFFSET($H$3,0,0,'Données projet'!$E$9+1,1))</f>
        <v>430.93760474982633</v>
      </c>
      <c r="T113" s="59">
        <f t="shared" si="88"/>
        <v>371.5387876502981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54.02939439657527</v>
      </c>
      <c r="AA113" s="21">
        <f>EXP(-LN(2)/25)*AA112+(1-EXP(-LN(2)/25))/(LN(2)/25)*Calculateur!V113*Calculateur!X113*VLOOKUP('Données projet'!$B$9,Paramètres!$A$1:$I$89,3,0)*0.475*44/12</f>
        <v>6.4071690034135527</v>
      </c>
      <c r="AB113" s="21">
        <f>EXP(-LN(2)/2)*AB112+(1-EXP(-LN(2)/2))/(LN(2)/2)*V113*Y113*VLOOKUP('Données projet'!$B$9,Paramètres!$A$1:$I$89,3,0)*0.475*44/12</f>
        <v>4.7625545690735351E-14</v>
      </c>
      <c r="AC113" s="22">
        <f t="shared" si="57"/>
        <v>60.43656339998887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304</v>
      </c>
      <c r="AJ113" s="13">
        <f>AI113*VLOOKUP('Données projet'!$B$10,Paramètres!$A$1:$I$89,3,0)*VLOOKUP('Données projet'!$B$10,Paramètres!$A$1:$I$89,5,0)</f>
        <v>189.696</v>
      </c>
      <c r="AK113" s="13">
        <f t="shared" si="89"/>
        <v>47.472736505152469</v>
      </c>
      <c r="AL113" s="20">
        <f t="shared" si="58"/>
        <v>413.06888274647389</v>
      </c>
      <c r="AM113" s="59">
        <f t="shared" si="59"/>
        <v>706.4022160798072</v>
      </c>
      <c r="AN113" s="59">
        <f ca="1">AVERAGE(OFFSET($AM$3,0,0,'Données projet'!$E$10+1,1))-AVERAGE(OFFSET($H$3,0,0,'Données projet'!$E$10+1,1))</f>
        <v>179.44051550872138</v>
      </c>
      <c r="AO113" s="59">
        <f t="shared" si="90"/>
        <v>272.9500808380069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25.223652956114648</v>
      </c>
      <c r="AV113" s="21">
        <f>EXP(-LN(2)/25)*AV112+(1-EXP(-LN(2)/25))/(LN(2)/25)*Calculateur!AQ113*Calculateur!AS113*VLOOKUP('Données projet'!$B$10,Paramètres!$A$1:$I$89,3,0)*0.475*44/12</f>
        <v>5.2656913232238276</v>
      </c>
      <c r="AW113" s="21">
        <f>EXP(-LN(2)/2)*AW112+(1-EXP(-LN(2)/2))/(LN(2)/2)*AQ113*AT113*VLOOKUP('Données projet'!$B$10,Paramètres!$A$1:$I$89,3,0)*0.475*44/12</f>
        <v>2.0080305877641965E-13</v>
      </c>
      <c r="AX113" s="21">
        <f t="shared" si="60"/>
        <v>30.489344279338678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0.79999999999995453</v>
      </c>
      <c r="BE113" s="13">
        <f>BD113*VLOOKUP('Données projet'!$B$11,Paramètres!$A$1:$I$89,3,0)*VLOOKUP('Données projet'!$B$11,Paramètres!$A$1:$I$89,5,0)</f>
        <v>0.44719999999997456</v>
      </c>
      <c r="BF113" s="13">
        <f t="shared" si="91"/>
        <v>0.22632652264063857</v>
      </c>
      <c r="BG113" s="20">
        <f t="shared" si="61"/>
        <v>1.1730586935990679</v>
      </c>
      <c r="BH113" s="59">
        <f t="shared" si="62"/>
        <v>294.50639202693236</v>
      </c>
      <c r="BI113" s="59">
        <f ca="1">AVERAGE(OFFSET($BH$3,0,0,'Données projet'!$E$11+1,1))-AVERAGE(OFFSET($H$3,0,0,'Données projet'!$E$11+1,1))</f>
        <v>321.85808080442411</v>
      </c>
      <c r="BJ113" s="59">
        <f t="shared" si="92"/>
        <v>285.95942591879702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169.81384650736968</v>
      </c>
      <c r="BQ113" s="21">
        <f>EXP(-LN(2)/25)*BQ112+(1-EXP(-LN(2)/25))/(LN(2)/25)*Calculateur!BL113*Calculateur!BN113*VLOOKUP('Données projet'!$B$11,Paramètres!$A$1:$I$89,3,0)*0.475*44/12</f>
        <v>2.8276265175507329</v>
      </c>
      <c r="BR113" s="21">
        <f>EXP(-LN(2)/2)*BR112+(1-EXP(-LN(2)/2))/(LN(2)/2)*BL113*BO113*VLOOKUP('Données projet'!$B$11,Paramètres!$A$1:$I$89,3,0)*0.475*44/12</f>
        <v>1.6428979236078342E-12</v>
      </c>
      <c r="BS113" s="22">
        <f t="shared" si="63"/>
        <v>172.64147302492205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689</v>
      </c>
      <c r="O114" s="13">
        <f>N114*VLOOKUP('Données projet'!$B$9,Paramètres!$A$1:$I$89,3,0)*VLOOKUP('Données projet'!$B$9,Paramètres!$A$1:$I$89,5,0)</f>
        <v>412.02199999999999</v>
      </c>
      <c r="P114" s="13">
        <f t="shared" si="87"/>
        <v>94.209724877926391</v>
      </c>
      <c r="Q114" s="20">
        <f t="shared" si="107"/>
        <v>881.686920829055</v>
      </c>
      <c r="R114" s="59">
        <f t="shared" si="55"/>
        <v>1175.0202541623883</v>
      </c>
      <c r="S114" s="59">
        <f ca="1">AVERAGE(OFFSET($R$3,0,0,'Données projet'!$E$9+1,1))-AVERAGE(OFFSET($H$3,0,0,'Données projet'!$E$9+1,1))</f>
        <v>430.93760474982633</v>
      </c>
      <c r="T114" s="59">
        <f t="shared" si="88"/>
        <v>371.5387876502981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52.969910927135004</v>
      </c>
      <c r="AA114" s="21">
        <f>EXP(-LN(2)/25)*AA113+(1-EXP(-LN(2)/25))/(LN(2)/25)*Calculateur!V114*Calculateur!X114*VLOOKUP('Données projet'!$B$9,Paramètres!$A$1:$I$89,3,0)*0.475*44/12</f>
        <v>6.2319646300768348</v>
      </c>
      <c r="AB114" s="21">
        <f>EXP(-LN(2)/2)*AB113+(1-EXP(-LN(2)/2))/(LN(2)/2)*V114*Y114*VLOOKUP('Données projet'!$B$9,Paramètres!$A$1:$I$89,3,0)*0.475*44/12</f>
        <v>3.3676346315628723E-14</v>
      </c>
      <c r="AC114" s="22">
        <f t="shared" si="57"/>
        <v>59.201875557211871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304</v>
      </c>
      <c r="AJ114" s="13">
        <f>AI114*VLOOKUP('Données projet'!$B$10,Paramètres!$A$1:$I$89,3,0)*VLOOKUP('Données projet'!$B$10,Paramètres!$A$1:$I$89,5,0)</f>
        <v>189.696</v>
      </c>
      <c r="AK114" s="13">
        <f t="shared" si="89"/>
        <v>47.472736505152469</v>
      </c>
      <c r="AL114" s="20">
        <f t="shared" si="58"/>
        <v>413.06888274647389</v>
      </c>
      <c r="AM114" s="59">
        <f t="shared" si="59"/>
        <v>706.4022160798072</v>
      </c>
      <c r="AN114" s="59">
        <f ca="1">AVERAGE(OFFSET($AM$3,0,0,'Données projet'!$E$10+1,1))-AVERAGE(OFFSET($H$3,0,0,'Données projet'!$E$10+1,1))</f>
        <v>179.44051550872138</v>
      </c>
      <c r="AO114" s="59">
        <f t="shared" si="90"/>
        <v>272.9500808380069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24.729032506554411</v>
      </c>
      <c r="AV114" s="21">
        <f>EXP(-LN(2)/25)*AV113+(1-EXP(-LN(2)/25))/(LN(2)/25)*Calculateur!AQ114*Calculateur!AS114*VLOOKUP('Données projet'!$B$10,Paramètres!$A$1:$I$89,3,0)*0.475*44/12</f>
        <v>5.1217007170795998</v>
      </c>
      <c r="AW114" s="21">
        <f>EXP(-LN(2)/2)*AW113+(1-EXP(-LN(2)/2))/(LN(2)/2)*AQ114*AT114*VLOOKUP('Données projet'!$B$10,Paramètres!$A$1:$I$89,3,0)*0.475*44/12</f>
        <v>1.4198920454380721E-13</v>
      </c>
      <c r="AX114" s="21">
        <f t="shared" si="60"/>
        <v>29.850733223634151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0.79999999999995453</v>
      </c>
      <c r="BE114" s="13">
        <f>BD114*VLOOKUP('Données projet'!$B$11,Paramètres!$A$1:$I$89,3,0)*VLOOKUP('Données projet'!$B$11,Paramètres!$A$1:$I$89,5,0)</f>
        <v>0.44719999999997456</v>
      </c>
      <c r="BF114" s="13">
        <f t="shared" si="91"/>
        <v>0.22632652264063857</v>
      </c>
      <c r="BG114" s="20">
        <f t="shared" si="61"/>
        <v>1.1730586935990679</v>
      </c>
      <c r="BH114" s="59">
        <f t="shared" si="62"/>
        <v>294.50639202693236</v>
      </c>
      <c r="BI114" s="59">
        <f ca="1">AVERAGE(OFFSET($BH$3,0,0,'Données projet'!$E$11+1,1))-AVERAGE(OFFSET($H$3,0,0,'Données projet'!$E$11+1,1))</f>
        <v>321.85808080442411</v>
      </c>
      <c r="BJ114" s="59">
        <f t="shared" si="92"/>
        <v>285.95942591879702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166.48390055357922</v>
      </c>
      <c r="BQ114" s="21">
        <f>EXP(-LN(2)/25)*BQ113+(1-EXP(-LN(2)/25))/(LN(2)/25)*Calculateur!BL114*Calculateur!BN114*VLOOKUP('Données projet'!$B$11,Paramètres!$A$1:$I$89,3,0)*0.475*44/12</f>
        <v>2.7503049217298923</v>
      </c>
      <c r="BR114" s="21">
        <f>EXP(-LN(2)/2)*BR113+(1-EXP(-LN(2)/2))/(LN(2)/2)*BL114*BO114*VLOOKUP('Données projet'!$B$11,Paramètres!$A$1:$I$89,3,0)*0.475*44/12</f>
        <v>1.1617042625803981E-12</v>
      </c>
      <c r="BS114" s="22">
        <f t="shared" si="63"/>
        <v>169.23420547531029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689</v>
      </c>
      <c r="O115" s="13">
        <f>N115*VLOOKUP('Données projet'!$B$9,Paramètres!$A$1:$I$89,3,0)*VLOOKUP('Données projet'!$B$9,Paramètres!$A$1:$I$89,5,0)</f>
        <v>412.02199999999999</v>
      </c>
      <c r="P115" s="13">
        <f t="shared" si="87"/>
        <v>94.209724877926391</v>
      </c>
      <c r="Q115" s="20">
        <f t="shared" si="107"/>
        <v>881.686920829055</v>
      </c>
      <c r="R115" s="59">
        <f t="shared" si="55"/>
        <v>1175.0202541623883</v>
      </c>
      <c r="S115" s="59">
        <f ca="1">AVERAGE(OFFSET($R$3,0,0,'Données projet'!$E$9+1,1))-AVERAGE(OFFSET($H$3,0,0,'Données projet'!$E$9+1,1))</f>
        <v>430.93760474982633</v>
      </c>
      <c r="T115" s="59">
        <f t="shared" si="88"/>
        <v>371.5387876502981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51.931203282309355</v>
      </c>
      <c r="AA115" s="21">
        <f>EXP(-LN(2)/25)*AA114+(1-EXP(-LN(2)/25))/(LN(2)/25)*Calculateur!V115*Calculateur!X115*VLOOKUP('Données projet'!$B$9,Paramètres!$A$1:$I$89,3,0)*0.475*44/12</f>
        <v>6.0615512295426068</v>
      </c>
      <c r="AB115" s="21">
        <f>EXP(-LN(2)/2)*AB114+(1-EXP(-LN(2)/2))/(LN(2)/2)*V115*Y115*VLOOKUP('Données projet'!$B$9,Paramètres!$A$1:$I$89,3,0)*0.475*44/12</f>
        <v>2.3812772845367676E-14</v>
      </c>
      <c r="AC115" s="22">
        <f t="shared" si="57"/>
        <v>57.992754511851984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304</v>
      </c>
      <c r="AJ115" s="13">
        <f>AI115*VLOOKUP('Données projet'!$B$10,Paramètres!$A$1:$I$89,3,0)*VLOOKUP('Données projet'!$B$10,Paramètres!$A$1:$I$89,5,0)</f>
        <v>189.696</v>
      </c>
      <c r="AK115" s="13">
        <f t="shared" si="89"/>
        <v>47.472736505152469</v>
      </c>
      <c r="AL115" s="20">
        <f t="shared" si="58"/>
        <v>413.06888274647389</v>
      </c>
      <c r="AM115" s="59">
        <f t="shared" si="59"/>
        <v>706.4022160798072</v>
      </c>
      <c r="AN115" s="59">
        <f ca="1">AVERAGE(OFFSET($AM$3,0,0,'Données projet'!$E$10+1,1))-AVERAGE(OFFSET($H$3,0,0,'Données projet'!$E$10+1,1))</f>
        <v>179.44051550872138</v>
      </c>
      <c r="AO115" s="59">
        <f t="shared" si="90"/>
        <v>272.9500808380069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24.244111262321365</v>
      </c>
      <c r="AV115" s="21">
        <f>EXP(-LN(2)/25)*AV114+(1-EXP(-LN(2)/25))/(LN(2)/25)*Calculateur!AQ115*Calculateur!AS115*VLOOKUP('Données projet'!$B$10,Paramètres!$A$1:$I$89,3,0)*0.475*44/12</f>
        <v>4.9816475416325234</v>
      </c>
      <c r="AW115" s="21">
        <f>EXP(-LN(2)/2)*AW114+(1-EXP(-LN(2)/2))/(LN(2)/2)*AQ115*AT115*VLOOKUP('Données projet'!$B$10,Paramètres!$A$1:$I$89,3,0)*0.475*44/12</f>
        <v>1.0040152938820983E-13</v>
      </c>
      <c r="AX115" s="21">
        <f t="shared" si="60"/>
        <v>29.225758803953987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0.79999999999995453</v>
      </c>
      <c r="BE115" s="13">
        <f>BD115*VLOOKUP('Données projet'!$B$11,Paramètres!$A$1:$I$89,3,0)*VLOOKUP('Données projet'!$B$11,Paramètres!$A$1:$I$89,5,0)</f>
        <v>0.44719999999997456</v>
      </c>
      <c r="BF115" s="13">
        <f t="shared" si="91"/>
        <v>0.22632652264063857</v>
      </c>
      <c r="BG115" s="20">
        <f t="shared" si="61"/>
        <v>1.1730586935990679</v>
      </c>
      <c r="BH115" s="59">
        <f t="shared" si="62"/>
        <v>294.50639202693236</v>
      </c>
      <c r="BI115" s="59">
        <f ca="1">AVERAGE(OFFSET($BH$3,0,0,'Données projet'!$E$11+1,1))-AVERAGE(OFFSET($H$3,0,0,'Données projet'!$E$11+1,1))</f>
        <v>321.85808080442411</v>
      </c>
      <c r="BJ115" s="59">
        <f t="shared" si="92"/>
        <v>285.95942591879702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163.21925280887612</v>
      </c>
      <c r="BQ115" s="21">
        <f>EXP(-LN(2)/25)*BQ114+(1-EXP(-LN(2)/25))/(LN(2)/25)*Calculateur!BL115*Calculateur!BN115*VLOOKUP('Données projet'!$B$11,Paramètres!$A$1:$I$89,3,0)*0.475*44/12</f>
        <v>2.6750976890129383</v>
      </c>
      <c r="BR115" s="21">
        <f>EXP(-LN(2)/2)*BR114+(1-EXP(-LN(2)/2))/(LN(2)/2)*BL115*BO115*VLOOKUP('Données projet'!$B$11,Paramètres!$A$1:$I$89,3,0)*0.475*44/12</f>
        <v>8.2144896180391712E-13</v>
      </c>
      <c r="BS115" s="22">
        <f t="shared" si="63"/>
        <v>165.89435049788989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689</v>
      </c>
      <c r="O116" s="13">
        <f>N116*VLOOKUP('Données projet'!$B$9,Paramètres!$A$1:$I$89,3,0)*VLOOKUP('Données projet'!$B$9,Paramètres!$A$1:$I$89,5,0)</f>
        <v>412.02199999999999</v>
      </c>
      <c r="P116" s="13">
        <f t="shared" si="87"/>
        <v>94.209724877926391</v>
      </c>
      <c r="Q116" s="20">
        <f t="shared" si="107"/>
        <v>881.686920829055</v>
      </c>
      <c r="R116" s="59">
        <f t="shared" si="55"/>
        <v>1175.0202541623883</v>
      </c>
      <c r="S116" s="59">
        <f ca="1">AVERAGE(OFFSET($R$3,0,0,'Données projet'!$E$9+1,1))-AVERAGE(OFFSET($H$3,0,0,'Données projet'!$E$9+1,1))</f>
        <v>430.93760474982633</v>
      </c>
      <c r="T116" s="59">
        <f t="shared" si="88"/>
        <v>371.5387876502981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50.912864060849635</v>
      </c>
      <c r="AA116" s="21">
        <f>EXP(-LN(2)/25)*AA115+(1-EXP(-LN(2)/25))/(LN(2)/25)*Calculateur!V116*Calculateur!X116*VLOOKUP('Données projet'!$B$9,Paramètres!$A$1:$I$89,3,0)*0.475*44/12</f>
        <v>5.895797792407639</v>
      </c>
      <c r="AB116" s="21">
        <f>EXP(-LN(2)/2)*AB115+(1-EXP(-LN(2)/2))/(LN(2)/2)*V116*Y116*VLOOKUP('Données projet'!$B$9,Paramètres!$A$1:$I$89,3,0)*0.475*44/12</f>
        <v>1.6838173157814361E-14</v>
      </c>
      <c r="AC116" s="22">
        <f t="shared" si="57"/>
        <v>56.808661853257291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304</v>
      </c>
      <c r="AJ116" s="13">
        <f>AI116*VLOOKUP('Données projet'!$B$10,Paramètres!$A$1:$I$89,3,0)*VLOOKUP('Données projet'!$B$10,Paramètres!$A$1:$I$89,5,0)</f>
        <v>189.696</v>
      </c>
      <c r="AK116" s="13">
        <f t="shared" si="89"/>
        <v>47.472736505152469</v>
      </c>
      <c r="AL116" s="20">
        <f t="shared" si="58"/>
        <v>413.06888274647389</v>
      </c>
      <c r="AM116" s="59">
        <f t="shared" si="59"/>
        <v>706.4022160798072</v>
      </c>
      <c r="AN116" s="59">
        <f ca="1">AVERAGE(OFFSET($AM$3,0,0,'Données projet'!$E$10+1,1))-AVERAGE(OFFSET($H$3,0,0,'Données projet'!$E$10+1,1))</f>
        <v>179.44051550872138</v>
      </c>
      <c r="AO116" s="59">
        <f t="shared" si="90"/>
        <v>272.9500808380069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23.768699027914973</v>
      </c>
      <c r="AV116" s="21">
        <f>EXP(-LN(2)/25)*AV115+(1-EXP(-LN(2)/25))/(LN(2)/25)*Calculateur!AQ116*Calculateur!AS116*VLOOKUP('Données projet'!$B$10,Paramètres!$A$1:$I$89,3,0)*0.475*44/12</f>
        <v>4.8454241276331231</v>
      </c>
      <c r="AW116" s="21">
        <f>EXP(-LN(2)/2)*AW115+(1-EXP(-LN(2)/2))/(LN(2)/2)*AQ116*AT116*VLOOKUP('Données projet'!$B$10,Paramètres!$A$1:$I$89,3,0)*0.475*44/12</f>
        <v>7.0994602271903605E-14</v>
      </c>
      <c r="AX116" s="21">
        <f t="shared" si="60"/>
        <v>28.614123155548167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0.79999999999995453</v>
      </c>
      <c r="BE116" s="13">
        <f>BD116*VLOOKUP('Données projet'!$B$11,Paramètres!$A$1:$I$89,3,0)*VLOOKUP('Données projet'!$B$11,Paramètres!$A$1:$I$89,5,0)</f>
        <v>0.44719999999997456</v>
      </c>
      <c r="BF116" s="13">
        <f t="shared" si="91"/>
        <v>0.22632652264063857</v>
      </c>
      <c r="BG116" s="20">
        <f t="shared" si="61"/>
        <v>1.1730586935990679</v>
      </c>
      <c r="BH116" s="59">
        <f t="shared" si="62"/>
        <v>294.50639202693236</v>
      </c>
      <c r="BI116" s="59">
        <f ca="1">AVERAGE(OFFSET($BH$3,0,0,'Données projet'!$E$11+1,1))-AVERAGE(OFFSET($H$3,0,0,'Données projet'!$E$11+1,1))</f>
        <v>321.85808080442411</v>
      </c>
      <c r="BJ116" s="59">
        <f t="shared" si="92"/>
        <v>285.95942591879702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160.01862281520815</v>
      </c>
      <c r="BQ116" s="21">
        <f>EXP(-LN(2)/25)*BQ115+(1-EXP(-LN(2)/25))/(LN(2)/25)*Calculateur!BL116*Calculateur!BN116*VLOOKUP('Données projet'!$B$11,Paramètres!$A$1:$I$89,3,0)*0.475*44/12</f>
        <v>2.6019470020296063</v>
      </c>
      <c r="BR116" s="21">
        <f>EXP(-LN(2)/2)*BR115+(1-EXP(-LN(2)/2))/(LN(2)/2)*BL116*BO116*VLOOKUP('Données projet'!$B$11,Paramètres!$A$1:$I$89,3,0)*0.475*44/12</f>
        <v>5.8085213129019905E-13</v>
      </c>
      <c r="BS116" s="22">
        <f t="shared" si="63"/>
        <v>162.62056981723833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689</v>
      </c>
      <c r="O117" s="13">
        <f>N117*VLOOKUP('Données projet'!$B$9,Paramètres!$A$1:$I$89,3,0)*VLOOKUP('Données projet'!$B$9,Paramètres!$A$1:$I$89,5,0)</f>
        <v>412.02199999999999</v>
      </c>
      <c r="P117" s="13">
        <f t="shared" si="87"/>
        <v>94.209724877926391</v>
      </c>
      <c r="Q117" s="20">
        <f t="shared" si="107"/>
        <v>881.686920829055</v>
      </c>
      <c r="R117" s="59">
        <f t="shared" si="55"/>
        <v>1175.0202541623883</v>
      </c>
      <c r="S117" s="59">
        <f ca="1">AVERAGE(OFFSET($R$3,0,0,'Données projet'!$E$9+1,1))-AVERAGE(OFFSET($H$3,0,0,'Données projet'!$E$9+1,1))</f>
        <v>430.93760474982633</v>
      </c>
      <c r="T117" s="59">
        <f t="shared" si="88"/>
        <v>371.5387876502981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49.914493850397143</v>
      </c>
      <c r="AA117" s="21">
        <f>EXP(-LN(2)/25)*AA116+(1-EXP(-LN(2)/25))/(LN(2)/25)*Calculateur!V117*Calculateur!X117*VLOOKUP('Données projet'!$B$9,Paramètres!$A$1:$I$89,3,0)*0.475*44/12</f>
        <v>5.7345768917277216</v>
      </c>
      <c r="AB117" s="21">
        <f>EXP(-LN(2)/2)*AB116+(1-EXP(-LN(2)/2))/(LN(2)/2)*V117*Y117*VLOOKUP('Données projet'!$B$9,Paramètres!$A$1:$I$89,3,0)*0.475*44/12</f>
        <v>1.1906386422683838E-14</v>
      </c>
      <c r="AC117" s="22">
        <f t="shared" si="57"/>
        <v>55.649070742124877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304</v>
      </c>
      <c r="AJ117" s="13">
        <f>AI117*VLOOKUP('Données projet'!$B$10,Paramètres!$A$1:$I$89,3,0)*VLOOKUP('Données projet'!$B$10,Paramètres!$A$1:$I$89,5,0)</f>
        <v>189.696</v>
      </c>
      <c r="AK117" s="13">
        <f t="shared" si="89"/>
        <v>47.472736505152469</v>
      </c>
      <c r="AL117" s="20">
        <f t="shared" si="58"/>
        <v>413.06888274647389</v>
      </c>
      <c r="AM117" s="59">
        <f t="shared" si="59"/>
        <v>706.4022160798072</v>
      </c>
      <c r="AN117" s="59">
        <f ca="1">AVERAGE(OFFSET($AM$3,0,0,'Données projet'!$E$10+1,1))-AVERAGE(OFFSET($H$3,0,0,'Données projet'!$E$10+1,1))</f>
        <v>179.44051550872138</v>
      </c>
      <c r="AO117" s="59">
        <f t="shared" si="90"/>
        <v>272.9500808380069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23.302609337452459</v>
      </c>
      <c r="AV117" s="21">
        <f>EXP(-LN(2)/25)*AV116+(1-EXP(-LN(2)/25))/(LN(2)/25)*Calculateur!AQ117*Calculateur!AS117*VLOOKUP('Données projet'!$B$10,Paramètres!$A$1:$I$89,3,0)*0.475*44/12</f>
        <v>4.7129257500532145</v>
      </c>
      <c r="AW117" s="21">
        <f>EXP(-LN(2)/2)*AW116+(1-EXP(-LN(2)/2))/(LN(2)/2)*AQ117*AT117*VLOOKUP('Données projet'!$B$10,Paramètres!$A$1:$I$89,3,0)*0.475*44/12</f>
        <v>5.0200764694104913E-14</v>
      </c>
      <c r="AX117" s="21">
        <f t="shared" si="60"/>
        <v>28.015535087505725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0.79999999999995453</v>
      </c>
      <c r="BE117" s="13">
        <f>BD117*VLOOKUP('Données projet'!$B$11,Paramètres!$A$1:$I$89,3,0)*VLOOKUP('Données projet'!$B$11,Paramètres!$A$1:$I$89,5,0)</f>
        <v>0.44719999999997456</v>
      </c>
      <c r="BF117" s="13">
        <f t="shared" si="91"/>
        <v>0.22632652264063857</v>
      </c>
      <c r="BG117" s="20">
        <f t="shared" si="61"/>
        <v>1.1730586935990679</v>
      </c>
      <c r="BH117" s="59">
        <f t="shared" si="62"/>
        <v>294.50639202693236</v>
      </c>
      <c r="BI117" s="59">
        <f ca="1">AVERAGE(OFFSET($BH$3,0,0,'Données projet'!$E$11+1,1))-AVERAGE(OFFSET($H$3,0,0,'Données projet'!$E$11+1,1))</f>
        <v>321.85808080442411</v>
      </c>
      <c r="BJ117" s="59">
        <f t="shared" si="92"/>
        <v>285.95942591879702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156.88075522352446</v>
      </c>
      <c r="BQ117" s="21">
        <f>EXP(-LN(2)/25)*BQ116+(1-EXP(-LN(2)/25))/(LN(2)/25)*Calculateur!BL117*Calculateur!BN117*VLOOKUP('Données projet'!$B$11,Paramètres!$A$1:$I$89,3,0)*0.475*44/12</f>
        <v>2.5307966244286608</v>
      </c>
      <c r="BR117" s="21">
        <f>EXP(-LN(2)/2)*BR116+(1-EXP(-LN(2)/2))/(LN(2)/2)*BL117*BO117*VLOOKUP('Données projet'!$B$11,Paramètres!$A$1:$I$89,3,0)*0.475*44/12</f>
        <v>4.1072448090195856E-13</v>
      </c>
      <c r="BS117" s="22">
        <f t="shared" si="63"/>
        <v>159.41155184795352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689</v>
      </c>
      <c r="O118" s="13">
        <f>N118*VLOOKUP('Données projet'!$B$9,Paramètres!$A$1:$I$89,3,0)*VLOOKUP('Données projet'!$B$9,Paramètres!$A$1:$I$89,5,0)</f>
        <v>412.02199999999999</v>
      </c>
      <c r="P118" s="13">
        <f t="shared" si="87"/>
        <v>94.209724877926391</v>
      </c>
      <c r="Q118" s="20">
        <f t="shared" si="107"/>
        <v>881.686920829055</v>
      </c>
      <c r="R118" s="59">
        <f t="shared" si="55"/>
        <v>1175.0202541623883</v>
      </c>
      <c r="S118" s="59">
        <f ca="1">AVERAGE(OFFSET($R$3,0,0,'Données projet'!$E$9+1,1))-AVERAGE(OFFSET($H$3,0,0,'Données projet'!$E$9+1,1))</f>
        <v>430.93760474982633</v>
      </c>
      <c r="T118" s="59">
        <f t="shared" si="88"/>
        <v>371.5387876502981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48.935701070825928</v>
      </c>
      <c r="AA118" s="21">
        <f>EXP(-LN(2)/25)*AA117+(1-EXP(-LN(2)/25))/(LN(2)/25)*Calculateur!V118*Calculateur!X118*VLOOKUP('Données projet'!$B$9,Paramètres!$A$1:$I$89,3,0)*0.475*44/12</f>
        <v>5.5777645850551352</v>
      </c>
      <c r="AB118" s="21">
        <f>EXP(-LN(2)/2)*AB117+(1-EXP(-LN(2)/2))/(LN(2)/2)*V118*Y118*VLOOKUP('Données projet'!$B$9,Paramètres!$A$1:$I$89,3,0)*0.475*44/12</f>
        <v>8.4190865789071807E-15</v>
      </c>
      <c r="AC118" s="22">
        <f t="shared" si="57"/>
        <v>54.51346565588107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304</v>
      </c>
      <c r="AJ118" s="13">
        <f>AI118*VLOOKUP('Données projet'!$B$10,Paramètres!$A$1:$I$89,3,0)*VLOOKUP('Données projet'!$B$10,Paramètres!$A$1:$I$89,5,0)</f>
        <v>189.696</v>
      </c>
      <c r="AK118" s="13">
        <f t="shared" si="89"/>
        <v>47.472736505152469</v>
      </c>
      <c r="AL118" s="20">
        <f t="shared" si="58"/>
        <v>413.06888274647389</v>
      </c>
      <c r="AM118" s="59">
        <f t="shared" si="59"/>
        <v>706.4022160798072</v>
      </c>
      <c r="AN118" s="59">
        <f ca="1">AVERAGE(OFFSET($AM$3,0,0,'Données projet'!$E$10+1,1))-AVERAGE(OFFSET($H$3,0,0,'Données projet'!$E$10+1,1))</f>
        <v>179.44051550872138</v>
      </c>
      <c r="AO118" s="59">
        <f t="shared" si="90"/>
        <v>272.9500808380069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22.845659381533277</v>
      </c>
      <c r="AV118" s="21">
        <f>EXP(-LN(2)/25)*AV117+(1-EXP(-LN(2)/25))/(LN(2)/25)*Calculateur!AQ118*Calculateur!AS118*VLOOKUP('Données projet'!$B$10,Paramètres!$A$1:$I$89,3,0)*0.475*44/12</f>
        <v>4.584050547576016</v>
      </c>
      <c r="AW118" s="21">
        <f>EXP(-LN(2)/2)*AW117+(1-EXP(-LN(2)/2))/(LN(2)/2)*AQ118*AT118*VLOOKUP('Données projet'!$B$10,Paramètres!$A$1:$I$89,3,0)*0.475*44/12</f>
        <v>3.5497301135951803E-14</v>
      </c>
      <c r="AX118" s="21">
        <f t="shared" si="60"/>
        <v>27.429709929109329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0.79999999999995453</v>
      </c>
      <c r="BE118" s="13">
        <f>BD118*VLOOKUP('Données projet'!$B$11,Paramètres!$A$1:$I$89,3,0)*VLOOKUP('Données projet'!$B$11,Paramètres!$A$1:$I$89,5,0)</f>
        <v>0.44719999999997456</v>
      </c>
      <c r="BF118" s="13">
        <f t="shared" si="91"/>
        <v>0.22632652264063857</v>
      </c>
      <c r="BG118" s="20">
        <f t="shared" si="61"/>
        <v>1.1730586935990679</v>
      </c>
      <c r="BH118" s="59">
        <f t="shared" si="62"/>
        <v>294.50639202693236</v>
      </c>
      <c r="BI118" s="59">
        <f ca="1">AVERAGE(OFFSET($BH$3,0,0,'Données projet'!$E$11+1,1))-AVERAGE(OFFSET($H$3,0,0,'Données projet'!$E$11+1,1))</f>
        <v>321.85808080442411</v>
      </c>
      <c r="BJ118" s="59">
        <f t="shared" si="92"/>
        <v>285.95942591879702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153.80441930140344</v>
      </c>
      <c r="BQ118" s="21">
        <f>EXP(-LN(2)/25)*BQ117+(1-EXP(-LN(2)/25))/(LN(2)/25)*Calculateur!BL118*Calculateur!BN118*VLOOKUP('Données projet'!$B$11,Paramètres!$A$1:$I$89,3,0)*0.475*44/12</f>
        <v>2.4615918576448488</v>
      </c>
      <c r="BR118" s="21">
        <f>EXP(-LN(2)/2)*BR117+(1-EXP(-LN(2)/2))/(LN(2)/2)*BL118*BO118*VLOOKUP('Données projet'!$B$11,Paramètres!$A$1:$I$89,3,0)*0.475*44/12</f>
        <v>2.9042606564509953E-13</v>
      </c>
      <c r="BS118" s="22">
        <f t="shared" si="63"/>
        <v>156.26601115904859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689</v>
      </c>
      <c r="O119" s="13">
        <f>N119*VLOOKUP('Données projet'!$B$9,Paramètres!$A$1:$I$89,3,0)*VLOOKUP('Données projet'!$B$9,Paramètres!$A$1:$I$89,5,0)</f>
        <v>412.02199999999999</v>
      </c>
      <c r="P119" s="13">
        <f t="shared" si="87"/>
        <v>94.209724877926391</v>
      </c>
      <c r="Q119" s="20">
        <f t="shared" si="107"/>
        <v>881.686920829055</v>
      </c>
      <c r="R119" s="59">
        <f t="shared" si="55"/>
        <v>1175.0202541623883</v>
      </c>
      <c r="S119" s="59">
        <f ca="1">AVERAGE(OFFSET($R$3,0,0,'Données projet'!$E$9+1,1))-AVERAGE(OFFSET($H$3,0,0,'Données projet'!$E$9+1,1))</f>
        <v>430.93760474982633</v>
      </c>
      <c r="T119" s="59">
        <f t="shared" si="88"/>
        <v>371.5387876502981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47.976101820657455</v>
      </c>
      <c r="AA119" s="21">
        <f>EXP(-LN(2)/25)*AA118+(1-EXP(-LN(2)/25))/(LN(2)/25)*Calculateur!V119*Calculateur!X119*VLOOKUP('Données projet'!$B$9,Paramètres!$A$1:$I$89,3,0)*0.475*44/12</f>
        <v>5.425240319154911</v>
      </c>
      <c r="AB119" s="21">
        <f>EXP(-LN(2)/2)*AB118+(1-EXP(-LN(2)/2))/(LN(2)/2)*V119*Y119*VLOOKUP('Données projet'!$B$9,Paramètres!$A$1:$I$89,3,0)*0.475*44/12</f>
        <v>5.9531932113419189E-15</v>
      </c>
      <c r="AC119" s="22">
        <f t="shared" si="57"/>
        <v>53.401342139812371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304</v>
      </c>
      <c r="AJ119" s="13">
        <f>AI119*VLOOKUP('Données projet'!$B$10,Paramètres!$A$1:$I$89,3,0)*VLOOKUP('Données projet'!$B$10,Paramètres!$A$1:$I$89,5,0)</f>
        <v>189.696</v>
      </c>
      <c r="AK119" s="13">
        <f t="shared" si="89"/>
        <v>47.472736505152469</v>
      </c>
      <c r="AL119" s="20">
        <f t="shared" si="58"/>
        <v>413.06888274647389</v>
      </c>
      <c r="AM119" s="59">
        <f t="shared" si="59"/>
        <v>706.4022160798072</v>
      </c>
      <c r="AN119" s="59">
        <f ca="1">AVERAGE(OFFSET($AM$3,0,0,'Données projet'!$E$10+1,1))-AVERAGE(OFFSET($H$3,0,0,'Données projet'!$E$10+1,1))</f>
        <v>179.44051550872138</v>
      </c>
      <c r="AO119" s="59">
        <f t="shared" si="90"/>
        <v>272.9500808380069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22.397669935537717</v>
      </c>
      <c r="AV119" s="21">
        <f>EXP(-LN(2)/25)*AV118+(1-EXP(-LN(2)/25))/(LN(2)/25)*Calculateur!AQ119*Calculateur!AS119*VLOOKUP('Données projet'!$B$10,Paramètres!$A$1:$I$89,3,0)*0.475*44/12</f>
        <v>4.4586994442878085</v>
      </c>
      <c r="AW119" s="21">
        <f>EXP(-LN(2)/2)*AW118+(1-EXP(-LN(2)/2))/(LN(2)/2)*AQ119*AT119*VLOOKUP('Données projet'!$B$10,Paramètres!$A$1:$I$89,3,0)*0.475*44/12</f>
        <v>2.5100382347052457E-14</v>
      </c>
      <c r="AX119" s="21">
        <f t="shared" si="60"/>
        <v>26.856369379825551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0.79999999999995453</v>
      </c>
      <c r="BE119" s="13">
        <f>BD119*VLOOKUP('Données projet'!$B$11,Paramètres!$A$1:$I$89,3,0)*VLOOKUP('Données projet'!$B$11,Paramètres!$A$1:$I$89,5,0)</f>
        <v>0.44719999999997456</v>
      </c>
      <c r="BF119" s="13">
        <f t="shared" si="91"/>
        <v>0.22632652264063857</v>
      </c>
      <c r="BG119" s="20">
        <f t="shared" si="61"/>
        <v>1.1730586935990679</v>
      </c>
      <c r="BH119" s="59">
        <f t="shared" si="62"/>
        <v>294.50639202693236</v>
      </c>
      <c r="BI119" s="59">
        <f ca="1">AVERAGE(OFFSET($BH$3,0,0,'Données projet'!$E$11+1,1))-AVERAGE(OFFSET($H$3,0,0,'Données projet'!$E$11+1,1))</f>
        <v>321.85808080442411</v>
      </c>
      <c r="BJ119" s="59">
        <f t="shared" si="92"/>
        <v>285.95942591879702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150.7884084503356</v>
      </c>
      <c r="BQ119" s="21">
        <f>EXP(-LN(2)/25)*BQ118+(1-EXP(-LN(2)/25))/(LN(2)/25)*Calculateur!BL119*Calculateur!BN119*VLOOKUP('Données projet'!$B$11,Paramètres!$A$1:$I$89,3,0)*0.475*44/12</f>
        <v>2.3942794988480607</v>
      </c>
      <c r="BR119" s="21">
        <f>EXP(-LN(2)/2)*BR118+(1-EXP(-LN(2)/2))/(LN(2)/2)*BL119*BO119*VLOOKUP('Données projet'!$B$11,Paramètres!$A$1:$I$89,3,0)*0.475*44/12</f>
        <v>2.0536224045097928E-13</v>
      </c>
      <c r="BS119" s="22">
        <f t="shared" si="63"/>
        <v>153.18268794918384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689</v>
      </c>
      <c r="O120" s="13">
        <f>N120*VLOOKUP('Données projet'!$B$9,Paramètres!$A$1:$I$89,3,0)*VLOOKUP('Données projet'!$B$9,Paramètres!$A$1:$I$89,5,0)</f>
        <v>412.02199999999999</v>
      </c>
      <c r="P120" s="13">
        <f t="shared" si="87"/>
        <v>94.209724877926391</v>
      </c>
      <c r="Q120" s="20">
        <f t="shared" si="107"/>
        <v>881.686920829055</v>
      </c>
      <c r="R120" s="59">
        <f t="shared" si="55"/>
        <v>1175.0202541623883</v>
      </c>
      <c r="S120" s="59">
        <f ca="1">AVERAGE(OFFSET($R$3,0,0,'Données projet'!$E$9+1,1))-AVERAGE(OFFSET($H$3,0,0,'Données projet'!$E$9+1,1))</f>
        <v>430.93760474982633</v>
      </c>
      <c r="T120" s="59">
        <f t="shared" si="88"/>
        <v>371.5387876502981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47.035319726487039</v>
      </c>
      <c r="AA120" s="21">
        <f>EXP(-LN(2)/25)*AA119+(1-EXP(-LN(2)/25))/(LN(2)/25)*Calculateur!V120*Calculateur!X120*VLOOKUP('Données projet'!$B$9,Paramètres!$A$1:$I$89,3,0)*0.475*44/12</f>
        <v>5.2768868373266313</v>
      </c>
      <c r="AB120" s="21">
        <f>EXP(-LN(2)/2)*AB119+(1-EXP(-LN(2)/2))/(LN(2)/2)*V120*Y120*VLOOKUP('Données projet'!$B$9,Paramètres!$A$1:$I$89,3,0)*0.475*44/12</f>
        <v>4.2095432894535903E-15</v>
      </c>
      <c r="AC120" s="22">
        <f t="shared" si="57"/>
        <v>52.312206563813675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304</v>
      </c>
      <c r="AJ120" s="13">
        <f>AI120*VLOOKUP('Données projet'!$B$10,Paramètres!$A$1:$I$89,3,0)*VLOOKUP('Données projet'!$B$10,Paramètres!$A$1:$I$89,5,0)</f>
        <v>189.696</v>
      </c>
      <c r="AK120" s="13">
        <f t="shared" si="89"/>
        <v>47.472736505152469</v>
      </c>
      <c r="AL120" s="20">
        <f t="shared" si="58"/>
        <v>413.06888274647389</v>
      </c>
      <c r="AM120" s="59">
        <f t="shared" si="59"/>
        <v>706.4022160798072</v>
      </c>
      <c r="AN120" s="59">
        <f ca="1">AVERAGE(OFFSET($AM$3,0,0,'Données projet'!$E$10+1,1))-AVERAGE(OFFSET($H$3,0,0,'Données projet'!$E$10+1,1))</f>
        <v>179.44051550872138</v>
      </c>
      <c r="AO120" s="59">
        <f t="shared" si="90"/>
        <v>272.9500808380069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21.958465289331549</v>
      </c>
      <c r="AV120" s="21">
        <f>EXP(-LN(2)/25)*AV119+(1-EXP(-LN(2)/25))/(LN(2)/25)*Calculateur!AQ120*Calculateur!AS120*VLOOKUP('Données projet'!$B$10,Paramètres!$A$1:$I$89,3,0)*0.475*44/12</f>
        <v>4.3367760735109453</v>
      </c>
      <c r="AW120" s="21">
        <f>EXP(-LN(2)/2)*AW119+(1-EXP(-LN(2)/2))/(LN(2)/2)*AQ120*AT120*VLOOKUP('Données projet'!$B$10,Paramètres!$A$1:$I$89,3,0)*0.475*44/12</f>
        <v>1.7748650567975901E-14</v>
      </c>
      <c r="AX120" s="21">
        <f t="shared" si="60"/>
        <v>26.295241362842514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0.79999999999995453</v>
      </c>
      <c r="BE120" s="13">
        <f>BD120*VLOOKUP('Données projet'!$B$11,Paramètres!$A$1:$I$89,3,0)*VLOOKUP('Données projet'!$B$11,Paramètres!$A$1:$I$89,5,0)</f>
        <v>0.44719999999997456</v>
      </c>
      <c r="BF120" s="13">
        <f t="shared" si="91"/>
        <v>0.22632652264063857</v>
      </c>
      <c r="BG120" s="20">
        <f t="shared" si="61"/>
        <v>1.1730586935990679</v>
      </c>
      <c r="BH120" s="59">
        <f t="shared" si="62"/>
        <v>294.50639202693236</v>
      </c>
      <c r="BI120" s="59">
        <f ca="1">AVERAGE(OFFSET($BH$3,0,0,'Données projet'!$E$11+1,1))-AVERAGE(OFFSET($H$3,0,0,'Données projet'!$E$11+1,1))</f>
        <v>321.85808080442411</v>
      </c>
      <c r="BJ120" s="59">
        <f t="shared" si="92"/>
        <v>285.95942591879702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147.83153973247221</v>
      </c>
      <c r="BQ120" s="21">
        <f>EXP(-LN(2)/25)*BQ119+(1-EXP(-LN(2)/25))/(LN(2)/25)*Calculateur!BL120*Calculateur!BN120*VLOOKUP('Données projet'!$B$11,Paramètres!$A$1:$I$89,3,0)*0.475*44/12</f>
        <v>2.328807800042374</v>
      </c>
      <c r="BR120" s="21">
        <f>EXP(-LN(2)/2)*BR119+(1-EXP(-LN(2)/2))/(LN(2)/2)*BL120*BO120*VLOOKUP('Données projet'!$B$11,Paramètres!$A$1:$I$89,3,0)*0.475*44/12</f>
        <v>1.4521303282254976E-13</v>
      </c>
      <c r="BS120" s="22">
        <f t="shared" si="63"/>
        <v>150.16034753251472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689</v>
      </c>
      <c r="O121" s="13">
        <f>N121*VLOOKUP('Données projet'!$B$9,Paramètres!$A$1:$I$89,3,0)*VLOOKUP('Données projet'!$B$9,Paramètres!$A$1:$I$89,5,0)</f>
        <v>412.02199999999999</v>
      </c>
      <c r="P121" s="13">
        <f t="shared" si="87"/>
        <v>94.209724877926391</v>
      </c>
      <c r="Q121" s="20">
        <f t="shared" si="107"/>
        <v>881.686920829055</v>
      </c>
      <c r="R121" s="59">
        <f t="shared" si="55"/>
        <v>1175.0202541623883</v>
      </c>
      <c r="S121" s="59">
        <f ca="1">AVERAGE(OFFSET($R$3,0,0,'Données projet'!$E$9+1,1))-AVERAGE(OFFSET($H$3,0,0,'Données projet'!$E$9+1,1))</f>
        <v>430.93760474982633</v>
      </c>
      <c r="T121" s="59">
        <f t="shared" si="88"/>
        <v>371.5387876502981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46.112985795362889</v>
      </c>
      <c r="AA121" s="21">
        <f>EXP(-LN(2)/25)*AA120+(1-EXP(-LN(2)/25))/(LN(2)/25)*Calculateur!V121*Calculateur!X121*VLOOKUP('Données projet'!$B$9,Paramètres!$A$1:$I$89,3,0)*0.475*44/12</f>
        <v>5.1325900892605167</v>
      </c>
      <c r="AB121" s="21">
        <f>EXP(-LN(2)/2)*AB120+(1-EXP(-LN(2)/2))/(LN(2)/2)*V121*Y121*VLOOKUP('Données projet'!$B$9,Paramètres!$A$1:$I$89,3,0)*0.475*44/12</f>
        <v>2.9765966056709594E-15</v>
      </c>
      <c r="AC121" s="22">
        <f t="shared" si="57"/>
        <v>51.245575884623406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304</v>
      </c>
      <c r="AJ121" s="13">
        <f>AI121*VLOOKUP('Données projet'!$B$10,Paramètres!$A$1:$I$89,3,0)*VLOOKUP('Données projet'!$B$10,Paramètres!$A$1:$I$89,5,0)</f>
        <v>189.696</v>
      </c>
      <c r="AK121" s="13">
        <f t="shared" si="89"/>
        <v>47.472736505152469</v>
      </c>
      <c r="AL121" s="20">
        <f t="shared" si="58"/>
        <v>413.06888274647389</v>
      </c>
      <c r="AM121" s="59">
        <f t="shared" si="59"/>
        <v>706.4022160798072</v>
      </c>
      <c r="AN121" s="59">
        <f ca="1">AVERAGE(OFFSET($AM$3,0,0,'Données projet'!$E$10+1,1))-AVERAGE(OFFSET($H$3,0,0,'Données projet'!$E$10+1,1))</f>
        <v>179.44051550872138</v>
      </c>
      <c r="AO121" s="59">
        <f t="shared" si="90"/>
        <v>272.9500808380069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21.5278731783491</v>
      </c>
      <c r="AV121" s="21">
        <f>EXP(-LN(2)/25)*AV120+(1-EXP(-LN(2)/25))/(LN(2)/25)*Calculateur!AQ121*Calculateur!AS121*VLOOKUP('Données projet'!$B$10,Paramètres!$A$1:$I$89,3,0)*0.475*44/12</f>
        <v>4.2181867037196463</v>
      </c>
      <c r="AW121" s="21">
        <f>EXP(-LN(2)/2)*AW120+(1-EXP(-LN(2)/2))/(LN(2)/2)*AQ121*AT121*VLOOKUP('Données projet'!$B$10,Paramètres!$A$1:$I$89,3,0)*0.475*44/12</f>
        <v>1.2550191173526228E-14</v>
      </c>
      <c r="AX121" s="21">
        <f t="shared" si="60"/>
        <v>25.74605988206876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0.79999999999995453</v>
      </c>
      <c r="BE121" s="13">
        <f>BD121*VLOOKUP('Données projet'!$B$11,Paramètres!$A$1:$I$89,3,0)*VLOOKUP('Données projet'!$B$11,Paramètres!$A$1:$I$89,5,0)</f>
        <v>0.44719999999997456</v>
      </c>
      <c r="BF121" s="13">
        <f t="shared" si="91"/>
        <v>0.22632652264063857</v>
      </c>
      <c r="BG121" s="20">
        <f t="shared" si="61"/>
        <v>1.1730586935990679</v>
      </c>
      <c r="BH121" s="59">
        <f t="shared" si="62"/>
        <v>294.50639202693236</v>
      </c>
      <c r="BI121" s="59">
        <f ca="1">AVERAGE(OFFSET($BH$3,0,0,'Données projet'!$E$11+1,1))-AVERAGE(OFFSET($H$3,0,0,'Données projet'!$E$11+1,1))</f>
        <v>321.85808080442411</v>
      </c>
      <c r="BJ121" s="59">
        <f t="shared" si="92"/>
        <v>285.95942591879702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144.93265340665428</v>
      </c>
      <c r="BQ121" s="21">
        <f>EXP(-LN(2)/25)*BQ120+(1-EXP(-LN(2)/25))/(LN(2)/25)*Calculateur!BL121*Calculateur!BN121*VLOOKUP('Données projet'!$B$11,Paramètres!$A$1:$I$89,3,0)*0.475*44/12</f>
        <v>2.2651264282835357</v>
      </c>
      <c r="BR121" s="21">
        <f>EXP(-LN(2)/2)*BR120+(1-EXP(-LN(2)/2))/(LN(2)/2)*BL121*BO121*VLOOKUP('Données projet'!$B$11,Paramètres!$A$1:$I$89,3,0)*0.475*44/12</f>
        <v>1.0268112022548964E-13</v>
      </c>
      <c r="BS121" s="22">
        <f t="shared" si="63"/>
        <v>147.19777983493793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689</v>
      </c>
      <c r="O122" s="13">
        <f>N122*VLOOKUP('Données projet'!$B$9,Paramètres!$A$1:$I$89,3,0)*VLOOKUP('Données projet'!$B$9,Paramètres!$A$1:$I$89,5,0)</f>
        <v>412.02199999999999</v>
      </c>
      <c r="P122" s="13">
        <f t="shared" si="87"/>
        <v>94.209724877926391</v>
      </c>
      <c r="Q122" s="20">
        <f t="shared" si="107"/>
        <v>881.686920829055</v>
      </c>
      <c r="R122" s="59">
        <f t="shared" si="55"/>
        <v>1175.0202541623883</v>
      </c>
      <c r="S122" s="59">
        <f ca="1">AVERAGE(OFFSET($R$3,0,0,'Données projet'!$E$9+1,1))-AVERAGE(OFFSET($H$3,0,0,'Données projet'!$E$9+1,1))</f>
        <v>430.93760474982633</v>
      </c>
      <c r="T122" s="59">
        <f t="shared" si="88"/>
        <v>371.5387876502981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45.208738270059932</v>
      </c>
      <c r="AA122" s="21">
        <f>EXP(-LN(2)/25)*AA121+(1-EXP(-LN(2)/25))/(LN(2)/25)*Calculateur!V122*Calculateur!X122*VLOOKUP('Données projet'!$B$9,Paramètres!$A$1:$I$89,3,0)*0.475*44/12</f>
        <v>4.992239143358506</v>
      </c>
      <c r="AB122" s="21">
        <f>EXP(-LN(2)/2)*AB121+(1-EXP(-LN(2)/2))/(LN(2)/2)*V122*Y122*VLOOKUP('Données projet'!$B$9,Paramètres!$A$1:$I$89,3,0)*0.475*44/12</f>
        <v>2.1047716447267952E-15</v>
      </c>
      <c r="AC122" s="22">
        <f t="shared" si="57"/>
        <v>50.200977413418435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304</v>
      </c>
      <c r="AJ122" s="13">
        <f>AI122*VLOOKUP('Données projet'!$B$10,Paramètres!$A$1:$I$89,3,0)*VLOOKUP('Données projet'!$B$10,Paramètres!$A$1:$I$89,5,0)</f>
        <v>189.696</v>
      </c>
      <c r="AK122" s="13">
        <f t="shared" si="89"/>
        <v>47.472736505152469</v>
      </c>
      <c r="AL122" s="20">
        <f t="shared" si="58"/>
        <v>413.06888274647389</v>
      </c>
      <c r="AM122" s="59">
        <f t="shared" si="59"/>
        <v>706.4022160798072</v>
      </c>
      <c r="AN122" s="59">
        <f ca="1">AVERAGE(OFFSET($AM$3,0,0,'Données projet'!$E$10+1,1))-AVERAGE(OFFSET($H$3,0,0,'Données projet'!$E$10+1,1))</f>
        <v>179.44051550872138</v>
      </c>
      <c r="AO122" s="59">
        <f t="shared" si="90"/>
        <v>272.9500808380069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21.105724716027765</v>
      </c>
      <c r="AV122" s="21">
        <f>EXP(-LN(2)/25)*AV121+(1-EXP(-LN(2)/25))/(LN(2)/25)*Calculateur!AQ122*Calculateur!AS122*VLOOKUP('Données projet'!$B$10,Paramètres!$A$1:$I$89,3,0)*0.475*44/12</f>
        <v>4.1028401664816343</v>
      </c>
      <c r="AW122" s="21">
        <f>EXP(-LN(2)/2)*AW121+(1-EXP(-LN(2)/2))/(LN(2)/2)*AQ122*AT122*VLOOKUP('Données projet'!$B$10,Paramètres!$A$1:$I$89,3,0)*0.475*44/12</f>
        <v>8.8743252839879507E-15</v>
      </c>
      <c r="AX122" s="21">
        <f t="shared" si="60"/>
        <v>25.208564882509407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0.79999999999995453</v>
      </c>
      <c r="BE122" s="13">
        <f>BD122*VLOOKUP('Données projet'!$B$11,Paramètres!$A$1:$I$89,3,0)*VLOOKUP('Données projet'!$B$11,Paramètres!$A$1:$I$89,5,0)</f>
        <v>0.44719999999997456</v>
      </c>
      <c r="BF122" s="13">
        <f t="shared" si="91"/>
        <v>0.22632652264063857</v>
      </c>
      <c r="BG122" s="20">
        <f t="shared" si="61"/>
        <v>1.1730586935990679</v>
      </c>
      <c r="BH122" s="59">
        <f t="shared" si="62"/>
        <v>294.50639202693236</v>
      </c>
      <c r="BI122" s="59">
        <f ca="1">AVERAGE(OFFSET($BH$3,0,0,'Données projet'!$E$11+1,1))-AVERAGE(OFFSET($H$3,0,0,'Données projet'!$E$11+1,1))</f>
        <v>321.85808080442411</v>
      </c>
      <c r="BJ122" s="59">
        <f t="shared" si="92"/>
        <v>285.95942591879702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142.09061247353958</v>
      </c>
      <c r="BQ122" s="21">
        <f>EXP(-LN(2)/25)*BQ121+(1-EXP(-LN(2)/25))/(LN(2)/25)*Calculateur!BL122*Calculateur!BN122*VLOOKUP('Données projet'!$B$11,Paramètres!$A$1:$I$89,3,0)*0.475*44/12</f>
        <v>2.2031864269843005</v>
      </c>
      <c r="BR122" s="21">
        <f>EXP(-LN(2)/2)*BR121+(1-EXP(-LN(2)/2))/(LN(2)/2)*BL122*BO122*VLOOKUP('Données projet'!$B$11,Paramètres!$A$1:$I$89,3,0)*0.475*44/12</f>
        <v>7.2606516411274881E-14</v>
      </c>
      <c r="BS122" s="22">
        <f t="shared" si="63"/>
        <v>144.29379890052397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689</v>
      </c>
      <c r="O123" s="13">
        <f>N123*VLOOKUP('Données projet'!$B$9,Paramètres!$A$1:$I$89,3,0)*VLOOKUP('Données projet'!$B$9,Paramètres!$A$1:$I$89,5,0)</f>
        <v>412.02199999999999</v>
      </c>
      <c r="P123" s="13">
        <f t="shared" si="87"/>
        <v>94.209724877926391</v>
      </c>
      <c r="Q123" s="20">
        <f t="shared" si="107"/>
        <v>881.686920829055</v>
      </c>
      <c r="R123" s="59">
        <f t="shared" si="55"/>
        <v>1175.0202541623883</v>
      </c>
      <c r="S123" s="59">
        <f ca="1">AVERAGE(OFFSET($R$3,0,0,'Données projet'!$E$9+1,1))-AVERAGE(OFFSET($H$3,0,0,'Données projet'!$E$9+1,1))</f>
        <v>430.93760474982633</v>
      </c>
      <c r="T123" s="59">
        <f t="shared" si="88"/>
        <v>371.5387876502981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44.322222487191638</v>
      </c>
      <c r="AA123" s="21">
        <f>EXP(-LN(2)/25)*AA122+(1-EXP(-LN(2)/25))/(LN(2)/25)*Calculateur!V123*Calculateur!X123*VLOOKUP('Données projet'!$B$9,Paramètres!$A$1:$I$89,3,0)*0.475*44/12</f>
        <v>4.8557261014529214</v>
      </c>
      <c r="AB123" s="21">
        <f>EXP(-LN(2)/2)*AB122+(1-EXP(-LN(2)/2))/(LN(2)/2)*V123*Y123*VLOOKUP('Données projet'!$B$9,Paramètres!$A$1:$I$89,3,0)*0.475*44/12</f>
        <v>1.4882983028354797E-15</v>
      </c>
      <c r="AC123" s="22">
        <f t="shared" si="57"/>
        <v>49.177948588644561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304</v>
      </c>
      <c r="AJ123" s="13">
        <f>AI123*VLOOKUP('Données projet'!$B$10,Paramètres!$A$1:$I$89,3,0)*VLOOKUP('Données projet'!$B$10,Paramètres!$A$1:$I$89,5,0)</f>
        <v>189.696</v>
      </c>
      <c r="AK123" s="13">
        <f t="shared" si="89"/>
        <v>47.472736505152469</v>
      </c>
      <c r="AL123" s="20">
        <f t="shared" si="58"/>
        <v>413.06888274647389</v>
      </c>
      <c r="AM123" s="59">
        <f t="shared" si="59"/>
        <v>706.4022160798072</v>
      </c>
      <c r="AN123" s="59">
        <f ca="1">AVERAGE(OFFSET($AM$3,0,0,'Données projet'!$E$10+1,1))-AVERAGE(OFFSET($H$3,0,0,'Données projet'!$E$10+1,1))</f>
        <v>179.44051550872138</v>
      </c>
      <c r="AO123" s="59">
        <f t="shared" si="90"/>
        <v>272.9500808380069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20.691854327567412</v>
      </c>
      <c r="AV123" s="21">
        <f>EXP(-LN(2)/25)*AV122+(1-EXP(-LN(2)/25))/(LN(2)/25)*Calculateur!AQ123*Calculateur!AS123*VLOOKUP('Données projet'!$B$10,Paramètres!$A$1:$I$89,3,0)*0.475*44/12</f>
        <v>3.9906477863702068</v>
      </c>
      <c r="AW123" s="21">
        <f>EXP(-LN(2)/2)*AW122+(1-EXP(-LN(2)/2))/(LN(2)/2)*AQ123*AT123*VLOOKUP('Données projet'!$B$10,Paramètres!$A$1:$I$89,3,0)*0.475*44/12</f>
        <v>6.2750955867631141E-15</v>
      </c>
      <c r="AX123" s="21">
        <f t="shared" si="60"/>
        <v>24.682502113937627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0.79999999999995453</v>
      </c>
      <c r="BE123" s="13">
        <f>BD123*VLOOKUP('Données projet'!$B$11,Paramètres!$A$1:$I$89,3,0)*VLOOKUP('Données projet'!$B$11,Paramètres!$A$1:$I$89,5,0)</f>
        <v>0.44719999999997456</v>
      </c>
      <c r="BF123" s="13">
        <f t="shared" si="91"/>
        <v>0.22632652264063857</v>
      </c>
      <c r="BG123" s="20">
        <f t="shared" si="61"/>
        <v>1.1730586935990679</v>
      </c>
      <c r="BH123" s="59">
        <f t="shared" si="62"/>
        <v>294.50639202693236</v>
      </c>
      <c r="BI123" s="59">
        <f ca="1">AVERAGE(OFFSET($BH$3,0,0,'Données projet'!$E$11+1,1))-AVERAGE(OFFSET($H$3,0,0,'Données projet'!$E$11+1,1))</f>
        <v>321.85808080442411</v>
      </c>
      <c r="BJ123" s="59">
        <f t="shared" si="92"/>
        <v>285.95942591879702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139.30430222964944</v>
      </c>
      <c r="BQ123" s="21">
        <f>EXP(-LN(2)/25)*BQ122+(1-EXP(-LN(2)/25))/(LN(2)/25)*Calculateur!BL123*Calculateur!BN123*VLOOKUP('Données projet'!$B$11,Paramètres!$A$1:$I$89,3,0)*0.475*44/12</f>
        <v>2.1429401782778759</v>
      </c>
      <c r="BR123" s="21">
        <f>EXP(-LN(2)/2)*BR122+(1-EXP(-LN(2)/2))/(LN(2)/2)*BL123*BO123*VLOOKUP('Données projet'!$B$11,Paramètres!$A$1:$I$89,3,0)*0.475*44/12</f>
        <v>5.134056011274482E-14</v>
      </c>
      <c r="BS123" s="22">
        <f t="shared" si="63"/>
        <v>141.44724240792738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689</v>
      </c>
      <c r="O124" s="13">
        <f>N124*VLOOKUP('Données projet'!$B$9,Paramètres!$A$1:$I$89,3,0)*VLOOKUP('Données projet'!$B$9,Paramètres!$A$1:$I$89,5,0)</f>
        <v>412.02199999999999</v>
      </c>
      <c r="P124" s="13">
        <f t="shared" si="87"/>
        <v>94.209724877926391</v>
      </c>
      <c r="Q124" s="20">
        <f t="shared" si="107"/>
        <v>881.686920829055</v>
      </c>
      <c r="R124" s="59">
        <f t="shared" si="55"/>
        <v>1175.0202541623883</v>
      </c>
      <c r="S124" s="59">
        <f ca="1">AVERAGE(OFFSET($R$3,0,0,'Données projet'!$E$9+1,1))-AVERAGE(OFFSET($H$3,0,0,'Données projet'!$E$9+1,1))</f>
        <v>430.93760474982633</v>
      </c>
      <c r="T124" s="59">
        <f t="shared" si="88"/>
        <v>371.5387876502981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43.453090738104152</v>
      </c>
      <c r="AA124" s="21">
        <f>EXP(-LN(2)/25)*AA123+(1-EXP(-LN(2)/25))/(LN(2)/25)*Calculateur!V124*Calculateur!X124*VLOOKUP('Données projet'!$B$9,Paramètres!$A$1:$I$89,3,0)*0.475*44/12</f>
        <v>4.7229460158571532</v>
      </c>
      <c r="AB124" s="21">
        <f>EXP(-LN(2)/2)*AB123+(1-EXP(-LN(2)/2))/(LN(2)/2)*V124*Y124*VLOOKUP('Données projet'!$B$9,Paramètres!$A$1:$I$89,3,0)*0.475*44/12</f>
        <v>1.0523858223633976E-15</v>
      </c>
      <c r="AC124" s="22">
        <f t="shared" si="57"/>
        <v>48.176036753961306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304</v>
      </c>
      <c r="AJ124" s="13">
        <f>AI124*VLOOKUP('Données projet'!$B$10,Paramètres!$A$1:$I$89,3,0)*VLOOKUP('Données projet'!$B$10,Paramètres!$A$1:$I$89,5,0)</f>
        <v>189.696</v>
      </c>
      <c r="AK124" s="13">
        <f t="shared" si="89"/>
        <v>47.472736505152469</v>
      </c>
      <c r="AL124" s="20">
        <f t="shared" si="58"/>
        <v>413.06888274647389</v>
      </c>
      <c r="AM124" s="59">
        <f t="shared" si="59"/>
        <v>706.4022160798072</v>
      </c>
      <c r="AN124" s="59">
        <f ca="1">AVERAGE(OFFSET($AM$3,0,0,'Données projet'!$E$10+1,1))-AVERAGE(OFFSET($H$3,0,0,'Données projet'!$E$10+1,1))</f>
        <v>179.44051550872138</v>
      </c>
      <c r="AO124" s="59">
        <f t="shared" si="90"/>
        <v>272.9500808380069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20.286099684988756</v>
      </c>
      <c r="AV124" s="21">
        <f>EXP(-LN(2)/25)*AV123+(1-EXP(-LN(2)/25))/(LN(2)/25)*Calculateur!AQ124*Calculateur!AS124*VLOOKUP('Données projet'!$B$10,Paramètres!$A$1:$I$89,3,0)*0.475*44/12</f>
        <v>3.8815233127928672</v>
      </c>
      <c r="AW124" s="21">
        <f>EXP(-LN(2)/2)*AW123+(1-EXP(-LN(2)/2))/(LN(2)/2)*AQ124*AT124*VLOOKUP('Données projet'!$B$10,Paramètres!$A$1:$I$89,3,0)*0.475*44/12</f>
        <v>4.4371626419939753E-15</v>
      </c>
      <c r="AX124" s="21">
        <f t="shared" si="60"/>
        <v>24.167622997781628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0.79999999999995453</v>
      </c>
      <c r="BE124" s="13">
        <f>BD124*VLOOKUP('Données projet'!$B$11,Paramètres!$A$1:$I$89,3,0)*VLOOKUP('Données projet'!$B$11,Paramètres!$A$1:$I$89,5,0)</f>
        <v>0.44719999999997456</v>
      </c>
      <c r="BF124" s="13">
        <f t="shared" si="91"/>
        <v>0.22632652264063857</v>
      </c>
      <c r="BG124" s="20">
        <f t="shared" si="61"/>
        <v>1.1730586935990679</v>
      </c>
      <c r="BH124" s="59">
        <f t="shared" si="62"/>
        <v>294.50639202693236</v>
      </c>
      <c r="BI124" s="59">
        <f ca="1">AVERAGE(OFFSET($BH$3,0,0,'Données projet'!$E$11+1,1))-AVERAGE(OFFSET($H$3,0,0,'Données projet'!$E$11+1,1))</f>
        <v>321.85808080442411</v>
      </c>
      <c r="BJ124" s="59">
        <f t="shared" si="92"/>
        <v>285.95942591879702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136.57262983016057</v>
      </c>
      <c r="BQ124" s="21">
        <f>EXP(-LN(2)/25)*BQ123+(1-EXP(-LN(2)/25))/(LN(2)/25)*Calculateur!BL124*Calculateur!BN124*VLOOKUP('Données projet'!$B$11,Paramètres!$A$1:$I$89,3,0)*0.475*44/12</f>
        <v>2.0843413664105412</v>
      </c>
      <c r="BR124" s="21">
        <f>EXP(-LN(2)/2)*BR123+(1-EXP(-LN(2)/2))/(LN(2)/2)*BL124*BO124*VLOOKUP('Données projet'!$B$11,Paramètres!$A$1:$I$89,3,0)*0.475*44/12</f>
        <v>3.6303258205637441E-14</v>
      </c>
      <c r="BS124" s="22">
        <f t="shared" si="63"/>
        <v>138.65697119657113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689</v>
      </c>
      <c r="O125" s="13">
        <f>N125*VLOOKUP('Données projet'!$B$9,Paramètres!$A$1:$I$89,3,0)*VLOOKUP('Données projet'!$B$9,Paramètres!$A$1:$I$89,5,0)</f>
        <v>412.02199999999999</v>
      </c>
      <c r="P125" s="13">
        <f t="shared" si="87"/>
        <v>94.209724877926391</v>
      </c>
      <c r="Q125" s="20">
        <f t="shared" si="107"/>
        <v>881.686920829055</v>
      </c>
      <c r="R125" s="59">
        <f t="shared" si="55"/>
        <v>1175.0202541623883</v>
      </c>
      <c r="S125" s="59">
        <f ca="1">AVERAGE(OFFSET($R$3,0,0,'Données projet'!$E$9+1,1))-AVERAGE(OFFSET($H$3,0,0,'Données projet'!$E$9+1,1))</f>
        <v>430.93760474982633</v>
      </c>
      <c r="T125" s="59">
        <f t="shared" si="88"/>
        <v>371.5387876502981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42.601002132498252</v>
      </c>
      <c r="AA125" s="21">
        <f>EXP(-LN(2)/25)*AA124+(1-EXP(-LN(2)/25))/(LN(2)/25)*Calculateur!V125*Calculateur!X125*VLOOKUP('Données projet'!$B$9,Paramètres!$A$1:$I$89,3,0)*0.475*44/12</f>
        <v>4.5937968086846031</v>
      </c>
      <c r="AB125" s="21">
        <f>EXP(-LN(2)/2)*AB124+(1-EXP(-LN(2)/2))/(LN(2)/2)*V125*Y125*VLOOKUP('Données projet'!$B$9,Paramètres!$A$1:$I$89,3,0)*0.475*44/12</f>
        <v>7.4414915141773986E-16</v>
      </c>
      <c r="AC125" s="22">
        <f t="shared" si="57"/>
        <v>47.194798941182853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304</v>
      </c>
      <c r="AJ125" s="13">
        <f>AI125*VLOOKUP('Données projet'!$B$10,Paramètres!$A$1:$I$89,3,0)*VLOOKUP('Données projet'!$B$10,Paramètres!$A$1:$I$89,5,0)</f>
        <v>189.696</v>
      </c>
      <c r="AK125" s="13">
        <f t="shared" si="89"/>
        <v>47.472736505152469</v>
      </c>
      <c r="AL125" s="20">
        <f t="shared" si="58"/>
        <v>413.06888274647389</v>
      </c>
      <c r="AM125" s="59">
        <f t="shared" si="59"/>
        <v>706.4022160798072</v>
      </c>
      <c r="AN125" s="59">
        <f ca="1">AVERAGE(OFFSET($AM$3,0,0,'Données projet'!$E$10+1,1))-AVERAGE(OFFSET($H$3,0,0,'Données projet'!$E$10+1,1))</f>
        <v>179.44051550872138</v>
      </c>
      <c r="AO125" s="59">
        <f t="shared" si="90"/>
        <v>272.9500808380069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19.888301643465173</v>
      </c>
      <c r="AV125" s="21">
        <f>EXP(-LN(2)/25)*AV124+(1-EXP(-LN(2)/25))/(LN(2)/25)*Calculateur!AQ125*Calculateur!AS125*VLOOKUP('Données projet'!$B$10,Paramètres!$A$1:$I$89,3,0)*0.475*44/12</f>
        <v>3.7753828536841065</v>
      </c>
      <c r="AW125" s="21">
        <f>EXP(-LN(2)/2)*AW124+(1-EXP(-LN(2)/2))/(LN(2)/2)*AQ125*AT125*VLOOKUP('Données projet'!$B$10,Paramètres!$A$1:$I$89,3,0)*0.475*44/12</f>
        <v>3.1375477933815571E-15</v>
      </c>
      <c r="AX125" s="21">
        <f t="shared" si="60"/>
        <v>23.663684497149283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0.79999999999995453</v>
      </c>
      <c r="BE125" s="13">
        <f>BD125*VLOOKUP('Données projet'!$B$11,Paramètres!$A$1:$I$89,3,0)*VLOOKUP('Données projet'!$B$11,Paramètres!$A$1:$I$89,5,0)</f>
        <v>0.44719999999997456</v>
      </c>
      <c r="BF125" s="13">
        <f t="shared" si="91"/>
        <v>0.22632652264063857</v>
      </c>
      <c r="BG125" s="20">
        <f t="shared" si="61"/>
        <v>1.1730586935990679</v>
      </c>
      <c r="BH125" s="59">
        <f t="shared" si="62"/>
        <v>294.50639202693236</v>
      </c>
      <c r="BI125" s="59">
        <f ca="1">AVERAGE(OFFSET($BH$3,0,0,'Données projet'!$E$11+1,1))-AVERAGE(OFFSET($H$3,0,0,'Données projet'!$E$11+1,1))</f>
        <v>321.85808080442411</v>
      </c>
      <c r="BJ125" s="59">
        <f t="shared" si="92"/>
        <v>285.95942591879702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133.89452386027003</v>
      </c>
      <c r="BQ125" s="21">
        <f>EXP(-LN(2)/25)*BQ124+(1-EXP(-LN(2)/25))/(LN(2)/25)*Calculateur!BL125*Calculateur!BN125*VLOOKUP('Données projet'!$B$11,Paramètres!$A$1:$I$89,3,0)*0.475*44/12</f>
        <v>2.0273449421352963</v>
      </c>
      <c r="BR125" s="21">
        <f>EXP(-LN(2)/2)*BR124+(1-EXP(-LN(2)/2))/(LN(2)/2)*BL125*BO125*VLOOKUP('Données projet'!$B$11,Paramètres!$A$1:$I$89,3,0)*0.475*44/12</f>
        <v>2.567028005637241E-14</v>
      </c>
      <c r="BS125" s="22">
        <f t="shared" si="63"/>
        <v>135.92186880240536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689</v>
      </c>
      <c r="O126" s="13">
        <f>N126*VLOOKUP('Données projet'!$B$9,Paramètres!$A$1:$I$89,3,0)*VLOOKUP('Données projet'!$B$9,Paramètres!$A$1:$I$89,5,0)</f>
        <v>412.02199999999999</v>
      </c>
      <c r="P126" s="13">
        <f t="shared" si="87"/>
        <v>94.209724877926391</v>
      </c>
      <c r="Q126" s="20">
        <f t="shared" si="107"/>
        <v>881.686920829055</v>
      </c>
      <c r="R126" s="59">
        <f t="shared" si="55"/>
        <v>1175.0202541623883</v>
      </c>
      <c r="S126" s="59">
        <f ca="1">AVERAGE(OFFSET($R$3,0,0,'Données projet'!$E$9+1,1))-AVERAGE(OFFSET($H$3,0,0,'Données projet'!$E$9+1,1))</f>
        <v>430.93760474982633</v>
      </c>
      <c r="T126" s="59">
        <f t="shared" si="88"/>
        <v>371.5387876502981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41.765622464725553</v>
      </c>
      <c r="AA126" s="21">
        <f>EXP(-LN(2)/25)*AA125+(1-EXP(-LN(2)/25))/(LN(2)/25)*Calculateur!V126*Calculateur!X126*VLOOKUP('Données projet'!$B$9,Paramètres!$A$1:$I$89,3,0)*0.475*44/12</f>
        <v>4.4681791933738477</v>
      </c>
      <c r="AB126" s="21">
        <f>EXP(-LN(2)/2)*AB125+(1-EXP(-LN(2)/2))/(LN(2)/2)*V126*Y126*VLOOKUP('Données projet'!$B$9,Paramètres!$A$1:$I$89,3,0)*0.475*44/12</f>
        <v>5.2619291118169879E-16</v>
      </c>
      <c r="AC126" s="22">
        <f t="shared" si="57"/>
        <v>46.233801658099402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304</v>
      </c>
      <c r="AJ126" s="13">
        <f>AI126*VLOOKUP('Données projet'!$B$10,Paramètres!$A$1:$I$89,3,0)*VLOOKUP('Données projet'!$B$10,Paramètres!$A$1:$I$89,5,0)</f>
        <v>189.696</v>
      </c>
      <c r="AK126" s="13">
        <f t="shared" si="89"/>
        <v>47.472736505152469</v>
      </c>
      <c r="AL126" s="20">
        <f t="shared" si="58"/>
        <v>413.06888274647389</v>
      </c>
      <c r="AM126" s="59">
        <f t="shared" si="59"/>
        <v>706.4022160798072</v>
      </c>
      <c r="AN126" s="59">
        <f ca="1">AVERAGE(OFFSET($AM$3,0,0,'Données projet'!$E$10+1,1))-AVERAGE(OFFSET($H$3,0,0,'Données projet'!$E$10+1,1))</f>
        <v>179.44051550872138</v>
      </c>
      <c r="AO126" s="59">
        <f t="shared" si="90"/>
        <v>272.9500808380069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19.49830417890302</v>
      </c>
      <c r="AV126" s="21">
        <f>EXP(-LN(2)/25)*AV125+(1-EXP(-LN(2)/25))/(LN(2)/25)*Calculateur!AQ126*Calculateur!AS126*VLOOKUP('Données projet'!$B$10,Paramètres!$A$1:$I$89,3,0)*0.475*44/12</f>
        <v>3.6721448110113593</v>
      </c>
      <c r="AW126" s="21">
        <f>EXP(-LN(2)/2)*AW125+(1-EXP(-LN(2)/2))/(LN(2)/2)*AQ126*AT126*VLOOKUP('Données projet'!$B$10,Paramètres!$A$1:$I$89,3,0)*0.475*44/12</f>
        <v>2.2185813209969877E-15</v>
      </c>
      <c r="AX126" s="21">
        <f t="shared" si="60"/>
        <v>23.170448989914384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0.79999999999995453</v>
      </c>
      <c r="BE126" s="13">
        <f>BD126*VLOOKUP('Données projet'!$B$11,Paramètres!$A$1:$I$89,3,0)*VLOOKUP('Données projet'!$B$11,Paramètres!$A$1:$I$89,5,0)</f>
        <v>0.44719999999997456</v>
      </c>
      <c r="BF126" s="13">
        <f t="shared" si="91"/>
        <v>0.22632652264063857</v>
      </c>
      <c r="BG126" s="20">
        <f t="shared" si="61"/>
        <v>1.1730586935990679</v>
      </c>
      <c r="BH126" s="59">
        <f t="shared" si="62"/>
        <v>294.50639202693236</v>
      </c>
      <c r="BI126" s="59">
        <f ca="1">AVERAGE(OFFSET($BH$3,0,0,'Données projet'!$E$11+1,1))-AVERAGE(OFFSET($H$3,0,0,'Données projet'!$E$11+1,1))</f>
        <v>321.85808080442411</v>
      </c>
      <c r="BJ126" s="59">
        <f t="shared" si="92"/>
        <v>285.95942591879702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131.26893391496569</v>
      </c>
      <c r="BQ126" s="21">
        <f>EXP(-LN(2)/25)*BQ125+(1-EXP(-LN(2)/25))/(LN(2)/25)*Calculateur!BL126*Calculateur!BN126*VLOOKUP('Données projet'!$B$11,Paramètres!$A$1:$I$89,3,0)*0.475*44/12</f>
        <v>1.9719070880791696</v>
      </c>
      <c r="BR126" s="21">
        <f>EXP(-LN(2)/2)*BR125+(1-EXP(-LN(2)/2))/(LN(2)/2)*BL126*BO126*VLOOKUP('Données projet'!$B$11,Paramètres!$A$1:$I$89,3,0)*0.475*44/12</f>
        <v>1.815162910281872E-14</v>
      </c>
      <c r="BS126" s="22">
        <f t="shared" si="63"/>
        <v>133.24084100304489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689</v>
      </c>
      <c r="O127" s="13">
        <f>N127*VLOOKUP('Données projet'!$B$9,Paramètres!$A$1:$I$89,3,0)*VLOOKUP('Données projet'!$B$9,Paramètres!$A$1:$I$89,5,0)</f>
        <v>412.02199999999999</v>
      </c>
      <c r="P127" s="13">
        <f t="shared" si="87"/>
        <v>94.209724877926391</v>
      </c>
      <c r="Q127" s="20">
        <f t="shared" si="107"/>
        <v>881.686920829055</v>
      </c>
      <c r="R127" s="59">
        <f t="shared" si="55"/>
        <v>1175.0202541623883</v>
      </c>
      <c r="S127" s="59">
        <f ca="1">AVERAGE(OFFSET($R$3,0,0,'Données projet'!$E$9+1,1))-AVERAGE(OFFSET($H$3,0,0,'Données projet'!$E$9+1,1))</f>
        <v>430.93760474982633</v>
      </c>
      <c r="T127" s="59">
        <f t="shared" si="88"/>
        <v>371.5387876502981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40.946624082706592</v>
      </c>
      <c r="AA127" s="21">
        <f>EXP(-LN(2)/25)*AA126+(1-EXP(-LN(2)/25))/(LN(2)/25)*Calculateur!V127*Calculateur!X127*VLOOKUP('Données projet'!$B$9,Paramètres!$A$1:$I$89,3,0)*0.475*44/12</f>
        <v>4.345996598359708</v>
      </c>
      <c r="AB127" s="21">
        <f>EXP(-LN(2)/2)*AB126+(1-EXP(-LN(2)/2))/(LN(2)/2)*V127*Y127*VLOOKUP('Données projet'!$B$9,Paramètres!$A$1:$I$89,3,0)*0.475*44/12</f>
        <v>3.7207457570886993E-16</v>
      </c>
      <c r="AC127" s="22">
        <f t="shared" si="57"/>
        <v>45.292620681066296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304</v>
      </c>
      <c r="AJ127" s="13">
        <f>AI127*VLOOKUP('Données projet'!$B$10,Paramètres!$A$1:$I$89,3,0)*VLOOKUP('Données projet'!$B$10,Paramètres!$A$1:$I$89,5,0)</f>
        <v>189.696</v>
      </c>
      <c r="AK127" s="13">
        <f t="shared" si="89"/>
        <v>47.472736505152469</v>
      </c>
      <c r="AL127" s="20">
        <f t="shared" si="58"/>
        <v>413.06888274647389</v>
      </c>
      <c r="AM127" s="59">
        <f t="shared" si="59"/>
        <v>706.4022160798072</v>
      </c>
      <c r="AN127" s="59">
        <f ca="1">AVERAGE(OFFSET($AM$3,0,0,'Données projet'!$E$10+1,1))-AVERAGE(OFFSET($H$3,0,0,'Données projet'!$E$10+1,1))</f>
        <v>179.44051550872138</v>
      </c>
      <c r="AO127" s="59">
        <f t="shared" si="90"/>
        <v>272.9500808380069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19.115954326745964</v>
      </c>
      <c r="AV127" s="21">
        <f>EXP(-LN(2)/25)*AV126+(1-EXP(-LN(2)/25))/(LN(2)/25)*Calculateur!AQ127*Calculateur!AS127*VLOOKUP('Données projet'!$B$10,Paramètres!$A$1:$I$89,3,0)*0.475*44/12</f>
        <v>3.5717298180445507</v>
      </c>
      <c r="AW127" s="21">
        <f>EXP(-LN(2)/2)*AW126+(1-EXP(-LN(2)/2))/(LN(2)/2)*AQ127*AT127*VLOOKUP('Données projet'!$B$10,Paramètres!$A$1:$I$89,3,0)*0.475*44/12</f>
        <v>1.5687738966907785E-15</v>
      </c>
      <c r="AX127" s="21">
        <f t="shared" si="60"/>
        <v>22.687684144790516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0.79999999999995453</v>
      </c>
      <c r="BE127" s="13">
        <f>BD127*VLOOKUP('Données projet'!$B$11,Paramètres!$A$1:$I$89,3,0)*VLOOKUP('Données projet'!$B$11,Paramètres!$A$1:$I$89,5,0)</f>
        <v>0.44719999999997456</v>
      </c>
      <c r="BF127" s="13">
        <f t="shared" si="91"/>
        <v>0.22632652264063857</v>
      </c>
      <c r="BG127" s="20">
        <f t="shared" si="61"/>
        <v>1.1730586935990679</v>
      </c>
      <c r="BH127" s="59">
        <f t="shared" si="62"/>
        <v>294.50639202693236</v>
      </c>
      <c r="BI127" s="59">
        <f ca="1">AVERAGE(OFFSET($BH$3,0,0,'Données projet'!$E$11+1,1))-AVERAGE(OFFSET($H$3,0,0,'Données projet'!$E$11+1,1))</f>
        <v>321.85808080442411</v>
      </c>
      <c r="BJ127" s="59">
        <f t="shared" si="92"/>
        <v>285.95942591879702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128.69483018703701</v>
      </c>
      <c r="BQ127" s="21">
        <f>EXP(-LN(2)/25)*BQ126+(1-EXP(-LN(2)/25))/(LN(2)/25)*Calculateur!BL127*Calculateur!BN127*VLOOKUP('Données projet'!$B$11,Paramètres!$A$1:$I$89,3,0)*0.475*44/12</f>
        <v>1.9179851850575578</v>
      </c>
      <c r="BR127" s="21">
        <f>EXP(-LN(2)/2)*BR126+(1-EXP(-LN(2)/2))/(LN(2)/2)*BL127*BO127*VLOOKUP('Données projet'!$B$11,Paramètres!$A$1:$I$89,3,0)*0.475*44/12</f>
        <v>1.2835140028186205E-14</v>
      </c>
      <c r="BS127" s="22">
        <f t="shared" si="63"/>
        <v>130.61281537209456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689</v>
      </c>
      <c r="O128" s="13">
        <f>N128*VLOOKUP('Données projet'!$B$9,Paramètres!$A$1:$I$89,3,0)*VLOOKUP('Données projet'!$B$9,Paramètres!$A$1:$I$89,5,0)</f>
        <v>412.02199999999999</v>
      </c>
      <c r="P128" s="13">
        <f t="shared" si="87"/>
        <v>94.209724877926391</v>
      </c>
      <c r="Q128" s="20">
        <f t="shared" si="107"/>
        <v>881.686920829055</v>
      </c>
      <c r="R128" s="59">
        <f t="shared" si="55"/>
        <v>1175.0202541623883</v>
      </c>
      <c r="S128" s="59">
        <f ca="1">AVERAGE(OFFSET($R$3,0,0,'Données projet'!$E$9+1,1))-AVERAGE(OFFSET($H$3,0,0,'Données projet'!$E$9+1,1))</f>
        <v>430.93760474982633</v>
      </c>
      <c r="T128" s="59">
        <f t="shared" si="88"/>
        <v>371.5387876502981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40.143685759419334</v>
      </c>
      <c r="AA128" s="21">
        <f>EXP(-LN(2)/25)*AA127+(1-EXP(-LN(2)/25))/(LN(2)/25)*Calculateur!V128*Calculateur!X128*VLOOKUP('Données projet'!$B$9,Paramètres!$A$1:$I$89,3,0)*0.475*44/12</f>
        <v>4.2271550928315333</v>
      </c>
      <c r="AB128" s="21">
        <f>EXP(-LN(2)/2)*AB127+(1-EXP(-LN(2)/2))/(LN(2)/2)*V128*Y128*VLOOKUP('Données projet'!$B$9,Paramètres!$A$1:$I$89,3,0)*0.475*44/12</f>
        <v>2.630964555908494E-16</v>
      </c>
      <c r="AC128" s="22">
        <f t="shared" si="57"/>
        <v>44.370840852250865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304</v>
      </c>
      <c r="AJ128" s="13">
        <f>AI128*VLOOKUP('Données projet'!$B$10,Paramètres!$A$1:$I$89,3,0)*VLOOKUP('Données projet'!$B$10,Paramètres!$A$1:$I$89,5,0)</f>
        <v>189.696</v>
      </c>
      <c r="AK128" s="13">
        <f t="shared" si="89"/>
        <v>47.472736505152469</v>
      </c>
      <c r="AL128" s="20">
        <f t="shared" si="58"/>
        <v>413.06888274647389</v>
      </c>
      <c r="AM128" s="59">
        <f t="shared" si="59"/>
        <v>706.4022160798072</v>
      </c>
      <c r="AN128" s="59">
        <f ca="1">AVERAGE(OFFSET($AM$3,0,0,'Données projet'!$E$10+1,1))-AVERAGE(OFFSET($H$3,0,0,'Données projet'!$E$10+1,1))</f>
        <v>179.44051550872138</v>
      </c>
      <c r="AO128" s="59">
        <f t="shared" si="90"/>
        <v>272.9500808380069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18.741102121979328</v>
      </c>
      <c r="AV128" s="21">
        <f>EXP(-LN(2)/25)*AV127+(1-EXP(-LN(2)/25))/(LN(2)/25)*Calculateur!AQ128*Calculateur!AS128*VLOOKUP('Données projet'!$B$10,Paramètres!$A$1:$I$89,3,0)*0.475*44/12</f>
        <v>3.4740606783410146</v>
      </c>
      <c r="AW128" s="21">
        <f>EXP(-LN(2)/2)*AW127+(1-EXP(-LN(2)/2))/(LN(2)/2)*AQ128*AT128*VLOOKUP('Données projet'!$B$10,Paramètres!$A$1:$I$89,3,0)*0.475*44/12</f>
        <v>1.1092906604984938E-15</v>
      </c>
      <c r="AX128" s="21">
        <f t="shared" si="60"/>
        <v>22.215162800320343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0.79999999999995453</v>
      </c>
      <c r="BE128" s="13">
        <f>BD128*VLOOKUP('Données projet'!$B$11,Paramètres!$A$1:$I$89,3,0)*VLOOKUP('Données projet'!$B$11,Paramètres!$A$1:$I$89,5,0)</f>
        <v>0.44719999999997456</v>
      </c>
      <c r="BF128" s="13">
        <f t="shared" si="91"/>
        <v>0.22632652264063857</v>
      </c>
      <c r="BG128" s="20">
        <f t="shared" si="61"/>
        <v>1.1730586935990679</v>
      </c>
      <c r="BH128" s="59">
        <f t="shared" si="62"/>
        <v>294.50639202693236</v>
      </c>
      <c r="BI128" s="59">
        <f ca="1">AVERAGE(OFFSET($BH$3,0,0,'Données projet'!$E$11+1,1))-AVERAGE(OFFSET($H$3,0,0,'Données projet'!$E$11+1,1))</f>
        <v>321.85808080442411</v>
      </c>
      <c r="BJ128" s="59">
        <f t="shared" si="92"/>
        <v>285.95942591879702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126.17120306316478</v>
      </c>
      <c r="BQ128" s="21">
        <f>EXP(-LN(2)/25)*BQ127+(1-EXP(-LN(2)/25))/(LN(2)/25)*Calculateur!BL128*Calculateur!BN128*VLOOKUP('Données projet'!$B$11,Paramètres!$A$1:$I$89,3,0)*0.475*44/12</f>
        <v>1.8655377793097017</v>
      </c>
      <c r="BR128" s="21">
        <f>EXP(-LN(2)/2)*BR127+(1-EXP(-LN(2)/2))/(LN(2)/2)*BL128*BO128*VLOOKUP('Données projet'!$B$11,Paramètres!$A$1:$I$89,3,0)*0.475*44/12</f>
        <v>9.0758145514093602E-15</v>
      </c>
      <c r="BS128" s="22">
        <f t="shared" si="63"/>
        <v>128.03674084247447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689</v>
      </c>
      <c r="O129" s="13">
        <f>N129*VLOOKUP('Données projet'!$B$9,Paramètres!$A$1:$I$89,3,0)*VLOOKUP('Données projet'!$B$9,Paramètres!$A$1:$I$89,5,0)</f>
        <v>412.02199999999999</v>
      </c>
      <c r="P129" s="13">
        <f t="shared" si="87"/>
        <v>94.209724877926391</v>
      </c>
      <c r="Q129" s="20">
        <f t="shared" si="107"/>
        <v>881.686920829055</v>
      </c>
      <c r="R129" s="59">
        <f t="shared" si="55"/>
        <v>1175.0202541623883</v>
      </c>
      <c r="S129" s="59">
        <f ca="1">AVERAGE(OFFSET($R$3,0,0,'Données projet'!$E$9+1,1))-AVERAGE(OFFSET($H$3,0,0,'Données projet'!$E$9+1,1))</f>
        <v>430.93760474982633</v>
      </c>
      <c r="T129" s="59">
        <f t="shared" si="88"/>
        <v>371.5387876502981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39.356492566907718</v>
      </c>
      <c r="AA129" s="21">
        <f>EXP(-LN(2)/25)*AA128+(1-EXP(-LN(2)/25))/(LN(2)/25)*Calculateur!V129*Calculateur!X129*VLOOKUP('Données projet'!$B$9,Paramètres!$A$1:$I$89,3,0)*0.475*44/12</f>
        <v>4.1115633145216304</v>
      </c>
      <c r="AB129" s="21">
        <f>EXP(-LN(2)/2)*AB128+(1-EXP(-LN(2)/2))/(LN(2)/2)*V129*Y129*VLOOKUP('Données projet'!$B$9,Paramètres!$A$1:$I$89,3,0)*0.475*44/12</f>
        <v>1.8603728785443497E-16</v>
      </c>
      <c r="AC129" s="22">
        <f t="shared" si="57"/>
        <v>43.468055881429351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304</v>
      </c>
      <c r="AJ129" s="13">
        <f>AI129*VLOOKUP('Données projet'!$B$10,Paramètres!$A$1:$I$89,3,0)*VLOOKUP('Données projet'!$B$10,Paramètres!$A$1:$I$89,5,0)</f>
        <v>189.696</v>
      </c>
      <c r="AK129" s="13">
        <f t="shared" si="89"/>
        <v>47.472736505152469</v>
      </c>
      <c r="AL129" s="20">
        <f t="shared" si="58"/>
        <v>413.06888274647389</v>
      </c>
      <c r="AM129" s="59">
        <f t="shared" si="59"/>
        <v>706.4022160798072</v>
      </c>
      <c r="AN129" s="59">
        <f ca="1">AVERAGE(OFFSET($AM$3,0,0,'Données projet'!$E$10+1,1))-AVERAGE(OFFSET($H$3,0,0,'Données projet'!$E$10+1,1))</f>
        <v>179.44051550872138</v>
      </c>
      <c r="AO129" s="59">
        <f t="shared" si="90"/>
        <v>272.9500808380069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18.373600540310896</v>
      </c>
      <c r="AV129" s="21">
        <f>EXP(-LN(2)/25)*AV128+(1-EXP(-LN(2)/25))/(LN(2)/25)*Calculateur!AQ129*Calculateur!AS129*VLOOKUP('Données projet'!$B$10,Paramètres!$A$1:$I$89,3,0)*0.475*44/12</f>
        <v>3.3790623063988687</v>
      </c>
      <c r="AW129" s="21">
        <f>EXP(-LN(2)/2)*AW128+(1-EXP(-LN(2)/2))/(LN(2)/2)*AQ129*AT129*VLOOKUP('Données projet'!$B$10,Paramètres!$A$1:$I$89,3,0)*0.475*44/12</f>
        <v>7.8438694834538927E-16</v>
      </c>
      <c r="AX129" s="21">
        <f t="shared" si="60"/>
        <v>21.752662846709764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0.79999999999995453</v>
      </c>
      <c r="BE129" s="13">
        <f>BD129*VLOOKUP('Données projet'!$B$11,Paramètres!$A$1:$I$89,3,0)*VLOOKUP('Données projet'!$B$11,Paramètres!$A$1:$I$89,5,0)</f>
        <v>0.44719999999997456</v>
      </c>
      <c r="BF129" s="13">
        <f t="shared" si="91"/>
        <v>0.22632652264063857</v>
      </c>
      <c r="BG129" s="20">
        <f t="shared" si="61"/>
        <v>1.1730586935990679</v>
      </c>
      <c r="BH129" s="59">
        <f t="shared" si="62"/>
        <v>294.50639202693236</v>
      </c>
      <c r="BI129" s="59">
        <f ca="1">AVERAGE(OFFSET($BH$3,0,0,'Données projet'!$E$11+1,1))-AVERAGE(OFFSET($H$3,0,0,'Données projet'!$E$11+1,1))</f>
        <v>321.85808080442411</v>
      </c>
      <c r="BJ129" s="59">
        <f t="shared" si="92"/>
        <v>285.95942591879702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123.69706272793113</v>
      </c>
      <c r="BQ129" s="21">
        <f>EXP(-LN(2)/25)*BQ128+(1-EXP(-LN(2)/25))/(LN(2)/25)*Calculateur!BL129*Calculateur!BN129*VLOOKUP('Données projet'!$B$11,Paramètres!$A$1:$I$89,3,0)*0.475*44/12</f>
        <v>1.8145245506301098</v>
      </c>
      <c r="BR129" s="21">
        <f>EXP(-LN(2)/2)*BR128+(1-EXP(-LN(2)/2))/(LN(2)/2)*BL129*BO129*VLOOKUP('Données projet'!$B$11,Paramètres!$A$1:$I$89,3,0)*0.475*44/12</f>
        <v>6.4175700140931025E-15</v>
      </c>
      <c r="BS129" s="22">
        <f t="shared" si="63"/>
        <v>125.51158727856124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689</v>
      </c>
      <c r="O130" s="13">
        <f>N130*VLOOKUP('Données projet'!$B$9,Paramètres!$A$1:$I$89,3,0)*VLOOKUP('Données projet'!$B$9,Paramètres!$A$1:$I$89,5,0)</f>
        <v>412.02199999999999</v>
      </c>
      <c r="P130" s="13">
        <f t="shared" si="87"/>
        <v>94.209724877926391</v>
      </c>
      <c r="Q130" s="20">
        <f t="shared" si="107"/>
        <v>881.686920829055</v>
      </c>
      <c r="R130" s="59">
        <f t="shared" si="55"/>
        <v>1175.0202541623883</v>
      </c>
      <c r="S130" s="59">
        <f ca="1">AVERAGE(OFFSET($R$3,0,0,'Données projet'!$E$9+1,1))-AVERAGE(OFFSET($H$3,0,0,'Données projet'!$E$9+1,1))</f>
        <v>430.93760474982633</v>
      </c>
      <c r="T130" s="59">
        <f t="shared" si="88"/>
        <v>371.5387876502981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38.584735752760821</v>
      </c>
      <c r="AA130" s="21">
        <f>EXP(-LN(2)/25)*AA129+(1-EXP(-LN(2)/25))/(LN(2)/25)*Calculateur!V130*Calculateur!X130*VLOOKUP('Données projet'!$B$9,Paramètres!$A$1:$I$89,3,0)*0.475*44/12</f>
        <v>3.9991323994683188</v>
      </c>
      <c r="AB130" s="21">
        <f>EXP(-LN(2)/2)*AB129+(1-EXP(-LN(2)/2))/(LN(2)/2)*V130*Y130*VLOOKUP('Données projet'!$B$9,Paramètres!$A$1:$I$89,3,0)*0.475*44/12</f>
        <v>1.315482277954247E-16</v>
      </c>
      <c r="AC130" s="22">
        <f t="shared" si="57"/>
        <v>42.583868152229137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304</v>
      </c>
      <c r="AJ130" s="13">
        <f>AI130*VLOOKUP('Données projet'!$B$10,Paramètres!$A$1:$I$89,3,0)*VLOOKUP('Données projet'!$B$10,Paramètres!$A$1:$I$89,5,0)</f>
        <v>189.696</v>
      </c>
      <c r="AK130" s="13">
        <f t="shared" si="89"/>
        <v>47.472736505152469</v>
      </c>
      <c r="AL130" s="20">
        <f t="shared" si="58"/>
        <v>413.06888274647389</v>
      </c>
      <c r="AM130" s="59">
        <f t="shared" si="59"/>
        <v>706.4022160798072</v>
      </c>
      <c r="AN130" s="59">
        <f ca="1">AVERAGE(OFFSET($AM$3,0,0,'Données projet'!$E$10+1,1))-AVERAGE(OFFSET($H$3,0,0,'Données projet'!$E$10+1,1))</f>
        <v>179.44051550872138</v>
      </c>
      <c r="AO130" s="59">
        <f t="shared" si="90"/>
        <v>272.9500808380069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18.01330544050515</v>
      </c>
      <c r="AV130" s="21">
        <f>EXP(-LN(2)/25)*AV129+(1-EXP(-LN(2)/25))/(LN(2)/25)*Calculateur!AQ130*Calculateur!AS130*VLOOKUP('Données projet'!$B$10,Paramètres!$A$1:$I$89,3,0)*0.475*44/12</f>
        <v>3.2866616699332281</v>
      </c>
      <c r="AW130" s="21">
        <f>EXP(-LN(2)/2)*AW129+(1-EXP(-LN(2)/2))/(LN(2)/2)*AQ130*AT130*VLOOKUP('Données projet'!$B$10,Paramètres!$A$1:$I$89,3,0)*0.475*44/12</f>
        <v>5.5464533024924692E-16</v>
      </c>
      <c r="AX130" s="21">
        <f t="shared" si="60"/>
        <v>21.299967110438377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0.79999999999995453</v>
      </c>
      <c r="BE130" s="13">
        <f>BD130*VLOOKUP('Données projet'!$B$11,Paramètres!$A$1:$I$89,3,0)*VLOOKUP('Données projet'!$B$11,Paramètres!$A$1:$I$89,5,0)</f>
        <v>0.44719999999997456</v>
      </c>
      <c r="BF130" s="13">
        <f t="shared" si="91"/>
        <v>0.22632652264063857</v>
      </c>
      <c r="BG130" s="20">
        <f t="shared" si="61"/>
        <v>1.1730586935990679</v>
      </c>
      <c r="BH130" s="59">
        <f t="shared" si="62"/>
        <v>294.50639202693236</v>
      </c>
      <c r="BI130" s="59">
        <f ca="1">AVERAGE(OFFSET($BH$3,0,0,'Données projet'!$E$11+1,1))-AVERAGE(OFFSET($H$3,0,0,'Données projet'!$E$11+1,1))</f>
        <v>321.85808080442411</v>
      </c>
      <c r="BJ130" s="59">
        <f t="shared" si="92"/>
        <v>285.95942591879702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121.27143877559482</v>
      </c>
      <c r="BQ130" s="21">
        <f>EXP(-LN(2)/25)*BQ129+(1-EXP(-LN(2)/25))/(LN(2)/25)*Calculateur!BL130*Calculateur!BN130*VLOOKUP('Données projet'!$B$11,Paramètres!$A$1:$I$89,3,0)*0.475*44/12</f>
        <v>1.7649062813714305</v>
      </c>
      <c r="BR130" s="21">
        <f>EXP(-LN(2)/2)*BR129+(1-EXP(-LN(2)/2))/(LN(2)/2)*BL130*BO130*VLOOKUP('Données projet'!$B$11,Paramètres!$A$1:$I$89,3,0)*0.475*44/12</f>
        <v>4.5379072757046801E-15</v>
      </c>
      <c r="BS130" s="22">
        <f t="shared" si="63"/>
        <v>123.03634505696624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689</v>
      </c>
      <c r="O131" s="13">
        <f>N131*VLOOKUP('Données projet'!$B$9,Paramètres!$A$1:$I$89,3,0)*VLOOKUP('Données projet'!$B$9,Paramètres!$A$1:$I$89,5,0)</f>
        <v>412.02199999999999</v>
      </c>
      <c r="P131" s="13">
        <f t="shared" si="87"/>
        <v>94.209724877926391</v>
      </c>
      <c r="Q131" s="20">
        <f t="shared" ref="Q131:Q153" si="108">(O131+P131)*0.475*44/12</f>
        <v>881.686920829055</v>
      </c>
      <c r="R131" s="59">
        <f t="shared" ref="R131:R194" si="109">Q131+(I131+J131)*44/12</f>
        <v>1175.0202541623883</v>
      </c>
      <c r="S131" s="59">
        <f ca="1">AVERAGE(OFFSET($R$3,0,0,'Données projet'!$E$9+1,1))-AVERAGE(OFFSET($H$3,0,0,'Données projet'!$E$9+1,1))</f>
        <v>430.93760474982633</v>
      </c>
      <c r="T131" s="59">
        <f t="shared" si="88"/>
        <v>371.5387876502981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37.828112619014163</v>
      </c>
      <c r="AA131" s="21">
        <f>EXP(-LN(2)/25)*AA130+(1-EXP(-LN(2)/25))/(LN(2)/25)*Calculateur!V131*Calculateur!X131*VLOOKUP('Données projet'!$B$9,Paramètres!$A$1:$I$89,3,0)*0.475*44/12</f>
        <v>3.8897759136996251</v>
      </c>
      <c r="AB131" s="21">
        <f>EXP(-LN(2)/2)*AB130+(1-EXP(-LN(2)/2))/(LN(2)/2)*V131*Y131*VLOOKUP('Données projet'!$B$9,Paramètres!$A$1:$I$89,3,0)*0.475*44/12</f>
        <v>9.3018643927217483E-17</v>
      </c>
      <c r="AC131" s="22">
        <f t="shared" si="57"/>
        <v>41.717888532713786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304</v>
      </c>
      <c r="AJ131" s="13">
        <f>AI131*VLOOKUP('Données projet'!$B$10,Paramètres!$A$1:$I$89,3,0)*VLOOKUP('Données projet'!$B$10,Paramètres!$A$1:$I$89,5,0)</f>
        <v>189.696</v>
      </c>
      <c r="AK131" s="13">
        <f t="shared" si="89"/>
        <v>47.472736505152469</v>
      </c>
      <c r="AL131" s="20">
        <f t="shared" si="58"/>
        <v>413.06888274647389</v>
      </c>
      <c r="AM131" s="59">
        <f t="shared" si="59"/>
        <v>706.4022160798072</v>
      </c>
      <c r="AN131" s="59">
        <f ca="1">AVERAGE(OFFSET($AM$3,0,0,'Données projet'!$E$10+1,1))-AVERAGE(OFFSET($H$3,0,0,'Données projet'!$E$10+1,1))</f>
        <v>179.44051550872138</v>
      </c>
      <c r="AO131" s="59">
        <f t="shared" si="90"/>
        <v>272.9500808380069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17.660075507848283</v>
      </c>
      <c r="AV131" s="21">
        <f>EXP(-LN(2)/25)*AV130+(1-EXP(-LN(2)/25))/(LN(2)/25)*Calculateur!AQ131*Calculateur!AS131*VLOOKUP('Données projet'!$B$10,Paramètres!$A$1:$I$89,3,0)*0.475*44/12</f>
        <v>3.1967877337308783</v>
      </c>
      <c r="AW131" s="21">
        <f>EXP(-LN(2)/2)*AW130+(1-EXP(-LN(2)/2))/(LN(2)/2)*AQ131*AT131*VLOOKUP('Données projet'!$B$10,Paramètres!$A$1:$I$89,3,0)*0.475*44/12</f>
        <v>3.9219347417269463E-16</v>
      </c>
      <c r="AX131" s="21">
        <f t="shared" si="60"/>
        <v>20.856863241579163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0.79999999999995453</v>
      </c>
      <c r="BE131" s="13">
        <f>BD131*VLOOKUP('Données projet'!$B$11,Paramètres!$A$1:$I$89,3,0)*VLOOKUP('Données projet'!$B$11,Paramètres!$A$1:$I$89,5,0)</f>
        <v>0.44719999999997456</v>
      </c>
      <c r="BF131" s="13">
        <f t="shared" si="91"/>
        <v>0.22632652264063857</v>
      </c>
      <c r="BG131" s="20">
        <f t="shared" si="61"/>
        <v>1.1730586935990679</v>
      </c>
      <c r="BH131" s="59">
        <f t="shared" si="62"/>
        <v>294.50639202693236</v>
      </c>
      <c r="BI131" s="59">
        <f ca="1">AVERAGE(OFFSET($BH$3,0,0,'Données projet'!$E$11+1,1))-AVERAGE(OFFSET($H$3,0,0,'Données projet'!$E$11+1,1))</f>
        <v>321.85808080442411</v>
      </c>
      <c r="BJ131" s="59">
        <f t="shared" si="92"/>
        <v>285.95942591879702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118.8933798294793</v>
      </c>
      <c r="BQ131" s="21">
        <f>EXP(-LN(2)/25)*BQ130+(1-EXP(-LN(2)/25))/(LN(2)/25)*Calculateur!BL131*Calculateur!BN131*VLOOKUP('Données projet'!$B$11,Paramètres!$A$1:$I$89,3,0)*0.475*44/12</f>
        <v>1.7166448262949412</v>
      </c>
      <c r="BR131" s="21">
        <f>EXP(-LN(2)/2)*BR130+(1-EXP(-LN(2)/2))/(LN(2)/2)*BL131*BO131*VLOOKUP('Données projet'!$B$11,Paramètres!$A$1:$I$89,3,0)*0.475*44/12</f>
        <v>3.2087850070465512E-15</v>
      </c>
      <c r="BS131" s="22">
        <f t="shared" si="63"/>
        <v>120.61002465577424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689</v>
      </c>
      <c r="O132" s="13">
        <f>N132*VLOOKUP('Données projet'!$B$9,Paramètres!$A$1:$I$89,3,0)*VLOOKUP('Données projet'!$B$9,Paramètres!$A$1:$I$89,5,0)</f>
        <v>412.02199999999999</v>
      </c>
      <c r="P132" s="13">
        <f t="shared" si="87"/>
        <v>94.209724877926391</v>
      </c>
      <c r="Q132" s="20">
        <f t="shared" si="108"/>
        <v>881.686920829055</v>
      </c>
      <c r="R132" s="59">
        <f t="shared" si="109"/>
        <v>1175.0202541623883</v>
      </c>
      <c r="S132" s="59">
        <f ca="1">AVERAGE(OFFSET($R$3,0,0,'Données projet'!$E$9+1,1))-AVERAGE(OFFSET($H$3,0,0,'Données projet'!$E$9+1,1))</f>
        <v>430.93760474982633</v>
      </c>
      <c r="T132" s="59">
        <f t="shared" si="88"/>
        <v>371.5387876502981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37.086326403425737</v>
      </c>
      <c r="AA132" s="21">
        <f>EXP(-LN(2)/25)*AA131+(1-EXP(-LN(2)/25))/(LN(2)/25)*Calculateur!V132*Calculateur!X132*VLOOKUP('Données projet'!$B$9,Paramètres!$A$1:$I$89,3,0)*0.475*44/12</f>
        <v>3.7834097867850836</v>
      </c>
      <c r="AB132" s="21">
        <f>EXP(-LN(2)/2)*AB131+(1-EXP(-LN(2)/2))/(LN(2)/2)*V132*Y132*VLOOKUP('Données projet'!$B$9,Paramètres!$A$1:$I$89,3,0)*0.475*44/12</f>
        <v>6.5774113897712349E-17</v>
      </c>
      <c r="AC132" s="22">
        <f t="shared" ref="AC132:AC153" si="111">SUM(Z132:AB132)</f>
        <v>40.869736190210823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304</v>
      </c>
      <c r="AJ132" s="13">
        <f>AI132*VLOOKUP('Données projet'!$B$10,Paramètres!$A$1:$I$89,3,0)*VLOOKUP('Données projet'!$B$10,Paramètres!$A$1:$I$89,5,0)</f>
        <v>189.696</v>
      </c>
      <c r="AK132" s="13">
        <f t="shared" si="89"/>
        <v>47.472736505152469</v>
      </c>
      <c r="AL132" s="20">
        <f t="shared" ref="AL132:AL153" si="112">(AJ132+AK132)*0.475*44/12</f>
        <v>413.06888274647389</v>
      </c>
      <c r="AM132" s="59">
        <f t="shared" ref="AM132:AM195" si="113">AL132+(AD132+AE132)*44/12</f>
        <v>706.4022160798072</v>
      </c>
      <c r="AN132" s="59">
        <f ca="1">AVERAGE(OFFSET($AM$3,0,0,'Données projet'!$E$10+1,1))-AVERAGE(OFFSET($H$3,0,0,'Données projet'!$E$10+1,1))</f>
        <v>179.44051550872138</v>
      </c>
      <c r="AO132" s="59">
        <f t="shared" si="90"/>
        <v>272.9500808380069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17.313772198721832</v>
      </c>
      <c r="AV132" s="21">
        <f>EXP(-LN(2)/25)*AV131+(1-EXP(-LN(2)/25))/(LN(2)/25)*Calculateur!AQ132*Calculateur!AS132*VLOOKUP('Données projet'!$B$10,Paramètres!$A$1:$I$89,3,0)*0.475*44/12</f>
        <v>3.109371405040247</v>
      </c>
      <c r="AW132" s="21">
        <f>EXP(-LN(2)/2)*AW131+(1-EXP(-LN(2)/2))/(LN(2)/2)*AQ132*AT132*VLOOKUP('Données projet'!$B$10,Paramètres!$A$1:$I$89,3,0)*0.475*44/12</f>
        <v>2.7732266512462346E-16</v>
      </c>
      <c r="AX132" s="21">
        <f t="shared" ref="AX132:AX153" si="114">SUM(AU132:AW132)</f>
        <v>20.423143603762078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0.79999999999995453</v>
      </c>
      <c r="BE132" s="13">
        <f>BD132*VLOOKUP('Données projet'!$B$11,Paramètres!$A$1:$I$89,3,0)*VLOOKUP('Données projet'!$B$11,Paramètres!$A$1:$I$89,5,0)</f>
        <v>0.44719999999997456</v>
      </c>
      <c r="BF132" s="13">
        <f t="shared" si="91"/>
        <v>0.22632652264063857</v>
      </c>
      <c r="BG132" s="20">
        <f t="shared" ref="BG132:BG153" si="115">(BE132+BF132)*0.475*44/12</f>
        <v>1.1730586935990679</v>
      </c>
      <c r="BH132" s="59">
        <f t="shared" ref="BH132:BH195" si="116">BG132+(AY132+AZ132)*44/12</f>
        <v>294.50639202693236</v>
      </c>
      <c r="BI132" s="59">
        <f ca="1">AVERAGE(OFFSET($BH$3,0,0,'Données projet'!$E$11+1,1))-AVERAGE(OFFSET($H$3,0,0,'Données projet'!$E$11+1,1))</f>
        <v>321.85808080442411</v>
      </c>
      <c r="BJ132" s="59">
        <f t="shared" si="92"/>
        <v>285.95942591879702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116.56195316882437</v>
      </c>
      <c r="BQ132" s="21">
        <f>EXP(-LN(2)/25)*BQ131+(1-EXP(-LN(2)/25))/(LN(2)/25)*Calculateur!BL132*Calculateur!BN132*VLOOKUP('Données projet'!$B$11,Paramètres!$A$1:$I$89,3,0)*0.475*44/12</f>
        <v>1.669703083245478</v>
      </c>
      <c r="BR132" s="21">
        <f>EXP(-LN(2)/2)*BR131+(1-EXP(-LN(2)/2))/(LN(2)/2)*BL132*BO132*VLOOKUP('Données projet'!$B$11,Paramètres!$A$1:$I$89,3,0)*0.475*44/12</f>
        <v>2.26895363785234E-15</v>
      </c>
      <c r="BS132" s="22">
        <f t="shared" ref="BS132:BS153" si="117">SUM(BP132:BR132)</f>
        <v>118.23165625206985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689</v>
      </c>
      <c r="O133" s="13">
        <f>N133*VLOOKUP('Données projet'!$B$9,Paramètres!$A$1:$I$89,3,0)*VLOOKUP('Données projet'!$B$9,Paramètres!$A$1:$I$89,5,0)</f>
        <v>412.02199999999999</v>
      </c>
      <c r="P133" s="13">
        <f t="shared" ref="P133:P196" si="141">EXP(-1.0587+0.8836*LN(O133)+0.284)</f>
        <v>94.209724877926391</v>
      </c>
      <c r="Q133" s="20">
        <f t="shared" si="108"/>
        <v>881.686920829055</v>
      </c>
      <c r="R133" s="59">
        <f t="shared" si="109"/>
        <v>1175.0202541623883</v>
      </c>
      <c r="S133" s="59">
        <f ca="1">AVERAGE(OFFSET($R$3,0,0,'Données projet'!$E$9+1,1))-AVERAGE(OFFSET($H$3,0,0,'Données projet'!$E$9+1,1))</f>
        <v>430.93760474982633</v>
      </c>
      <c r="T133" s="59">
        <f t="shared" ref="T133:T196" si="142">$T$3</f>
        <v>371.5387876502981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36.359086163080086</v>
      </c>
      <c r="AA133" s="21">
        <f>EXP(-LN(2)/25)*AA132+(1-EXP(-LN(2)/25))/(LN(2)/25)*Calculateur!V133*Calculateur!X133*VLOOKUP('Données projet'!$B$9,Paramètres!$A$1:$I$89,3,0)*0.475*44/12</f>
        <v>3.679952247204572</v>
      </c>
      <c r="AB133" s="21">
        <f>EXP(-LN(2)/2)*AB132+(1-EXP(-LN(2)/2))/(LN(2)/2)*V133*Y133*VLOOKUP('Données projet'!$B$9,Paramètres!$A$1:$I$89,3,0)*0.475*44/12</f>
        <v>4.6509321963608741E-17</v>
      </c>
      <c r="AC133" s="22">
        <f t="shared" si="111"/>
        <v>40.039038410284661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304</v>
      </c>
      <c r="AJ133" s="13">
        <f>AI133*VLOOKUP('Données projet'!$B$10,Paramètres!$A$1:$I$89,3,0)*VLOOKUP('Données projet'!$B$10,Paramètres!$A$1:$I$89,5,0)</f>
        <v>189.696</v>
      </c>
      <c r="AK133" s="13">
        <f t="shared" ref="AK133:AK153" si="143">EXP(-1.0587+0.8836*LN(AJ133)+0.284)</f>
        <v>47.472736505152469</v>
      </c>
      <c r="AL133" s="20">
        <f t="shared" si="112"/>
        <v>413.06888274647389</v>
      </c>
      <c r="AM133" s="59">
        <f t="shared" si="113"/>
        <v>706.4022160798072</v>
      </c>
      <c r="AN133" s="59">
        <f ca="1">AVERAGE(OFFSET($AM$3,0,0,'Données projet'!$E$10+1,1))-AVERAGE(OFFSET($H$3,0,0,'Données projet'!$E$10+1,1))</f>
        <v>179.44051550872138</v>
      </c>
      <c r="AO133" s="59">
        <f t="shared" ref="AO133:AO196" si="144">$AO$3</f>
        <v>272.9500808380069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16.974259686263188</v>
      </c>
      <c r="AV133" s="21">
        <f>EXP(-LN(2)/25)*AV132+(1-EXP(-LN(2)/25))/(LN(2)/25)*Calculateur!AQ133*Calculateur!AS133*VLOOKUP('Données projet'!$B$10,Paramètres!$A$1:$I$89,3,0)*0.475*44/12</f>
        <v>3.0243454804546857</v>
      </c>
      <c r="AW133" s="21">
        <f>EXP(-LN(2)/2)*AW132+(1-EXP(-LN(2)/2))/(LN(2)/2)*AQ133*AT133*VLOOKUP('Données projet'!$B$10,Paramètres!$A$1:$I$89,3,0)*0.475*44/12</f>
        <v>1.9609673708634732E-16</v>
      </c>
      <c r="AX133" s="21">
        <f t="shared" si="114"/>
        <v>19.998605166717873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0.79999999999995453</v>
      </c>
      <c r="BE133" s="13">
        <f>BD133*VLOOKUP('Données projet'!$B$11,Paramètres!$A$1:$I$89,3,0)*VLOOKUP('Données projet'!$B$11,Paramètres!$A$1:$I$89,5,0)</f>
        <v>0.44719999999997456</v>
      </c>
      <c r="BF133" s="13">
        <f t="shared" ref="BF133:BF153" si="145">EXP(-1.0587+0.8836*LN(BE133)+0.284)</f>
        <v>0.22632652264063857</v>
      </c>
      <c r="BG133" s="20">
        <f t="shared" si="115"/>
        <v>1.1730586935990679</v>
      </c>
      <c r="BH133" s="59">
        <f t="shared" si="116"/>
        <v>294.50639202693236</v>
      </c>
      <c r="BI133" s="59">
        <f ca="1">AVERAGE(OFFSET($BH$3,0,0,'Données projet'!$E$11+1,1))-AVERAGE(OFFSET($H$3,0,0,'Données projet'!$E$11+1,1))</f>
        <v>321.85808080442411</v>
      </c>
      <c r="BJ133" s="59">
        <f t="shared" ref="BJ133:BJ196" si="146">$BJ$3</f>
        <v>285.95942591879702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114.27624436295504</v>
      </c>
      <c r="BQ133" s="21">
        <f>EXP(-LN(2)/25)*BQ132+(1-EXP(-LN(2)/25))/(LN(2)/25)*Calculateur!BL133*Calculateur!BN133*VLOOKUP('Données projet'!$B$11,Paramètres!$A$1:$I$89,3,0)*0.475*44/12</f>
        <v>1.6240449646282613</v>
      </c>
      <c r="BR133" s="21">
        <f>EXP(-LN(2)/2)*BR132+(1-EXP(-LN(2)/2))/(LN(2)/2)*BL133*BO133*VLOOKUP('Données projet'!$B$11,Paramètres!$A$1:$I$89,3,0)*0.475*44/12</f>
        <v>1.6043925035232756E-15</v>
      </c>
      <c r="BS133" s="22">
        <f t="shared" si="117"/>
        <v>115.90028932758329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689</v>
      </c>
      <c r="O134" s="13">
        <f>N134*VLOOKUP('Données projet'!$B$9,Paramètres!$A$1:$I$89,3,0)*VLOOKUP('Données projet'!$B$9,Paramètres!$A$1:$I$89,5,0)</f>
        <v>412.02199999999999</v>
      </c>
      <c r="P134" s="13">
        <f t="shared" si="141"/>
        <v>94.209724877926391</v>
      </c>
      <c r="Q134" s="20">
        <f t="shared" si="108"/>
        <v>881.686920829055</v>
      </c>
      <c r="R134" s="59">
        <f t="shared" si="109"/>
        <v>1175.0202541623883</v>
      </c>
      <c r="S134" s="59">
        <f ca="1">AVERAGE(OFFSET($R$3,0,0,'Données projet'!$E$9+1,1))-AVERAGE(OFFSET($H$3,0,0,'Données projet'!$E$9+1,1))</f>
        <v>430.93760474982633</v>
      </c>
      <c r="T134" s="59">
        <f t="shared" si="142"/>
        <v>371.5387876502981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35.64610666027486</v>
      </c>
      <c r="AA134" s="21">
        <f>EXP(-LN(2)/25)*AA133+(1-EXP(-LN(2)/25))/(LN(2)/25)*Calculateur!V134*Calculateur!X134*VLOOKUP('Données projet'!$B$9,Paramètres!$A$1:$I$89,3,0)*0.475*44/12</f>
        <v>3.5793237594844851</v>
      </c>
      <c r="AB134" s="21">
        <f>EXP(-LN(2)/2)*AB133+(1-EXP(-LN(2)/2))/(LN(2)/2)*V134*Y134*VLOOKUP('Données projet'!$B$9,Paramètres!$A$1:$I$89,3,0)*0.475*44/12</f>
        <v>3.2887056948856174E-17</v>
      </c>
      <c r="AC134" s="22">
        <f t="shared" si="111"/>
        <v>39.225430419759348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304</v>
      </c>
      <c r="AJ134" s="13">
        <f>AI134*VLOOKUP('Données projet'!$B$10,Paramètres!$A$1:$I$89,3,0)*VLOOKUP('Données projet'!$B$10,Paramètres!$A$1:$I$89,5,0)</f>
        <v>189.696</v>
      </c>
      <c r="AK134" s="13">
        <f t="shared" si="143"/>
        <v>47.472736505152469</v>
      </c>
      <c r="AL134" s="20">
        <f t="shared" si="112"/>
        <v>413.06888274647389</v>
      </c>
      <c r="AM134" s="59">
        <f t="shared" si="113"/>
        <v>706.4022160798072</v>
      </c>
      <c r="AN134" s="59">
        <f ca="1">AVERAGE(OFFSET($AM$3,0,0,'Données projet'!$E$10+1,1))-AVERAGE(OFFSET($H$3,0,0,'Données projet'!$E$10+1,1))</f>
        <v>179.44051550872138</v>
      </c>
      <c r="AO134" s="59">
        <f t="shared" si="144"/>
        <v>272.9500808380069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16.641404807091675</v>
      </c>
      <c r="AV134" s="21">
        <f>EXP(-LN(2)/25)*AV133+(1-EXP(-LN(2)/25))/(LN(2)/25)*Calculateur!AQ134*Calculateur!AS134*VLOOKUP('Données projet'!$B$10,Paramètres!$A$1:$I$89,3,0)*0.475*44/12</f>
        <v>2.9416445942482357</v>
      </c>
      <c r="AW134" s="21">
        <f>EXP(-LN(2)/2)*AW133+(1-EXP(-LN(2)/2))/(LN(2)/2)*AQ134*AT134*VLOOKUP('Données projet'!$B$10,Paramètres!$A$1:$I$89,3,0)*0.475*44/12</f>
        <v>1.3866133256231173E-16</v>
      </c>
      <c r="AX134" s="21">
        <f t="shared" si="114"/>
        <v>19.58304940133991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0.79999999999995453</v>
      </c>
      <c r="BE134" s="13">
        <f>BD134*VLOOKUP('Données projet'!$B$11,Paramètres!$A$1:$I$89,3,0)*VLOOKUP('Données projet'!$B$11,Paramètres!$A$1:$I$89,5,0)</f>
        <v>0.44719999999997456</v>
      </c>
      <c r="BF134" s="13">
        <f t="shared" si="145"/>
        <v>0.22632652264063857</v>
      </c>
      <c r="BG134" s="20">
        <f t="shared" si="115"/>
        <v>1.1730586935990679</v>
      </c>
      <c r="BH134" s="59">
        <f t="shared" si="116"/>
        <v>294.50639202693236</v>
      </c>
      <c r="BI134" s="59">
        <f ca="1">AVERAGE(OFFSET($BH$3,0,0,'Données projet'!$E$11+1,1))-AVERAGE(OFFSET($H$3,0,0,'Données projet'!$E$11+1,1))</f>
        <v>321.85808080442411</v>
      </c>
      <c r="BJ134" s="59">
        <f t="shared" si="146"/>
        <v>285.95942591879702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112.0353569126241</v>
      </c>
      <c r="BQ134" s="21">
        <f>EXP(-LN(2)/25)*BQ133+(1-EXP(-LN(2)/25))/(LN(2)/25)*Calculateur!BL134*Calculateur!BN134*VLOOKUP('Données projet'!$B$11,Paramètres!$A$1:$I$89,3,0)*0.475*44/12</f>
        <v>1.5796353696656886</v>
      </c>
      <c r="BR134" s="21">
        <f>EXP(-LN(2)/2)*BR133+(1-EXP(-LN(2)/2))/(LN(2)/2)*BL134*BO134*VLOOKUP('Données projet'!$B$11,Paramètres!$A$1:$I$89,3,0)*0.475*44/12</f>
        <v>1.13447681892617E-15</v>
      </c>
      <c r="BS134" s="22">
        <f t="shared" si="117"/>
        <v>113.61499228228979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689</v>
      </c>
      <c r="O135" s="13">
        <f>N135*VLOOKUP('Données projet'!$B$9,Paramètres!$A$1:$I$89,3,0)*VLOOKUP('Données projet'!$B$9,Paramètres!$A$1:$I$89,5,0)</f>
        <v>412.02199999999999</v>
      </c>
      <c r="P135" s="13">
        <f t="shared" si="141"/>
        <v>94.209724877926391</v>
      </c>
      <c r="Q135" s="20">
        <f t="shared" si="108"/>
        <v>881.686920829055</v>
      </c>
      <c r="R135" s="59">
        <f t="shared" si="109"/>
        <v>1175.0202541623883</v>
      </c>
      <c r="S135" s="59">
        <f ca="1">AVERAGE(OFFSET($R$3,0,0,'Données projet'!$E$9+1,1))-AVERAGE(OFFSET($H$3,0,0,'Données projet'!$E$9+1,1))</f>
        <v>430.93760474982633</v>
      </c>
      <c r="T135" s="59">
        <f t="shared" si="142"/>
        <v>371.5387876502981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34.947108250645094</v>
      </c>
      <c r="AA135" s="21">
        <f>EXP(-LN(2)/25)*AA134+(1-EXP(-LN(2)/25))/(LN(2)/25)*Calculateur!V135*Calculateur!X135*VLOOKUP('Données projet'!$B$9,Paramètres!$A$1:$I$89,3,0)*0.475*44/12</f>
        <v>3.4814469630529259</v>
      </c>
      <c r="AB135" s="21">
        <f>EXP(-LN(2)/2)*AB134+(1-EXP(-LN(2)/2))/(LN(2)/2)*V135*Y135*VLOOKUP('Données projet'!$B$9,Paramètres!$A$1:$I$89,3,0)*0.475*44/12</f>
        <v>2.3254660981804371E-17</v>
      </c>
      <c r="AC135" s="22">
        <f t="shared" si="111"/>
        <v>38.428555213698019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304</v>
      </c>
      <c r="AJ135" s="13">
        <f>AI135*VLOOKUP('Données projet'!$B$10,Paramètres!$A$1:$I$89,3,0)*VLOOKUP('Données projet'!$B$10,Paramètres!$A$1:$I$89,5,0)</f>
        <v>189.696</v>
      </c>
      <c r="AK135" s="13">
        <f t="shared" si="143"/>
        <v>47.472736505152469</v>
      </c>
      <c r="AL135" s="20">
        <f t="shared" si="112"/>
        <v>413.06888274647389</v>
      </c>
      <c r="AM135" s="59">
        <f t="shared" si="113"/>
        <v>706.4022160798072</v>
      </c>
      <c r="AN135" s="59">
        <f ca="1">AVERAGE(OFFSET($AM$3,0,0,'Données projet'!$E$10+1,1))-AVERAGE(OFFSET($H$3,0,0,'Données projet'!$E$10+1,1))</f>
        <v>179.44051550872138</v>
      </c>
      <c r="AO135" s="59">
        <f t="shared" si="144"/>
        <v>272.9500808380069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16.315077009079285</v>
      </c>
      <c r="AV135" s="21">
        <f>EXP(-LN(2)/25)*AV134+(1-EXP(-LN(2)/25))/(LN(2)/25)*Calculateur!AQ135*Calculateur!AS135*VLOOKUP('Données projet'!$B$10,Paramètres!$A$1:$I$89,3,0)*0.475*44/12</f>
        <v>2.8612051681241515</v>
      </c>
      <c r="AW135" s="21">
        <f>EXP(-LN(2)/2)*AW134+(1-EXP(-LN(2)/2))/(LN(2)/2)*AQ135*AT135*VLOOKUP('Données projet'!$B$10,Paramètres!$A$1:$I$89,3,0)*0.475*44/12</f>
        <v>9.8048368543173658E-17</v>
      </c>
      <c r="AX135" s="21">
        <f t="shared" si="114"/>
        <v>19.176282177203436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0.79999999999995453</v>
      </c>
      <c r="BE135" s="13">
        <f>BD135*VLOOKUP('Données projet'!$B$11,Paramètres!$A$1:$I$89,3,0)*VLOOKUP('Données projet'!$B$11,Paramètres!$A$1:$I$89,5,0)</f>
        <v>0.44719999999997456</v>
      </c>
      <c r="BF135" s="13">
        <f t="shared" si="145"/>
        <v>0.22632652264063857</v>
      </c>
      <c r="BG135" s="20">
        <f t="shared" si="115"/>
        <v>1.1730586935990679</v>
      </c>
      <c r="BH135" s="59">
        <f t="shared" si="116"/>
        <v>294.50639202693236</v>
      </c>
      <c r="BI135" s="59">
        <f ca="1">AVERAGE(OFFSET($BH$3,0,0,'Données projet'!$E$11+1,1))-AVERAGE(OFFSET($H$3,0,0,'Données projet'!$E$11+1,1))</f>
        <v>321.85808080442411</v>
      </c>
      <c r="BJ135" s="59">
        <f t="shared" si="146"/>
        <v>285.95942591879702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109.83841189838775</v>
      </c>
      <c r="BQ135" s="21">
        <f>EXP(-LN(2)/25)*BQ134+(1-EXP(-LN(2)/25))/(LN(2)/25)*Calculateur!BL135*Calculateur!BN135*VLOOKUP('Données projet'!$B$11,Paramètres!$A$1:$I$89,3,0)*0.475*44/12</f>
        <v>1.5364401574127666</v>
      </c>
      <c r="BR135" s="21">
        <f>EXP(-LN(2)/2)*BR134+(1-EXP(-LN(2)/2))/(LN(2)/2)*BL135*BO135*VLOOKUP('Données projet'!$B$11,Paramètres!$A$1:$I$89,3,0)*0.475*44/12</f>
        <v>8.0219625176163781E-16</v>
      </c>
      <c r="BS135" s="22">
        <f t="shared" si="117"/>
        <v>111.37485205580052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689</v>
      </c>
      <c r="O136" s="13">
        <f>N136*VLOOKUP('Données projet'!$B$9,Paramètres!$A$1:$I$89,3,0)*VLOOKUP('Données projet'!$B$9,Paramètres!$A$1:$I$89,5,0)</f>
        <v>412.02199999999999</v>
      </c>
      <c r="P136" s="13">
        <f t="shared" si="141"/>
        <v>94.209724877926391</v>
      </c>
      <c r="Q136" s="20">
        <f t="shared" si="108"/>
        <v>881.686920829055</v>
      </c>
      <c r="R136" s="59">
        <f t="shared" si="109"/>
        <v>1175.0202541623883</v>
      </c>
      <c r="S136" s="59">
        <f ca="1">AVERAGE(OFFSET($R$3,0,0,'Données projet'!$E$9+1,1))-AVERAGE(OFFSET($H$3,0,0,'Données projet'!$E$9+1,1))</f>
        <v>430.93760474982633</v>
      </c>
      <c r="T136" s="59">
        <f t="shared" si="142"/>
        <v>371.5387876502981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34.261816773481236</v>
      </c>
      <c r="AA136" s="21">
        <f>EXP(-LN(2)/25)*AA135+(1-EXP(-LN(2)/25))/(LN(2)/25)*Calculateur!V136*Calculateur!X136*VLOOKUP('Données projet'!$B$9,Paramètres!$A$1:$I$89,3,0)*0.475*44/12</f>
        <v>3.3862466127669046</v>
      </c>
      <c r="AB136" s="21">
        <f>EXP(-LN(2)/2)*AB135+(1-EXP(-LN(2)/2))/(LN(2)/2)*V136*Y136*VLOOKUP('Données projet'!$B$9,Paramètres!$A$1:$I$89,3,0)*0.475*44/12</f>
        <v>1.6443528474428087E-17</v>
      </c>
      <c r="AC136" s="22">
        <f t="shared" si="111"/>
        <v>37.64806338624814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304</v>
      </c>
      <c r="AJ136" s="13">
        <f>AI136*VLOOKUP('Données projet'!$B$10,Paramètres!$A$1:$I$89,3,0)*VLOOKUP('Données projet'!$B$10,Paramètres!$A$1:$I$89,5,0)</f>
        <v>189.696</v>
      </c>
      <c r="AK136" s="13">
        <f t="shared" si="143"/>
        <v>47.472736505152469</v>
      </c>
      <c r="AL136" s="20">
        <f t="shared" si="112"/>
        <v>413.06888274647389</v>
      </c>
      <c r="AM136" s="59">
        <f t="shared" si="113"/>
        <v>706.4022160798072</v>
      </c>
      <c r="AN136" s="59">
        <f ca="1">AVERAGE(OFFSET($AM$3,0,0,'Données projet'!$E$10+1,1))-AVERAGE(OFFSET($H$3,0,0,'Données projet'!$E$10+1,1))</f>
        <v>179.44051550872138</v>
      </c>
      <c r="AO136" s="59">
        <f t="shared" si="144"/>
        <v>272.9500808380069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15.995148300145615</v>
      </c>
      <c r="AV136" s="21">
        <f>EXP(-LN(2)/25)*AV135+(1-EXP(-LN(2)/25))/(LN(2)/25)*Calculateur!AQ136*Calculateur!AS136*VLOOKUP('Données projet'!$B$10,Paramètres!$A$1:$I$89,3,0)*0.475*44/12</f>
        <v>2.7829653623375563</v>
      </c>
      <c r="AW136" s="21">
        <f>EXP(-LN(2)/2)*AW135+(1-EXP(-LN(2)/2))/(LN(2)/2)*AQ136*AT136*VLOOKUP('Données projet'!$B$10,Paramètres!$A$1:$I$89,3,0)*0.475*44/12</f>
        <v>6.9330666281155865E-17</v>
      </c>
      <c r="AX136" s="21">
        <f t="shared" si="114"/>
        <v>18.778113662483172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0.79999999999995453</v>
      </c>
      <c r="BE136" s="13">
        <f>BD136*VLOOKUP('Données projet'!$B$11,Paramètres!$A$1:$I$89,3,0)*VLOOKUP('Données projet'!$B$11,Paramètres!$A$1:$I$89,5,0)</f>
        <v>0.44719999999997456</v>
      </c>
      <c r="BF136" s="13">
        <f t="shared" si="145"/>
        <v>0.22632652264063857</v>
      </c>
      <c r="BG136" s="20">
        <f t="shared" si="115"/>
        <v>1.1730586935990679</v>
      </c>
      <c r="BH136" s="59">
        <f t="shared" si="116"/>
        <v>294.50639202693236</v>
      </c>
      <c r="BI136" s="59">
        <f ca="1">AVERAGE(OFFSET($BH$3,0,0,'Données projet'!$E$11+1,1))-AVERAGE(OFFSET($H$3,0,0,'Données projet'!$E$11+1,1))</f>
        <v>321.85808080442411</v>
      </c>
      <c r="BJ136" s="59">
        <f t="shared" si="146"/>
        <v>285.95942591879702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107.68454763587643</v>
      </c>
      <c r="BQ136" s="21">
        <f>EXP(-LN(2)/25)*BQ135+(1-EXP(-LN(2)/25))/(LN(2)/25)*Calculateur!BL136*Calculateur!BN136*VLOOKUP('Données projet'!$B$11,Paramètres!$A$1:$I$89,3,0)*0.475*44/12</f>
        <v>1.4944261205104383</v>
      </c>
      <c r="BR136" s="21">
        <f>EXP(-LN(2)/2)*BR135+(1-EXP(-LN(2)/2))/(LN(2)/2)*BL136*BO136*VLOOKUP('Données projet'!$B$11,Paramètres!$A$1:$I$89,3,0)*0.475*44/12</f>
        <v>5.6723840946308501E-16</v>
      </c>
      <c r="BS136" s="22">
        <f t="shared" si="117"/>
        <v>109.17897375638687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689</v>
      </c>
      <c r="O137" s="13">
        <f>N137*VLOOKUP('Données projet'!$B$9,Paramètres!$A$1:$I$89,3,0)*VLOOKUP('Données projet'!$B$9,Paramètres!$A$1:$I$89,5,0)</f>
        <v>412.02199999999999</v>
      </c>
      <c r="P137" s="13">
        <f t="shared" si="141"/>
        <v>94.209724877926391</v>
      </c>
      <c r="Q137" s="20">
        <f t="shared" si="108"/>
        <v>881.686920829055</v>
      </c>
      <c r="R137" s="59">
        <f t="shared" si="109"/>
        <v>1175.0202541623883</v>
      </c>
      <c r="S137" s="59">
        <f ca="1">AVERAGE(OFFSET($R$3,0,0,'Données projet'!$E$9+1,1))-AVERAGE(OFFSET($H$3,0,0,'Données projet'!$E$9+1,1))</f>
        <v>430.93760474982633</v>
      </c>
      <c r="T137" s="59">
        <f t="shared" si="142"/>
        <v>371.5387876502981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33.589963444198027</v>
      </c>
      <c r="AA137" s="21">
        <f>EXP(-LN(2)/25)*AA136+(1-EXP(-LN(2)/25))/(LN(2)/25)*Calculateur!V137*Calculateur!X137*VLOOKUP('Données projet'!$B$9,Paramètres!$A$1:$I$89,3,0)*0.475*44/12</f>
        <v>3.2936495210658236</v>
      </c>
      <c r="AB137" s="21">
        <f>EXP(-LN(2)/2)*AB136+(1-EXP(-LN(2)/2))/(LN(2)/2)*V137*Y137*VLOOKUP('Données projet'!$B$9,Paramètres!$A$1:$I$89,3,0)*0.475*44/12</f>
        <v>1.1627330490902185E-17</v>
      </c>
      <c r="AC137" s="22">
        <f t="shared" si="111"/>
        <v>36.88361296526385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304</v>
      </c>
      <c r="AJ137" s="13">
        <f>AI137*VLOOKUP('Données projet'!$B$10,Paramètres!$A$1:$I$89,3,0)*VLOOKUP('Données projet'!$B$10,Paramètres!$A$1:$I$89,5,0)</f>
        <v>189.696</v>
      </c>
      <c r="AK137" s="13">
        <f t="shared" si="143"/>
        <v>47.472736505152469</v>
      </c>
      <c r="AL137" s="20">
        <f t="shared" si="112"/>
        <v>413.06888274647389</v>
      </c>
      <c r="AM137" s="59">
        <f t="shared" si="113"/>
        <v>706.4022160798072</v>
      </c>
      <c r="AN137" s="59">
        <f ca="1">AVERAGE(OFFSET($AM$3,0,0,'Données projet'!$E$10+1,1))-AVERAGE(OFFSET($H$3,0,0,'Données projet'!$E$10+1,1))</f>
        <v>179.44051550872138</v>
      </c>
      <c r="AO137" s="59">
        <f t="shared" si="144"/>
        <v>272.9500808380069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15.68149319805689</v>
      </c>
      <c r="AV137" s="21">
        <f>EXP(-LN(2)/25)*AV136+(1-EXP(-LN(2)/25))/(LN(2)/25)*Calculateur!AQ137*Calculateur!AS137*VLOOKUP('Données projet'!$B$10,Paramètres!$A$1:$I$89,3,0)*0.475*44/12</f>
        <v>2.706865028154648</v>
      </c>
      <c r="AW137" s="21">
        <f>EXP(-LN(2)/2)*AW136+(1-EXP(-LN(2)/2))/(LN(2)/2)*AQ137*AT137*VLOOKUP('Données projet'!$B$10,Paramètres!$A$1:$I$89,3,0)*0.475*44/12</f>
        <v>4.9024184271586829E-17</v>
      </c>
      <c r="AX137" s="21">
        <f t="shared" si="114"/>
        <v>18.388358226211537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0.79999999999995453</v>
      </c>
      <c r="BE137" s="13">
        <f>BD137*VLOOKUP('Données projet'!$B$11,Paramètres!$A$1:$I$89,3,0)*VLOOKUP('Données projet'!$B$11,Paramètres!$A$1:$I$89,5,0)</f>
        <v>0.44719999999997456</v>
      </c>
      <c r="BF137" s="13">
        <f t="shared" si="145"/>
        <v>0.22632652264063857</v>
      </c>
      <c r="BG137" s="20">
        <f t="shared" si="115"/>
        <v>1.1730586935990679</v>
      </c>
      <c r="BH137" s="59">
        <f t="shared" si="116"/>
        <v>294.50639202693236</v>
      </c>
      <c r="BI137" s="59">
        <f ca="1">AVERAGE(OFFSET($BH$3,0,0,'Données projet'!$E$11+1,1))-AVERAGE(OFFSET($H$3,0,0,'Données projet'!$E$11+1,1))</f>
        <v>321.85808080442411</v>
      </c>
      <c r="BJ137" s="59">
        <f t="shared" si="146"/>
        <v>285.95942591879702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105.57291933782548</v>
      </c>
      <c r="BQ137" s="21">
        <f>EXP(-LN(2)/25)*BQ136+(1-EXP(-LN(2)/25))/(LN(2)/25)*Calculateur!BL137*Calculateur!BN137*VLOOKUP('Données projet'!$B$11,Paramètres!$A$1:$I$89,3,0)*0.475*44/12</f>
        <v>1.4535609596566264</v>
      </c>
      <c r="BR137" s="21">
        <f>EXP(-LN(2)/2)*BR136+(1-EXP(-LN(2)/2))/(LN(2)/2)*BL137*BO137*VLOOKUP('Données projet'!$B$11,Paramètres!$A$1:$I$89,3,0)*0.475*44/12</f>
        <v>4.0109812588081891E-16</v>
      </c>
      <c r="BS137" s="22">
        <f t="shared" si="117"/>
        <v>107.02648029748211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689</v>
      </c>
      <c r="O138" s="13">
        <f>N138*VLOOKUP('Données projet'!$B$9,Paramètres!$A$1:$I$89,3,0)*VLOOKUP('Données projet'!$B$9,Paramètres!$A$1:$I$89,5,0)</f>
        <v>412.02199999999999</v>
      </c>
      <c r="P138" s="13">
        <f t="shared" si="141"/>
        <v>94.209724877926391</v>
      </c>
      <c r="Q138" s="20">
        <f t="shared" si="108"/>
        <v>881.686920829055</v>
      </c>
      <c r="R138" s="59">
        <f t="shared" si="109"/>
        <v>1175.0202541623883</v>
      </c>
      <c r="S138" s="59">
        <f ca="1">AVERAGE(OFFSET($R$3,0,0,'Données projet'!$E$9+1,1))-AVERAGE(OFFSET($H$3,0,0,'Données projet'!$E$9+1,1))</f>
        <v>430.93760474982633</v>
      </c>
      <c r="T138" s="59">
        <f t="shared" si="142"/>
        <v>371.5387876502981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32.931284748911999</v>
      </c>
      <c r="AA138" s="21">
        <f>EXP(-LN(2)/25)*AA137+(1-EXP(-LN(2)/25))/(LN(2)/25)*Calculateur!V138*Calculateur!X138*VLOOKUP('Données projet'!$B$9,Paramètres!$A$1:$I$89,3,0)*0.475*44/12</f>
        <v>3.2035845017067781</v>
      </c>
      <c r="AB138" s="21">
        <f>EXP(-LN(2)/2)*AB137+(1-EXP(-LN(2)/2))/(LN(2)/2)*V138*Y138*VLOOKUP('Données projet'!$B$9,Paramètres!$A$1:$I$89,3,0)*0.475*44/12</f>
        <v>8.2217642372140436E-18</v>
      </c>
      <c r="AC138" s="22">
        <f t="shared" si="111"/>
        <v>36.134869250618777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304</v>
      </c>
      <c r="AJ138" s="13">
        <f>AI138*VLOOKUP('Données projet'!$B$10,Paramètres!$A$1:$I$89,3,0)*VLOOKUP('Données projet'!$B$10,Paramètres!$A$1:$I$89,5,0)</f>
        <v>189.696</v>
      </c>
      <c r="AK138" s="13">
        <f t="shared" si="143"/>
        <v>47.472736505152469</v>
      </c>
      <c r="AL138" s="20">
        <f t="shared" si="112"/>
        <v>413.06888274647389</v>
      </c>
      <c r="AM138" s="59">
        <f t="shared" si="113"/>
        <v>706.4022160798072</v>
      </c>
      <c r="AN138" s="59">
        <f ca="1">AVERAGE(OFFSET($AM$3,0,0,'Données projet'!$E$10+1,1))-AVERAGE(OFFSET($H$3,0,0,'Données projet'!$E$10+1,1))</f>
        <v>179.44051550872138</v>
      </c>
      <c r="AO138" s="59">
        <f t="shared" si="144"/>
        <v>272.9500808380069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15.373988681209402</v>
      </c>
      <c r="AV138" s="21">
        <f>EXP(-LN(2)/25)*AV137+(1-EXP(-LN(2)/25))/(LN(2)/25)*Calculateur!AQ138*Calculateur!AS138*VLOOKUP('Données projet'!$B$10,Paramètres!$A$1:$I$89,3,0)*0.475*44/12</f>
        <v>2.6328456616119138</v>
      </c>
      <c r="AW138" s="21">
        <f>EXP(-LN(2)/2)*AW137+(1-EXP(-LN(2)/2))/(LN(2)/2)*AQ138*AT138*VLOOKUP('Données projet'!$B$10,Paramètres!$A$1:$I$89,3,0)*0.475*44/12</f>
        <v>3.4665333140577932E-17</v>
      </c>
      <c r="AX138" s="21">
        <f t="shared" si="114"/>
        <v>18.006834342821318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0.79999999999995453</v>
      </c>
      <c r="BE138" s="13">
        <f>BD138*VLOOKUP('Données projet'!$B$11,Paramètres!$A$1:$I$89,3,0)*VLOOKUP('Données projet'!$B$11,Paramètres!$A$1:$I$89,5,0)</f>
        <v>0.44719999999997456</v>
      </c>
      <c r="BF138" s="13">
        <f t="shared" si="145"/>
        <v>0.22632652264063857</v>
      </c>
      <c r="BG138" s="20">
        <f t="shared" si="115"/>
        <v>1.1730586935990679</v>
      </c>
      <c r="BH138" s="59">
        <f t="shared" si="116"/>
        <v>294.50639202693236</v>
      </c>
      <c r="BI138" s="59">
        <f ca="1">AVERAGE(OFFSET($BH$3,0,0,'Données projet'!$E$11+1,1))-AVERAGE(OFFSET($H$3,0,0,'Données projet'!$E$11+1,1))</f>
        <v>321.85808080442411</v>
      </c>
      <c r="BJ138" s="59">
        <f t="shared" si="146"/>
        <v>285.95942591879702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103.50269878273323</v>
      </c>
      <c r="BQ138" s="21">
        <f>EXP(-LN(2)/25)*BQ137+(1-EXP(-LN(2)/25))/(LN(2)/25)*Calculateur!BL138*Calculateur!BN138*VLOOKUP('Données projet'!$B$11,Paramètres!$A$1:$I$89,3,0)*0.475*44/12</f>
        <v>1.4138132587753671</v>
      </c>
      <c r="BR138" s="21">
        <f>EXP(-LN(2)/2)*BR137+(1-EXP(-LN(2)/2))/(LN(2)/2)*BL138*BO138*VLOOKUP('Données projet'!$B$11,Paramètres!$A$1:$I$89,3,0)*0.475*44/12</f>
        <v>2.8361920473154251E-16</v>
      </c>
      <c r="BS138" s="22">
        <f t="shared" si="117"/>
        <v>104.9165120415086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689</v>
      </c>
      <c r="O139" s="13">
        <f>N139*VLOOKUP('Données projet'!$B$9,Paramètres!$A$1:$I$89,3,0)*VLOOKUP('Données projet'!$B$9,Paramètres!$A$1:$I$89,5,0)</f>
        <v>412.02199999999999</v>
      </c>
      <c r="P139" s="13">
        <f t="shared" si="141"/>
        <v>94.209724877926391</v>
      </c>
      <c r="Q139" s="20">
        <f t="shared" si="108"/>
        <v>881.686920829055</v>
      </c>
      <c r="R139" s="59">
        <f t="shared" si="109"/>
        <v>1175.0202541623883</v>
      </c>
      <c r="S139" s="59">
        <f ca="1">AVERAGE(OFFSET($R$3,0,0,'Données projet'!$E$9+1,1))-AVERAGE(OFFSET($H$3,0,0,'Données projet'!$E$9+1,1))</f>
        <v>430.93760474982633</v>
      </c>
      <c r="T139" s="59">
        <f t="shared" si="142"/>
        <v>371.5387876502981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32.285522341086192</v>
      </c>
      <c r="AA139" s="21">
        <f>EXP(-LN(2)/25)*AA138+(1-EXP(-LN(2)/25))/(LN(2)/25)*Calculateur!V139*Calculateur!X139*VLOOKUP('Données projet'!$B$9,Paramètres!$A$1:$I$89,3,0)*0.475*44/12</f>
        <v>3.1159823150384192</v>
      </c>
      <c r="AB139" s="21">
        <f>EXP(-LN(2)/2)*AB138+(1-EXP(-LN(2)/2))/(LN(2)/2)*V139*Y139*VLOOKUP('Données projet'!$B$9,Paramètres!$A$1:$I$89,3,0)*0.475*44/12</f>
        <v>5.8136652454510927E-18</v>
      </c>
      <c r="AC139" s="22">
        <f t="shared" si="111"/>
        <v>35.401504656124615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304</v>
      </c>
      <c r="AJ139" s="13">
        <f>AI139*VLOOKUP('Données projet'!$B$10,Paramètres!$A$1:$I$89,3,0)*VLOOKUP('Données projet'!$B$10,Paramètres!$A$1:$I$89,5,0)</f>
        <v>189.696</v>
      </c>
      <c r="AK139" s="13">
        <f t="shared" si="143"/>
        <v>47.472736505152469</v>
      </c>
      <c r="AL139" s="20">
        <f t="shared" si="112"/>
        <v>413.06888274647389</v>
      </c>
      <c r="AM139" s="59">
        <f t="shared" si="113"/>
        <v>706.4022160798072</v>
      </c>
      <c r="AN139" s="59">
        <f ca="1">AVERAGE(OFFSET($AM$3,0,0,'Données projet'!$E$10+1,1))-AVERAGE(OFFSET($H$3,0,0,'Données projet'!$E$10+1,1))</f>
        <v>179.44051550872138</v>
      </c>
      <c r="AO139" s="59">
        <f t="shared" si="144"/>
        <v>272.9500808380069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15.072514140378059</v>
      </c>
      <c r="AV139" s="21">
        <f>EXP(-LN(2)/25)*AV138+(1-EXP(-LN(2)/25))/(LN(2)/25)*Calculateur!AQ139*Calculateur!AS139*VLOOKUP('Données projet'!$B$10,Paramètres!$A$1:$I$89,3,0)*0.475*44/12</f>
        <v>2.5608503585397999</v>
      </c>
      <c r="AW139" s="21">
        <f>EXP(-LN(2)/2)*AW138+(1-EXP(-LN(2)/2))/(LN(2)/2)*AQ139*AT139*VLOOKUP('Données projet'!$B$10,Paramètres!$A$1:$I$89,3,0)*0.475*44/12</f>
        <v>2.4512092135793415E-17</v>
      </c>
      <c r="AX139" s="21">
        <f t="shared" si="114"/>
        <v>17.63336449891786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0.79999999999995453</v>
      </c>
      <c r="BE139" s="13">
        <f>BD139*VLOOKUP('Données projet'!$B$11,Paramètres!$A$1:$I$89,3,0)*VLOOKUP('Données projet'!$B$11,Paramètres!$A$1:$I$89,5,0)</f>
        <v>0.44719999999997456</v>
      </c>
      <c r="BF139" s="13">
        <f t="shared" si="145"/>
        <v>0.22632652264063857</v>
      </c>
      <c r="BG139" s="20">
        <f t="shared" si="115"/>
        <v>1.1730586935990679</v>
      </c>
      <c r="BH139" s="59">
        <f t="shared" si="116"/>
        <v>294.50639202693236</v>
      </c>
      <c r="BI139" s="59">
        <f ca="1">AVERAGE(OFFSET($BH$3,0,0,'Données projet'!$E$11+1,1))-AVERAGE(OFFSET($H$3,0,0,'Données projet'!$E$11+1,1))</f>
        <v>321.85808080442411</v>
      </c>
      <c r="BJ139" s="59">
        <f t="shared" si="146"/>
        <v>285.95942591879702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101.47307399001649</v>
      </c>
      <c r="BQ139" s="21">
        <f>EXP(-LN(2)/25)*BQ138+(1-EXP(-LN(2)/25))/(LN(2)/25)*Calculateur!BL139*Calculateur!BN139*VLOOKUP('Données projet'!$B$11,Paramètres!$A$1:$I$89,3,0)*0.475*44/12</f>
        <v>1.3751524608649468</v>
      </c>
      <c r="BR139" s="21">
        <f>EXP(-LN(2)/2)*BR138+(1-EXP(-LN(2)/2))/(LN(2)/2)*BL139*BO139*VLOOKUP('Données projet'!$B$11,Paramètres!$A$1:$I$89,3,0)*0.475*44/12</f>
        <v>2.0054906294040945E-16</v>
      </c>
      <c r="BS139" s="22">
        <f t="shared" si="117"/>
        <v>102.84822645088144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689</v>
      </c>
      <c r="O140" s="13">
        <f>N140*VLOOKUP('Données projet'!$B$9,Paramètres!$A$1:$I$89,3,0)*VLOOKUP('Données projet'!$B$9,Paramètres!$A$1:$I$89,5,0)</f>
        <v>412.02199999999999</v>
      </c>
      <c r="P140" s="13">
        <f t="shared" si="141"/>
        <v>94.209724877926391</v>
      </c>
      <c r="Q140" s="20">
        <f t="shared" si="108"/>
        <v>881.686920829055</v>
      </c>
      <c r="R140" s="59">
        <f t="shared" si="109"/>
        <v>1175.0202541623883</v>
      </c>
      <c r="S140" s="59">
        <f ca="1">AVERAGE(OFFSET($R$3,0,0,'Données projet'!$E$9+1,1))-AVERAGE(OFFSET($H$3,0,0,'Données projet'!$E$9+1,1))</f>
        <v>430.93760474982633</v>
      </c>
      <c r="T140" s="59">
        <f t="shared" si="142"/>
        <v>371.5387876502981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31.652422940201674</v>
      </c>
      <c r="AA140" s="21">
        <f>EXP(-LN(2)/25)*AA139+(1-EXP(-LN(2)/25))/(LN(2)/25)*Calculateur!V140*Calculateur!X140*VLOOKUP('Données projet'!$B$9,Paramètres!$A$1:$I$89,3,0)*0.475*44/12</f>
        <v>3.0307756147713052</v>
      </c>
      <c r="AB140" s="21">
        <f>EXP(-LN(2)/2)*AB139+(1-EXP(-LN(2)/2))/(LN(2)/2)*V140*Y140*VLOOKUP('Données projet'!$B$9,Paramètres!$A$1:$I$89,3,0)*0.475*44/12</f>
        <v>4.1108821186070218E-18</v>
      </c>
      <c r="AC140" s="22">
        <f t="shared" si="111"/>
        <v>34.683198554972982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304</v>
      </c>
      <c r="AJ140" s="13">
        <f>AI140*VLOOKUP('Données projet'!$B$10,Paramètres!$A$1:$I$89,3,0)*VLOOKUP('Données projet'!$B$10,Paramètres!$A$1:$I$89,5,0)</f>
        <v>189.696</v>
      </c>
      <c r="AK140" s="13">
        <f t="shared" si="143"/>
        <v>47.472736505152469</v>
      </c>
      <c r="AL140" s="20">
        <f t="shared" si="112"/>
        <v>413.06888274647389</v>
      </c>
      <c r="AM140" s="59">
        <f t="shared" si="113"/>
        <v>706.4022160798072</v>
      </c>
      <c r="AN140" s="59">
        <f ca="1">AVERAGE(OFFSET($AM$3,0,0,'Données projet'!$E$10+1,1))-AVERAGE(OFFSET($H$3,0,0,'Données projet'!$E$10+1,1))</f>
        <v>179.44051550872138</v>
      </c>
      <c r="AO140" s="59">
        <f t="shared" si="144"/>
        <v>272.9500808380069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14.776951331411105</v>
      </c>
      <c r="AV140" s="21">
        <f>EXP(-LN(2)/25)*AV139+(1-EXP(-LN(2)/25))/(LN(2)/25)*Calculateur!AQ140*Calculateur!AS140*VLOOKUP('Données projet'!$B$10,Paramètres!$A$1:$I$89,3,0)*0.475*44/12</f>
        <v>2.4908237708162617</v>
      </c>
      <c r="AW140" s="21">
        <f>EXP(-LN(2)/2)*AW139+(1-EXP(-LN(2)/2))/(LN(2)/2)*AQ140*AT140*VLOOKUP('Données projet'!$B$10,Paramètres!$A$1:$I$89,3,0)*0.475*44/12</f>
        <v>1.7332666570288966E-17</v>
      </c>
      <c r="AX140" s="21">
        <f t="shared" si="114"/>
        <v>17.267775102227368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0.79999999999995453</v>
      </c>
      <c r="BE140" s="13">
        <f>BD140*VLOOKUP('Données projet'!$B$11,Paramètres!$A$1:$I$89,3,0)*VLOOKUP('Données projet'!$B$11,Paramètres!$A$1:$I$89,5,0)</f>
        <v>0.44719999999997456</v>
      </c>
      <c r="BF140" s="13">
        <f t="shared" si="145"/>
        <v>0.22632652264063857</v>
      </c>
      <c r="BG140" s="20">
        <f t="shared" si="115"/>
        <v>1.1730586935990679</v>
      </c>
      <c r="BH140" s="59">
        <f t="shared" si="116"/>
        <v>294.50639202693236</v>
      </c>
      <c r="BI140" s="59">
        <f ca="1">AVERAGE(OFFSET($BH$3,0,0,'Données projet'!$E$11+1,1))-AVERAGE(OFFSET($H$3,0,0,'Données projet'!$E$11+1,1))</f>
        <v>321.85808080442411</v>
      </c>
      <c r="BJ140" s="59">
        <f t="shared" si="146"/>
        <v>285.95942591879702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99.48324890153603</v>
      </c>
      <c r="BQ140" s="21">
        <f>EXP(-LN(2)/25)*BQ139+(1-EXP(-LN(2)/25))/(LN(2)/25)*Calculateur!BL140*Calculateur!BN140*VLOOKUP('Données projet'!$B$11,Paramètres!$A$1:$I$89,3,0)*0.475*44/12</f>
        <v>1.3375488445064698</v>
      </c>
      <c r="BR140" s="21">
        <f>EXP(-LN(2)/2)*BR139+(1-EXP(-LN(2)/2))/(LN(2)/2)*BL140*BO140*VLOOKUP('Données projet'!$B$11,Paramètres!$A$1:$I$89,3,0)*0.475*44/12</f>
        <v>1.4180960236577125E-16</v>
      </c>
      <c r="BS140" s="22">
        <f t="shared" si="117"/>
        <v>100.8207977460425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689</v>
      </c>
      <c r="O141" s="13">
        <f>N141*VLOOKUP('Données projet'!$B$9,Paramètres!$A$1:$I$89,3,0)*VLOOKUP('Données projet'!$B$9,Paramètres!$A$1:$I$89,5,0)</f>
        <v>412.02199999999999</v>
      </c>
      <c r="P141" s="13">
        <f t="shared" si="141"/>
        <v>94.209724877926391</v>
      </c>
      <c r="Q141" s="20">
        <f t="shared" si="108"/>
        <v>881.686920829055</v>
      </c>
      <c r="R141" s="59">
        <f t="shared" si="109"/>
        <v>1175.0202541623883</v>
      </c>
      <c r="S141" s="59">
        <f ca="1">AVERAGE(OFFSET($R$3,0,0,'Données projet'!$E$9+1,1))-AVERAGE(OFFSET($H$3,0,0,'Données projet'!$E$9+1,1))</f>
        <v>430.93760474982633</v>
      </c>
      <c r="T141" s="59">
        <f t="shared" si="142"/>
        <v>371.5387876502981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31.031738232415996</v>
      </c>
      <c r="AA141" s="21">
        <f>EXP(-LN(2)/25)*AA140+(1-EXP(-LN(2)/25))/(LN(2)/25)*Calculateur!V141*Calculateur!X141*VLOOKUP('Données projet'!$B$9,Paramètres!$A$1:$I$89,3,0)*0.475*44/12</f>
        <v>2.9478988962038213</v>
      </c>
      <c r="AB141" s="21">
        <f>EXP(-LN(2)/2)*AB140+(1-EXP(-LN(2)/2))/(LN(2)/2)*V141*Y141*VLOOKUP('Données projet'!$B$9,Paramètres!$A$1:$I$89,3,0)*0.475*44/12</f>
        <v>2.9068326227255463E-18</v>
      </c>
      <c r="AC141" s="22">
        <f t="shared" si="111"/>
        <v>33.979637128619821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304</v>
      </c>
      <c r="AJ141" s="13">
        <f>AI141*VLOOKUP('Données projet'!$B$10,Paramètres!$A$1:$I$89,3,0)*VLOOKUP('Données projet'!$B$10,Paramètres!$A$1:$I$89,5,0)</f>
        <v>189.696</v>
      </c>
      <c r="AK141" s="13">
        <f t="shared" si="143"/>
        <v>47.472736505152469</v>
      </c>
      <c r="AL141" s="20">
        <f t="shared" si="112"/>
        <v>413.06888274647389</v>
      </c>
      <c r="AM141" s="59">
        <f t="shared" si="113"/>
        <v>706.4022160798072</v>
      </c>
      <c r="AN141" s="59">
        <f ca="1">AVERAGE(OFFSET($AM$3,0,0,'Données projet'!$E$10+1,1))-AVERAGE(OFFSET($H$3,0,0,'Données projet'!$E$10+1,1))</f>
        <v>179.44051550872138</v>
      </c>
      <c r="AO141" s="59">
        <f t="shared" si="144"/>
        <v>272.9500808380069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14.48718432885248</v>
      </c>
      <c r="AV141" s="21">
        <f>EXP(-LN(2)/25)*AV140+(1-EXP(-LN(2)/25))/(LN(2)/25)*Calculateur!AQ141*Calculateur!AS141*VLOOKUP('Données projet'!$B$10,Paramètres!$A$1:$I$89,3,0)*0.475*44/12</f>
        <v>2.4227120638165616</v>
      </c>
      <c r="AW141" s="21">
        <f>EXP(-LN(2)/2)*AW140+(1-EXP(-LN(2)/2))/(LN(2)/2)*AQ141*AT141*VLOOKUP('Données projet'!$B$10,Paramètres!$A$1:$I$89,3,0)*0.475*44/12</f>
        <v>1.2256046067896707E-17</v>
      </c>
      <c r="AX141" s="21">
        <f t="shared" si="114"/>
        <v>16.90989639266904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0.79999999999995453</v>
      </c>
      <c r="BE141" s="13">
        <f>BD141*VLOOKUP('Données projet'!$B$11,Paramètres!$A$1:$I$89,3,0)*VLOOKUP('Données projet'!$B$11,Paramètres!$A$1:$I$89,5,0)</f>
        <v>0.44719999999997456</v>
      </c>
      <c r="BF141" s="13">
        <f t="shared" si="145"/>
        <v>0.22632652264063857</v>
      </c>
      <c r="BG141" s="20">
        <f t="shared" si="115"/>
        <v>1.1730586935990679</v>
      </c>
      <c r="BH141" s="59">
        <f t="shared" si="116"/>
        <v>294.50639202693236</v>
      </c>
      <c r="BI141" s="59">
        <f ca="1">AVERAGE(OFFSET($BH$3,0,0,'Données projet'!$E$11+1,1))-AVERAGE(OFFSET($H$3,0,0,'Données projet'!$E$11+1,1))</f>
        <v>321.85808080442411</v>
      </c>
      <c r="BJ141" s="59">
        <f t="shared" si="146"/>
        <v>285.95942591879702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97.532443069367204</v>
      </c>
      <c r="BQ141" s="21">
        <f>EXP(-LN(2)/25)*BQ140+(1-EXP(-LN(2)/25))/(LN(2)/25)*Calculateur!BL141*Calculateur!BN141*VLOOKUP('Données projet'!$B$11,Paramètres!$A$1:$I$89,3,0)*0.475*44/12</f>
        <v>1.3009735010148036</v>
      </c>
      <c r="BR141" s="21">
        <f>EXP(-LN(2)/2)*BR140+(1-EXP(-LN(2)/2))/(LN(2)/2)*BL141*BO141*VLOOKUP('Données projet'!$B$11,Paramètres!$A$1:$I$89,3,0)*0.475*44/12</f>
        <v>1.0027453147020473E-16</v>
      </c>
      <c r="BS141" s="22">
        <f t="shared" si="117"/>
        <v>98.833416570382013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689</v>
      </c>
      <c r="O142" s="13">
        <f>N142*VLOOKUP('Données projet'!$B$9,Paramètres!$A$1:$I$89,3,0)*VLOOKUP('Données projet'!$B$9,Paramètres!$A$1:$I$89,5,0)</f>
        <v>412.02199999999999</v>
      </c>
      <c r="P142" s="13">
        <f t="shared" si="141"/>
        <v>94.209724877926391</v>
      </c>
      <c r="Q142" s="20">
        <f t="shared" si="108"/>
        <v>881.686920829055</v>
      </c>
      <c r="R142" s="59">
        <f t="shared" si="109"/>
        <v>1175.0202541623883</v>
      </c>
      <c r="S142" s="59">
        <f ca="1">AVERAGE(OFFSET($R$3,0,0,'Données projet'!$E$9+1,1))-AVERAGE(OFFSET($H$3,0,0,'Données projet'!$E$9+1,1))</f>
        <v>430.93760474982633</v>
      </c>
      <c r="T142" s="59">
        <f t="shared" si="142"/>
        <v>371.5387876502981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30.423224773169707</v>
      </c>
      <c r="AA142" s="21">
        <f>EXP(-LN(2)/25)*AA141+(1-EXP(-LN(2)/25))/(LN(2)/25)*Calculateur!V142*Calculateur!X142*VLOOKUP('Données projet'!$B$9,Paramètres!$A$1:$I$89,3,0)*0.475*44/12</f>
        <v>2.8672884458638626</v>
      </c>
      <c r="AB142" s="21">
        <f>EXP(-LN(2)/2)*AB141+(1-EXP(-LN(2)/2))/(LN(2)/2)*V142*Y142*VLOOKUP('Données projet'!$B$9,Paramètres!$A$1:$I$89,3,0)*0.475*44/12</f>
        <v>2.0554410593035109E-18</v>
      </c>
      <c r="AC142" s="22">
        <f t="shared" si="111"/>
        <v>33.290513219033571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304</v>
      </c>
      <c r="AJ142" s="13">
        <f>AI142*VLOOKUP('Données projet'!$B$10,Paramètres!$A$1:$I$89,3,0)*VLOOKUP('Données projet'!$B$10,Paramètres!$A$1:$I$89,5,0)</f>
        <v>189.696</v>
      </c>
      <c r="AK142" s="13">
        <f t="shared" si="143"/>
        <v>47.472736505152469</v>
      </c>
      <c r="AL142" s="20">
        <f t="shared" si="112"/>
        <v>413.06888274647389</v>
      </c>
      <c r="AM142" s="59">
        <f t="shared" si="113"/>
        <v>706.4022160798072</v>
      </c>
      <c r="AN142" s="59">
        <f ca="1">AVERAGE(OFFSET($AM$3,0,0,'Données projet'!$E$10+1,1))-AVERAGE(OFFSET($H$3,0,0,'Données projet'!$E$10+1,1))</f>
        <v>179.44051550872138</v>
      </c>
      <c r="AO142" s="59">
        <f t="shared" si="144"/>
        <v>272.9500808380069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14.203099480473611</v>
      </c>
      <c r="AV142" s="21">
        <f>EXP(-LN(2)/25)*AV141+(1-EXP(-LN(2)/25))/(LN(2)/25)*Calculateur!AQ142*Calculateur!AS142*VLOOKUP('Données projet'!$B$10,Paramètres!$A$1:$I$89,3,0)*0.475*44/12</f>
        <v>2.3564628750266072</v>
      </c>
      <c r="AW142" s="21">
        <f>EXP(-LN(2)/2)*AW141+(1-EXP(-LN(2)/2))/(LN(2)/2)*AQ142*AT142*VLOOKUP('Données projet'!$B$10,Paramètres!$A$1:$I$89,3,0)*0.475*44/12</f>
        <v>8.6663332851444831E-18</v>
      </c>
      <c r="AX142" s="21">
        <f t="shared" si="114"/>
        <v>16.559562355500219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0.79999999999995453</v>
      </c>
      <c r="BE142" s="13">
        <f>BD142*VLOOKUP('Données projet'!$B$11,Paramètres!$A$1:$I$89,3,0)*VLOOKUP('Données projet'!$B$11,Paramètres!$A$1:$I$89,5,0)</f>
        <v>0.44719999999997456</v>
      </c>
      <c r="BF142" s="13">
        <f t="shared" si="145"/>
        <v>0.22632652264063857</v>
      </c>
      <c r="BG142" s="20">
        <f t="shared" si="115"/>
        <v>1.1730586935990679</v>
      </c>
      <c r="BH142" s="59">
        <f t="shared" si="116"/>
        <v>294.50639202693236</v>
      </c>
      <c r="BI142" s="59">
        <f ca="1">AVERAGE(OFFSET($BH$3,0,0,'Données projet'!$E$11+1,1))-AVERAGE(OFFSET($H$3,0,0,'Données projet'!$E$11+1,1))</f>
        <v>321.85808080442411</v>
      </c>
      <c r="BJ142" s="59">
        <f t="shared" si="146"/>
        <v>285.95942591879702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95.619891349693148</v>
      </c>
      <c r="BQ142" s="21">
        <f>EXP(-LN(2)/25)*BQ141+(1-EXP(-LN(2)/25))/(LN(2)/25)*Calculateur!BL142*Calculateur!BN142*VLOOKUP('Données projet'!$B$11,Paramètres!$A$1:$I$89,3,0)*0.475*44/12</f>
        <v>1.2653983122143309</v>
      </c>
      <c r="BR142" s="21">
        <f>EXP(-LN(2)/2)*BR141+(1-EXP(-LN(2)/2))/(LN(2)/2)*BL142*BO142*VLOOKUP('Données projet'!$B$11,Paramètres!$A$1:$I$89,3,0)*0.475*44/12</f>
        <v>7.0904801182885626E-17</v>
      </c>
      <c r="BS142" s="22">
        <f t="shared" si="117"/>
        <v>96.885289661907478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689</v>
      </c>
      <c r="O143" s="13">
        <f>N143*VLOOKUP('Données projet'!$B$9,Paramètres!$A$1:$I$89,3,0)*VLOOKUP('Données projet'!$B$9,Paramètres!$A$1:$I$89,5,0)</f>
        <v>412.02199999999999</v>
      </c>
      <c r="P143" s="13">
        <f t="shared" si="141"/>
        <v>94.209724877926391</v>
      </c>
      <c r="Q143" s="20">
        <f t="shared" si="108"/>
        <v>881.686920829055</v>
      </c>
      <c r="R143" s="59">
        <f t="shared" si="109"/>
        <v>1175.0202541623883</v>
      </c>
      <c r="S143" s="59">
        <f ca="1">AVERAGE(OFFSET($R$3,0,0,'Données projet'!$E$9+1,1))-AVERAGE(OFFSET($H$3,0,0,'Données projet'!$E$9+1,1))</f>
        <v>430.93760474982633</v>
      </c>
      <c r="T143" s="59">
        <f t="shared" si="142"/>
        <v>371.5387876502981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29.826643891702673</v>
      </c>
      <c r="AA143" s="21">
        <f>EXP(-LN(2)/25)*AA142+(1-EXP(-LN(2)/25))/(LN(2)/25)*Calculateur!V143*Calculateur!X143*VLOOKUP('Données projet'!$B$9,Paramètres!$A$1:$I$89,3,0)*0.475*44/12</f>
        <v>2.7888822925275694</v>
      </c>
      <c r="AB143" s="21">
        <f>EXP(-LN(2)/2)*AB142+(1-EXP(-LN(2)/2))/(LN(2)/2)*V143*Y143*VLOOKUP('Données projet'!$B$9,Paramètres!$A$1:$I$89,3,0)*0.475*44/12</f>
        <v>1.4534163113627732E-18</v>
      </c>
      <c r="AC143" s="22">
        <f t="shared" si="111"/>
        <v>32.615526184230241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304</v>
      </c>
      <c r="AJ143" s="13">
        <f>AI143*VLOOKUP('Données projet'!$B$10,Paramètres!$A$1:$I$89,3,0)*VLOOKUP('Données projet'!$B$10,Paramètres!$A$1:$I$89,5,0)</f>
        <v>189.696</v>
      </c>
      <c r="AK143" s="13">
        <f t="shared" si="143"/>
        <v>47.472736505152469</v>
      </c>
      <c r="AL143" s="20">
        <f t="shared" si="112"/>
        <v>413.06888274647389</v>
      </c>
      <c r="AM143" s="59">
        <f t="shared" si="113"/>
        <v>706.4022160798072</v>
      </c>
      <c r="AN143" s="59">
        <f ca="1">AVERAGE(OFFSET($AM$3,0,0,'Données projet'!$E$10+1,1))-AVERAGE(OFFSET($H$3,0,0,'Données projet'!$E$10+1,1))</f>
        <v>179.44051550872138</v>
      </c>
      <c r="AO143" s="59">
        <f t="shared" si="144"/>
        <v>272.9500808380069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13.924585362696803</v>
      </c>
      <c r="AV143" s="21">
        <f>EXP(-LN(2)/25)*AV142+(1-EXP(-LN(2)/25))/(LN(2)/25)*Calculateur!AQ143*Calculateur!AS143*VLOOKUP('Données projet'!$B$10,Paramètres!$A$1:$I$89,3,0)*0.475*44/12</f>
        <v>2.292025273788008</v>
      </c>
      <c r="AW143" s="21">
        <f>EXP(-LN(2)/2)*AW142+(1-EXP(-LN(2)/2))/(LN(2)/2)*AQ143*AT143*VLOOKUP('Données projet'!$B$10,Paramètres!$A$1:$I$89,3,0)*0.475*44/12</f>
        <v>6.1280230339483536E-18</v>
      </c>
      <c r="AX143" s="21">
        <f t="shared" si="114"/>
        <v>16.216610636484809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0.79999999999995453</v>
      </c>
      <c r="BE143" s="13">
        <f>BD143*VLOOKUP('Données projet'!$B$11,Paramètres!$A$1:$I$89,3,0)*VLOOKUP('Données projet'!$B$11,Paramètres!$A$1:$I$89,5,0)</f>
        <v>0.44719999999997456</v>
      </c>
      <c r="BF143" s="13">
        <f t="shared" si="145"/>
        <v>0.22632652264063857</v>
      </c>
      <c r="BG143" s="20">
        <f t="shared" si="115"/>
        <v>1.1730586935990679</v>
      </c>
      <c r="BH143" s="59">
        <f t="shared" si="116"/>
        <v>294.50639202693236</v>
      </c>
      <c r="BI143" s="59">
        <f ca="1">AVERAGE(OFFSET($BH$3,0,0,'Données projet'!$E$11+1,1))-AVERAGE(OFFSET($H$3,0,0,'Données projet'!$E$11+1,1))</f>
        <v>321.85808080442411</v>
      </c>
      <c r="BJ143" s="59">
        <f t="shared" si="146"/>
        <v>285.95942591879702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93.744843602700527</v>
      </c>
      <c r="BQ143" s="21">
        <f>EXP(-LN(2)/25)*BQ142+(1-EXP(-LN(2)/25))/(LN(2)/25)*Calculateur!BL143*Calculateur!BN143*VLOOKUP('Données projet'!$B$11,Paramètres!$A$1:$I$89,3,0)*0.475*44/12</f>
        <v>1.2307959288224248</v>
      </c>
      <c r="BR143" s="21">
        <f>EXP(-LN(2)/2)*BR142+(1-EXP(-LN(2)/2))/(LN(2)/2)*BL143*BO143*VLOOKUP('Données projet'!$B$11,Paramètres!$A$1:$I$89,3,0)*0.475*44/12</f>
        <v>5.0137265735102363E-17</v>
      </c>
      <c r="BS143" s="22">
        <f t="shared" si="117"/>
        <v>94.975639531522958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689</v>
      </c>
      <c r="O144" s="13">
        <f>N144*VLOOKUP('Données projet'!$B$9,Paramètres!$A$1:$I$89,3,0)*VLOOKUP('Données projet'!$B$9,Paramètres!$A$1:$I$89,5,0)</f>
        <v>412.02199999999999</v>
      </c>
      <c r="P144" s="13">
        <f t="shared" si="141"/>
        <v>94.209724877926391</v>
      </c>
      <c r="Q144" s="20">
        <f t="shared" si="108"/>
        <v>881.686920829055</v>
      </c>
      <c r="R144" s="59">
        <f t="shared" si="109"/>
        <v>1175.0202541623883</v>
      </c>
      <c r="S144" s="59">
        <f ca="1">AVERAGE(OFFSET($R$3,0,0,'Données projet'!$E$9+1,1))-AVERAGE(OFFSET($H$3,0,0,'Données projet'!$E$9+1,1))</f>
        <v>430.93760474982633</v>
      </c>
      <c r="T144" s="59">
        <f t="shared" si="142"/>
        <v>371.5387876502981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29.241761597442803</v>
      </c>
      <c r="AA144" s="21">
        <f>EXP(-LN(2)/25)*AA143+(1-EXP(-LN(2)/25))/(LN(2)/25)*Calculateur!V144*Calculateur!X144*VLOOKUP('Données projet'!$B$9,Paramètres!$A$1:$I$89,3,0)*0.475*44/12</f>
        <v>2.7126201595774573</v>
      </c>
      <c r="AB144" s="21">
        <f>EXP(-LN(2)/2)*AB143+(1-EXP(-LN(2)/2))/(LN(2)/2)*V144*Y144*VLOOKUP('Données projet'!$B$9,Paramètres!$A$1:$I$89,3,0)*0.475*44/12</f>
        <v>1.0277205296517555E-18</v>
      </c>
      <c r="AC144" s="22">
        <f t="shared" si="111"/>
        <v>31.954381757020261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304</v>
      </c>
      <c r="AJ144" s="13">
        <f>AI144*VLOOKUP('Données projet'!$B$10,Paramètres!$A$1:$I$89,3,0)*VLOOKUP('Données projet'!$B$10,Paramètres!$A$1:$I$89,5,0)</f>
        <v>189.696</v>
      </c>
      <c r="AK144" s="13">
        <f t="shared" si="143"/>
        <v>47.472736505152469</v>
      </c>
      <c r="AL144" s="20">
        <f t="shared" si="112"/>
        <v>413.06888274647389</v>
      </c>
      <c r="AM144" s="59">
        <f t="shared" si="113"/>
        <v>706.4022160798072</v>
      </c>
      <c r="AN144" s="59">
        <f ca="1">AVERAGE(OFFSET($AM$3,0,0,'Données projet'!$E$10+1,1))-AVERAGE(OFFSET($H$3,0,0,'Données projet'!$E$10+1,1))</f>
        <v>179.44051550872138</v>
      </c>
      <c r="AO144" s="59">
        <f t="shared" si="144"/>
        <v>272.9500808380069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13.65153273689276</v>
      </c>
      <c r="AV144" s="21">
        <f>EXP(-LN(2)/25)*AV143+(1-EXP(-LN(2)/25))/(LN(2)/25)*Calculateur!AQ144*Calculateur!AS144*VLOOKUP('Données projet'!$B$10,Paramètres!$A$1:$I$89,3,0)*0.475*44/12</f>
        <v>2.2293497221439043</v>
      </c>
      <c r="AW144" s="21">
        <f>EXP(-LN(2)/2)*AW143+(1-EXP(-LN(2)/2))/(LN(2)/2)*AQ144*AT144*VLOOKUP('Données projet'!$B$10,Paramètres!$A$1:$I$89,3,0)*0.475*44/12</f>
        <v>4.3331666425722415E-18</v>
      </c>
      <c r="AX144" s="21">
        <f t="shared" si="114"/>
        <v>15.880882459036664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0.79999999999995453</v>
      </c>
      <c r="BE144" s="13">
        <f>BD144*VLOOKUP('Données projet'!$B$11,Paramètres!$A$1:$I$89,3,0)*VLOOKUP('Données projet'!$B$11,Paramètres!$A$1:$I$89,5,0)</f>
        <v>0.44719999999997456</v>
      </c>
      <c r="BF144" s="13">
        <f t="shared" si="145"/>
        <v>0.22632652264063857</v>
      </c>
      <c r="BG144" s="20">
        <f t="shared" si="115"/>
        <v>1.1730586935990679</v>
      </c>
      <c r="BH144" s="59">
        <f t="shared" si="116"/>
        <v>294.50639202693236</v>
      </c>
      <c r="BI144" s="59">
        <f ca="1">AVERAGE(OFFSET($BH$3,0,0,'Données projet'!$E$11+1,1))-AVERAGE(OFFSET($H$3,0,0,'Données projet'!$E$11+1,1))</f>
        <v>321.85808080442411</v>
      </c>
      <c r="BJ144" s="59">
        <f t="shared" si="146"/>
        <v>285.95942591879702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91.906564398360246</v>
      </c>
      <c r="BQ144" s="21">
        <f>EXP(-LN(2)/25)*BQ143+(1-EXP(-LN(2)/25))/(LN(2)/25)*Calculateur!BL144*Calculateur!BN144*VLOOKUP('Données projet'!$B$11,Paramètres!$A$1:$I$89,3,0)*0.475*44/12</f>
        <v>1.1971397494240308</v>
      </c>
      <c r="BR144" s="21">
        <f>EXP(-LN(2)/2)*BR143+(1-EXP(-LN(2)/2))/(LN(2)/2)*BL144*BO144*VLOOKUP('Données projet'!$B$11,Paramètres!$A$1:$I$89,3,0)*0.475*44/12</f>
        <v>3.5452400591442813E-17</v>
      </c>
      <c r="BS144" s="22">
        <f t="shared" si="117"/>
        <v>93.103704147784271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689</v>
      </c>
      <c r="O145" s="13">
        <f>N145*VLOOKUP('Données projet'!$B$9,Paramètres!$A$1:$I$89,3,0)*VLOOKUP('Données projet'!$B$9,Paramètres!$A$1:$I$89,5,0)</f>
        <v>412.02199999999999</v>
      </c>
      <c r="P145" s="13">
        <f t="shared" si="141"/>
        <v>94.209724877926391</v>
      </c>
      <c r="Q145" s="20">
        <f t="shared" si="108"/>
        <v>881.686920829055</v>
      </c>
      <c r="R145" s="59">
        <f t="shared" si="109"/>
        <v>1175.0202541623883</v>
      </c>
      <c r="S145" s="59">
        <f ca="1">AVERAGE(OFFSET($R$3,0,0,'Données projet'!$E$9+1,1))-AVERAGE(OFFSET($H$3,0,0,'Données projet'!$E$9+1,1))</f>
        <v>430.93760474982633</v>
      </c>
      <c r="T145" s="59">
        <f t="shared" si="142"/>
        <v>371.5387876502981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28.668348488230393</v>
      </c>
      <c r="AA145" s="21">
        <f>EXP(-LN(2)/25)*AA144+(1-EXP(-LN(2)/25))/(LN(2)/25)*Calculateur!V145*Calculateur!X145*VLOOKUP('Données projet'!$B$9,Paramètres!$A$1:$I$89,3,0)*0.475*44/12</f>
        <v>2.6384434186633174</v>
      </c>
      <c r="AB145" s="21">
        <f>EXP(-LN(2)/2)*AB144+(1-EXP(-LN(2)/2))/(LN(2)/2)*V145*Y145*VLOOKUP('Données projet'!$B$9,Paramètres!$A$1:$I$89,3,0)*0.475*44/12</f>
        <v>7.2670815568138658E-19</v>
      </c>
      <c r="AC145" s="22">
        <f t="shared" si="111"/>
        <v>31.306791906893711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304</v>
      </c>
      <c r="AJ145" s="13">
        <f>AI145*VLOOKUP('Données projet'!$B$10,Paramètres!$A$1:$I$89,3,0)*VLOOKUP('Données projet'!$B$10,Paramètres!$A$1:$I$89,5,0)</f>
        <v>189.696</v>
      </c>
      <c r="AK145" s="13">
        <f t="shared" si="143"/>
        <v>47.472736505152469</v>
      </c>
      <c r="AL145" s="20">
        <f t="shared" si="112"/>
        <v>413.06888274647389</v>
      </c>
      <c r="AM145" s="59">
        <f t="shared" si="113"/>
        <v>706.4022160798072</v>
      </c>
      <c r="AN145" s="59">
        <f ca="1">AVERAGE(OFFSET($AM$3,0,0,'Données projet'!$E$10+1,1))-AVERAGE(OFFSET($H$3,0,0,'Données projet'!$E$10+1,1))</f>
        <v>179.44051550872138</v>
      </c>
      <c r="AO145" s="59">
        <f t="shared" si="144"/>
        <v>272.9500808380069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13.383834506535077</v>
      </c>
      <c r="AV145" s="21">
        <f>EXP(-LN(2)/25)*AV144+(1-EXP(-LN(2)/25))/(LN(2)/25)*Calculateur!AQ145*Calculateur!AS145*VLOOKUP('Données projet'!$B$10,Paramètres!$A$1:$I$89,3,0)*0.475*44/12</f>
        <v>2.1683880367554726</v>
      </c>
      <c r="AW145" s="21">
        <f>EXP(-LN(2)/2)*AW144+(1-EXP(-LN(2)/2))/(LN(2)/2)*AQ145*AT145*VLOOKUP('Données projet'!$B$10,Paramètres!$A$1:$I$89,3,0)*0.475*44/12</f>
        <v>3.0640115169741768E-18</v>
      </c>
      <c r="AX145" s="21">
        <f t="shared" si="114"/>
        <v>15.552222543290551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0.79999999999995453</v>
      </c>
      <c r="BE145" s="13">
        <f>BD145*VLOOKUP('Données projet'!$B$11,Paramètres!$A$1:$I$89,3,0)*VLOOKUP('Données projet'!$B$11,Paramètres!$A$1:$I$89,5,0)</f>
        <v>0.44719999999997456</v>
      </c>
      <c r="BF145" s="13">
        <f t="shared" si="145"/>
        <v>0.22632652264063857</v>
      </c>
      <c r="BG145" s="20">
        <f t="shared" si="115"/>
        <v>1.1730586935990679</v>
      </c>
      <c r="BH145" s="59">
        <f t="shared" si="116"/>
        <v>294.50639202693236</v>
      </c>
      <c r="BI145" s="59">
        <f ca="1">AVERAGE(OFFSET($BH$3,0,0,'Données projet'!$E$11+1,1))-AVERAGE(OFFSET($H$3,0,0,'Données projet'!$E$11+1,1))</f>
        <v>321.85808080442411</v>
      </c>
      <c r="BJ145" s="59">
        <f t="shared" si="146"/>
        <v>285.95942591879702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90.104332727977464</v>
      </c>
      <c r="BQ145" s="21">
        <f>EXP(-LN(2)/25)*BQ144+(1-EXP(-LN(2)/25))/(LN(2)/25)*Calculateur!BL145*Calculateur!BN145*VLOOKUP('Données projet'!$B$11,Paramètres!$A$1:$I$89,3,0)*0.475*44/12</f>
        <v>1.1644039000211874</v>
      </c>
      <c r="BR145" s="21">
        <f>EXP(-LN(2)/2)*BR144+(1-EXP(-LN(2)/2))/(LN(2)/2)*BL145*BO145*VLOOKUP('Données projet'!$B$11,Paramètres!$A$1:$I$89,3,0)*0.475*44/12</f>
        <v>2.5068632867551182E-17</v>
      </c>
      <c r="BS145" s="22">
        <f t="shared" si="117"/>
        <v>91.268736627998649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689</v>
      </c>
      <c r="O146" s="13">
        <f>N146*VLOOKUP('Données projet'!$B$9,Paramètres!$A$1:$I$89,3,0)*VLOOKUP('Données projet'!$B$9,Paramètres!$A$1:$I$89,5,0)</f>
        <v>412.02199999999999</v>
      </c>
      <c r="P146" s="13">
        <f t="shared" si="141"/>
        <v>94.209724877926391</v>
      </c>
      <c r="Q146" s="20">
        <f t="shared" si="108"/>
        <v>881.686920829055</v>
      </c>
      <c r="R146" s="59">
        <f t="shared" si="109"/>
        <v>1175.0202541623883</v>
      </c>
      <c r="S146" s="59">
        <f ca="1">AVERAGE(OFFSET($R$3,0,0,'Données projet'!$E$9+1,1))-AVERAGE(OFFSET($H$3,0,0,'Données projet'!$E$9+1,1))</f>
        <v>430.93760474982633</v>
      </c>
      <c r="T146" s="59">
        <f t="shared" si="142"/>
        <v>371.5387876502981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28.106179660342178</v>
      </c>
      <c r="AA146" s="21">
        <f>EXP(-LN(2)/25)*AA145+(1-EXP(-LN(2)/25))/(LN(2)/25)*Calculateur!V146*Calculateur!X146*VLOOKUP('Données projet'!$B$9,Paramètres!$A$1:$I$89,3,0)*0.475*44/12</f>
        <v>2.5662950446302597</v>
      </c>
      <c r="AB146" s="21">
        <f>EXP(-LN(2)/2)*AB145+(1-EXP(-LN(2)/2))/(LN(2)/2)*V146*Y146*VLOOKUP('Données projet'!$B$9,Paramètres!$A$1:$I$89,3,0)*0.475*44/12</f>
        <v>5.1386026482587773E-19</v>
      </c>
      <c r="AC146" s="22">
        <f t="shared" si="111"/>
        <v>30.672474704972437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304</v>
      </c>
      <c r="AJ146" s="13">
        <f>AI146*VLOOKUP('Données projet'!$B$10,Paramètres!$A$1:$I$89,3,0)*VLOOKUP('Données projet'!$B$10,Paramètres!$A$1:$I$89,5,0)</f>
        <v>189.696</v>
      </c>
      <c r="AK146" s="13">
        <f t="shared" si="143"/>
        <v>47.472736505152469</v>
      </c>
      <c r="AL146" s="20">
        <f t="shared" si="112"/>
        <v>413.06888274647389</v>
      </c>
      <c r="AM146" s="59">
        <f t="shared" si="113"/>
        <v>706.4022160798072</v>
      </c>
      <c r="AN146" s="59">
        <f ca="1">AVERAGE(OFFSET($AM$3,0,0,'Données projet'!$E$10+1,1))-AVERAGE(OFFSET($H$3,0,0,'Données projet'!$E$10+1,1))</f>
        <v>179.44051550872138</v>
      </c>
      <c r="AO146" s="59">
        <f t="shared" si="144"/>
        <v>272.9500808380069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13.121385675194912</v>
      </c>
      <c r="AV146" s="21">
        <f>EXP(-LN(2)/25)*AV145+(1-EXP(-LN(2)/25))/(LN(2)/25)*Calculateur!AQ146*Calculateur!AS146*VLOOKUP('Données projet'!$B$10,Paramètres!$A$1:$I$89,3,0)*0.475*44/12</f>
        <v>2.1090933518598232</v>
      </c>
      <c r="AW146" s="21">
        <f>EXP(-LN(2)/2)*AW145+(1-EXP(-LN(2)/2))/(LN(2)/2)*AQ146*AT146*VLOOKUP('Données projet'!$B$10,Paramètres!$A$1:$I$89,3,0)*0.475*44/12</f>
        <v>2.1665833212861208E-18</v>
      </c>
      <c r="AX146" s="21">
        <f t="shared" si="114"/>
        <v>15.230479027054734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0.79999999999995453</v>
      </c>
      <c r="BE146" s="13">
        <f>BD146*VLOOKUP('Données projet'!$B$11,Paramètres!$A$1:$I$89,3,0)*VLOOKUP('Données projet'!$B$11,Paramètres!$A$1:$I$89,5,0)</f>
        <v>0.44719999999997456</v>
      </c>
      <c r="BF146" s="13">
        <f t="shared" si="145"/>
        <v>0.22632652264063857</v>
      </c>
      <c r="BG146" s="20">
        <f t="shared" si="115"/>
        <v>1.1730586935990679</v>
      </c>
      <c r="BH146" s="59">
        <f t="shared" si="116"/>
        <v>294.50639202693236</v>
      </c>
      <c r="BI146" s="59">
        <f ca="1">AVERAGE(OFFSET($BH$3,0,0,'Données projet'!$E$11+1,1))-AVERAGE(OFFSET($H$3,0,0,'Données projet'!$E$11+1,1))</f>
        <v>321.85808080442411</v>
      </c>
      <c r="BJ146" s="59">
        <f t="shared" si="146"/>
        <v>285.95942591879702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88.337441721398122</v>
      </c>
      <c r="BQ146" s="21">
        <f>EXP(-LN(2)/25)*BQ145+(1-EXP(-LN(2)/25))/(LN(2)/25)*Calculateur!BL146*Calculateur!BN146*VLOOKUP('Données projet'!$B$11,Paramètres!$A$1:$I$89,3,0)*0.475*44/12</f>
        <v>1.1325632141417683</v>
      </c>
      <c r="BR146" s="21">
        <f>EXP(-LN(2)/2)*BR145+(1-EXP(-LN(2)/2))/(LN(2)/2)*BL146*BO146*VLOOKUP('Données projet'!$B$11,Paramètres!$A$1:$I$89,3,0)*0.475*44/12</f>
        <v>1.7726200295721407E-17</v>
      </c>
      <c r="BS146" s="22">
        <f t="shared" si="117"/>
        <v>89.47000493553989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689</v>
      </c>
      <c r="O147" s="13">
        <f>N147*VLOOKUP('Données projet'!$B$9,Paramètres!$A$1:$I$89,3,0)*VLOOKUP('Données projet'!$B$9,Paramètres!$A$1:$I$89,5,0)</f>
        <v>412.02199999999999</v>
      </c>
      <c r="P147" s="13">
        <f t="shared" si="141"/>
        <v>94.209724877926391</v>
      </c>
      <c r="Q147" s="20">
        <f t="shared" si="108"/>
        <v>881.686920829055</v>
      </c>
      <c r="R147" s="59">
        <f t="shared" si="109"/>
        <v>1175.0202541623883</v>
      </c>
      <c r="S147" s="59">
        <f ca="1">AVERAGE(OFFSET($R$3,0,0,'Données projet'!$E$9+1,1))-AVERAGE(OFFSET($H$3,0,0,'Données projet'!$E$9+1,1))</f>
        <v>430.93760474982633</v>
      </c>
      <c r="T147" s="59">
        <f t="shared" si="142"/>
        <v>371.5387876502981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27.555034620279724</v>
      </c>
      <c r="AA147" s="21">
        <f>EXP(-LN(2)/25)*AA146+(1-EXP(-LN(2)/25))/(LN(2)/25)*Calculateur!V147*Calculateur!X147*VLOOKUP('Données projet'!$B$9,Paramètres!$A$1:$I$89,3,0)*0.475*44/12</f>
        <v>2.4961195716792544</v>
      </c>
      <c r="AB147" s="21">
        <f>EXP(-LN(2)/2)*AB146+(1-EXP(-LN(2)/2))/(LN(2)/2)*V147*Y147*VLOOKUP('Données projet'!$B$9,Paramètres!$A$1:$I$89,3,0)*0.475*44/12</f>
        <v>3.6335407784069329E-19</v>
      </c>
      <c r="AC147" s="22">
        <f t="shared" si="111"/>
        <v>30.051154191958979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304</v>
      </c>
      <c r="AJ147" s="13">
        <f>AI147*VLOOKUP('Données projet'!$B$10,Paramètres!$A$1:$I$89,3,0)*VLOOKUP('Données projet'!$B$10,Paramètres!$A$1:$I$89,5,0)</f>
        <v>189.696</v>
      </c>
      <c r="AK147" s="13">
        <f t="shared" si="143"/>
        <v>47.472736505152469</v>
      </c>
      <c r="AL147" s="20">
        <f t="shared" si="112"/>
        <v>413.06888274647389</v>
      </c>
      <c r="AM147" s="59">
        <f t="shared" si="113"/>
        <v>706.4022160798072</v>
      </c>
      <c r="AN147" s="59">
        <f ca="1">AVERAGE(OFFSET($AM$3,0,0,'Données projet'!$E$10+1,1))-AVERAGE(OFFSET($H$3,0,0,'Données projet'!$E$10+1,1))</f>
        <v>179.44051550872138</v>
      </c>
      <c r="AO147" s="59">
        <f t="shared" si="144"/>
        <v>272.9500808380069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12.864083305359346</v>
      </c>
      <c r="AV147" s="21">
        <f>EXP(-LN(2)/25)*AV146+(1-EXP(-LN(2)/25))/(LN(2)/25)*Calculateur!AQ147*Calculateur!AS147*VLOOKUP('Données projet'!$B$10,Paramètres!$A$1:$I$89,3,0)*0.475*44/12</f>
        <v>2.0514200832408171</v>
      </c>
      <c r="AW147" s="21">
        <f>EXP(-LN(2)/2)*AW146+(1-EXP(-LN(2)/2))/(LN(2)/2)*AQ147*AT147*VLOOKUP('Données projet'!$B$10,Paramètres!$A$1:$I$89,3,0)*0.475*44/12</f>
        <v>1.5320057584870884E-18</v>
      </c>
      <c r="AX147" s="21">
        <f t="shared" si="114"/>
        <v>14.915503388600163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0.79999999999995453</v>
      </c>
      <c r="BE147" s="13">
        <f>BD147*VLOOKUP('Données projet'!$B$11,Paramètres!$A$1:$I$89,3,0)*VLOOKUP('Données projet'!$B$11,Paramètres!$A$1:$I$89,5,0)</f>
        <v>0.44719999999997456</v>
      </c>
      <c r="BF147" s="13">
        <f t="shared" si="145"/>
        <v>0.22632652264063857</v>
      </c>
      <c r="BG147" s="20">
        <f t="shared" si="115"/>
        <v>1.1730586935990679</v>
      </c>
      <c r="BH147" s="59">
        <f t="shared" si="116"/>
        <v>294.50639202693236</v>
      </c>
      <c r="BI147" s="59">
        <f ca="1">AVERAGE(OFFSET($BH$3,0,0,'Données projet'!$E$11+1,1))-AVERAGE(OFFSET($H$3,0,0,'Données projet'!$E$11+1,1))</f>
        <v>321.85808080442411</v>
      </c>
      <c r="BJ147" s="59">
        <f t="shared" si="146"/>
        <v>285.95942591879702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86.6051983697607</v>
      </c>
      <c r="BQ147" s="21">
        <f>EXP(-LN(2)/25)*BQ146+(1-EXP(-LN(2)/25))/(LN(2)/25)*Calculateur!BL147*Calculateur!BN147*VLOOKUP('Données projet'!$B$11,Paramètres!$A$1:$I$89,3,0)*0.475*44/12</f>
        <v>1.1015932134921507</v>
      </c>
      <c r="BR147" s="21">
        <f>EXP(-LN(2)/2)*BR146+(1-EXP(-LN(2)/2))/(LN(2)/2)*BL147*BO147*VLOOKUP('Données projet'!$B$11,Paramètres!$A$1:$I$89,3,0)*0.475*44/12</f>
        <v>1.2534316433775591E-17</v>
      </c>
      <c r="BS147" s="22">
        <f t="shared" si="117"/>
        <v>87.706791583252851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689</v>
      </c>
      <c r="O148" s="13">
        <f>N148*VLOOKUP('Données projet'!$B$9,Paramètres!$A$1:$I$89,3,0)*VLOOKUP('Données projet'!$B$9,Paramètres!$A$1:$I$89,5,0)</f>
        <v>412.02199999999999</v>
      </c>
      <c r="P148" s="13">
        <f t="shared" si="141"/>
        <v>94.209724877926391</v>
      </c>
      <c r="Q148" s="20">
        <f t="shared" si="108"/>
        <v>881.686920829055</v>
      </c>
      <c r="R148" s="59">
        <f t="shared" si="109"/>
        <v>1175.0202541623883</v>
      </c>
      <c r="S148" s="59">
        <f ca="1">AVERAGE(OFFSET($R$3,0,0,'Données projet'!$E$9+1,1))-AVERAGE(OFFSET($H$3,0,0,'Données projet'!$E$9+1,1))</f>
        <v>430.93760474982633</v>
      </c>
      <c r="T148" s="59">
        <f t="shared" si="142"/>
        <v>371.5387876502981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27.01469719828761</v>
      </c>
      <c r="AA148" s="21">
        <f>EXP(-LN(2)/25)*AA147+(1-EXP(-LN(2)/25))/(LN(2)/25)*Calculateur!V148*Calculateur!X148*VLOOKUP('Données projet'!$B$9,Paramètres!$A$1:$I$89,3,0)*0.475*44/12</f>
        <v>2.427863050726462</v>
      </c>
      <c r="AB148" s="21">
        <f>EXP(-LN(2)/2)*AB147+(1-EXP(-LN(2)/2))/(LN(2)/2)*V148*Y148*VLOOKUP('Données projet'!$B$9,Paramètres!$A$1:$I$89,3,0)*0.475*44/12</f>
        <v>2.5693013241293886E-19</v>
      </c>
      <c r="AC148" s="22">
        <f t="shared" si="111"/>
        <v>29.442560249014072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304</v>
      </c>
      <c r="AJ148" s="13">
        <f>AI148*VLOOKUP('Données projet'!$B$10,Paramètres!$A$1:$I$89,3,0)*VLOOKUP('Données projet'!$B$10,Paramètres!$A$1:$I$89,5,0)</f>
        <v>189.696</v>
      </c>
      <c r="AK148" s="13">
        <f t="shared" si="143"/>
        <v>47.472736505152469</v>
      </c>
      <c r="AL148" s="20">
        <f t="shared" si="112"/>
        <v>413.06888274647389</v>
      </c>
      <c r="AM148" s="59">
        <f t="shared" si="113"/>
        <v>706.4022160798072</v>
      </c>
      <c r="AN148" s="59">
        <f ca="1">AVERAGE(OFFSET($AM$3,0,0,'Données projet'!$E$10+1,1))-AVERAGE(OFFSET($H$3,0,0,'Données projet'!$E$10+1,1))</f>
        <v>179.44051550872138</v>
      </c>
      <c r="AO148" s="59">
        <f t="shared" si="144"/>
        <v>272.9500808380069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12.611826478057306</v>
      </c>
      <c r="AV148" s="21">
        <f>EXP(-LN(2)/25)*AV147+(1-EXP(-LN(2)/25))/(LN(2)/25)*Calculateur!AQ148*Calculateur!AS148*VLOOKUP('Données projet'!$B$10,Paramètres!$A$1:$I$89,3,0)*0.475*44/12</f>
        <v>1.9953238931851034</v>
      </c>
      <c r="AW148" s="21">
        <f>EXP(-LN(2)/2)*AW147+(1-EXP(-LN(2)/2))/(LN(2)/2)*AQ148*AT148*VLOOKUP('Données projet'!$B$10,Paramètres!$A$1:$I$89,3,0)*0.475*44/12</f>
        <v>1.0832916606430604E-18</v>
      </c>
      <c r="AX148" s="21">
        <f t="shared" si="114"/>
        <v>14.60715037124241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0.79999999999995453</v>
      </c>
      <c r="BE148" s="13">
        <f>BD148*VLOOKUP('Données projet'!$B$11,Paramètres!$A$1:$I$89,3,0)*VLOOKUP('Données projet'!$B$11,Paramètres!$A$1:$I$89,5,0)</f>
        <v>0.44719999999997456</v>
      </c>
      <c r="BF148" s="13">
        <f t="shared" si="145"/>
        <v>0.22632652264063857</v>
      </c>
      <c r="BG148" s="20">
        <f t="shared" si="115"/>
        <v>1.1730586935990679</v>
      </c>
      <c r="BH148" s="59">
        <f t="shared" si="116"/>
        <v>294.50639202693236</v>
      </c>
      <c r="BI148" s="59">
        <f ca="1">AVERAGE(OFFSET($BH$3,0,0,'Données projet'!$E$11+1,1))-AVERAGE(OFFSET($H$3,0,0,'Données projet'!$E$11+1,1))</f>
        <v>321.85808080442411</v>
      </c>
      <c r="BJ148" s="59">
        <f t="shared" si="146"/>
        <v>285.95942591879702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84.906923253684766</v>
      </c>
      <c r="BQ148" s="21">
        <f>EXP(-LN(2)/25)*BQ147+(1-EXP(-LN(2)/25))/(LN(2)/25)*Calculateur!BL148*Calculateur!BN148*VLOOKUP('Données projet'!$B$11,Paramètres!$A$1:$I$89,3,0)*0.475*44/12</f>
        <v>1.0714700891389384</v>
      </c>
      <c r="BR148" s="21">
        <f>EXP(-LN(2)/2)*BR147+(1-EXP(-LN(2)/2))/(LN(2)/2)*BL148*BO148*VLOOKUP('Données projet'!$B$11,Paramètres!$A$1:$I$89,3,0)*0.475*44/12</f>
        <v>8.8631001478607033E-18</v>
      </c>
      <c r="BS148" s="22">
        <f t="shared" si="117"/>
        <v>85.978393342823708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689</v>
      </c>
      <c r="O149" s="13">
        <f>N149*VLOOKUP('Données projet'!$B$9,Paramètres!$A$1:$I$89,3,0)*VLOOKUP('Données projet'!$B$9,Paramètres!$A$1:$I$89,5,0)</f>
        <v>412.02199999999999</v>
      </c>
      <c r="P149" s="13">
        <f t="shared" si="141"/>
        <v>94.209724877926391</v>
      </c>
      <c r="Q149" s="20">
        <f t="shared" si="108"/>
        <v>881.686920829055</v>
      </c>
      <c r="R149" s="59">
        <f t="shared" si="109"/>
        <v>1175.0202541623883</v>
      </c>
      <c r="S149" s="59">
        <f ca="1">AVERAGE(OFFSET($R$3,0,0,'Données projet'!$E$9+1,1))-AVERAGE(OFFSET($H$3,0,0,'Données projet'!$E$9+1,1))</f>
        <v>430.93760474982633</v>
      </c>
      <c r="T149" s="59">
        <f t="shared" si="142"/>
        <v>371.5387876502981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26.484955463567481</v>
      </c>
      <c r="AA149" s="21">
        <f>EXP(-LN(2)/25)*AA148+(1-EXP(-LN(2)/25))/(LN(2)/25)*Calculateur!V149*Calculateur!X149*VLOOKUP('Données projet'!$B$9,Paramètres!$A$1:$I$89,3,0)*0.475*44/12</f>
        <v>2.3614730079285779</v>
      </c>
      <c r="AB149" s="21">
        <f>EXP(-LN(2)/2)*AB148+(1-EXP(-LN(2)/2))/(LN(2)/2)*V149*Y149*VLOOKUP('Données projet'!$B$9,Paramètres!$A$1:$I$89,3,0)*0.475*44/12</f>
        <v>1.8167703892034665E-19</v>
      </c>
      <c r="AC149" s="22">
        <f t="shared" si="111"/>
        <v>28.846428471496058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304</v>
      </c>
      <c r="AJ149" s="13">
        <f>AI149*VLOOKUP('Données projet'!$B$10,Paramètres!$A$1:$I$89,3,0)*VLOOKUP('Données projet'!$B$10,Paramètres!$A$1:$I$89,5,0)</f>
        <v>189.696</v>
      </c>
      <c r="AK149" s="13">
        <f t="shared" si="143"/>
        <v>47.472736505152469</v>
      </c>
      <c r="AL149" s="20">
        <f t="shared" si="112"/>
        <v>413.06888274647389</v>
      </c>
      <c r="AM149" s="59">
        <f t="shared" si="113"/>
        <v>706.4022160798072</v>
      </c>
      <c r="AN149" s="59">
        <f ca="1">AVERAGE(OFFSET($AM$3,0,0,'Données projet'!$E$10+1,1))-AVERAGE(OFFSET($H$3,0,0,'Données projet'!$E$10+1,1))</f>
        <v>179.44051550872138</v>
      </c>
      <c r="AO149" s="59">
        <f t="shared" si="144"/>
        <v>272.9500808380069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12.364516253277188</v>
      </c>
      <c r="AV149" s="21">
        <f>EXP(-LN(2)/25)*AV148+(1-EXP(-LN(2)/25))/(LN(2)/25)*Calculateur!AQ149*Calculateur!AS149*VLOOKUP('Données projet'!$B$10,Paramètres!$A$1:$I$89,3,0)*0.475*44/12</f>
        <v>1.9407616563964336</v>
      </c>
      <c r="AW149" s="21">
        <f>EXP(-LN(2)/2)*AW148+(1-EXP(-LN(2)/2))/(LN(2)/2)*AQ149*AT149*VLOOKUP('Données projet'!$B$10,Paramètres!$A$1:$I$89,3,0)*0.475*44/12</f>
        <v>7.6600287924354421E-19</v>
      </c>
      <c r="AX149" s="21">
        <f t="shared" si="114"/>
        <v>14.305277909673622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0.79999999999995453</v>
      </c>
      <c r="BE149" s="13">
        <f>BD149*VLOOKUP('Données projet'!$B$11,Paramètres!$A$1:$I$89,3,0)*VLOOKUP('Données projet'!$B$11,Paramètres!$A$1:$I$89,5,0)</f>
        <v>0.44719999999997456</v>
      </c>
      <c r="BF149" s="13">
        <f t="shared" si="145"/>
        <v>0.22632652264063857</v>
      </c>
      <c r="BG149" s="20">
        <f t="shared" si="115"/>
        <v>1.1730586935990679</v>
      </c>
      <c r="BH149" s="59">
        <f t="shared" si="116"/>
        <v>294.50639202693236</v>
      </c>
      <c r="BI149" s="59">
        <f ca="1">AVERAGE(OFFSET($BH$3,0,0,'Données projet'!$E$11+1,1))-AVERAGE(OFFSET($H$3,0,0,'Données projet'!$E$11+1,1))</f>
        <v>321.85808080442411</v>
      </c>
      <c r="BJ149" s="59">
        <f t="shared" si="146"/>
        <v>285.95942591879702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83.241950276789538</v>
      </c>
      <c r="BQ149" s="21">
        <f>EXP(-LN(2)/25)*BQ148+(1-EXP(-LN(2)/25))/(LN(2)/25)*Calculateur!BL149*Calculateur!BN149*VLOOKUP('Données projet'!$B$11,Paramètres!$A$1:$I$89,3,0)*0.475*44/12</f>
        <v>1.0421706832052711</v>
      </c>
      <c r="BR149" s="21">
        <f>EXP(-LN(2)/2)*BR148+(1-EXP(-LN(2)/2))/(LN(2)/2)*BL149*BO149*VLOOKUP('Données projet'!$B$11,Paramètres!$A$1:$I$89,3,0)*0.475*44/12</f>
        <v>6.2671582168877954E-18</v>
      </c>
      <c r="BS149" s="22">
        <f t="shared" si="117"/>
        <v>84.284120959994809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689</v>
      </c>
      <c r="O150" s="13">
        <f>N150*VLOOKUP('Données projet'!$B$9,Paramètres!$A$1:$I$89,3,0)*VLOOKUP('Données projet'!$B$9,Paramètres!$A$1:$I$89,5,0)</f>
        <v>412.02199999999999</v>
      </c>
      <c r="P150" s="13">
        <f t="shared" si="141"/>
        <v>94.209724877926391</v>
      </c>
      <c r="Q150" s="20">
        <f t="shared" si="108"/>
        <v>881.686920829055</v>
      </c>
      <c r="R150" s="59">
        <f t="shared" si="109"/>
        <v>1175.0202541623883</v>
      </c>
      <c r="S150" s="59">
        <f ca="1">AVERAGE(OFFSET($R$3,0,0,'Données projet'!$E$9+1,1))-AVERAGE(OFFSET($H$3,0,0,'Données projet'!$E$9+1,1))</f>
        <v>430.93760474982633</v>
      </c>
      <c r="T150" s="59">
        <f t="shared" si="142"/>
        <v>371.5387876502981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25.965601641154656</v>
      </c>
      <c r="AA150" s="21">
        <f>EXP(-LN(2)/25)*AA149+(1-EXP(-LN(2)/25))/(LN(2)/25)*Calculateur!V150*Calculateur!X150*VLOOKUP('Données projet'!$B$9,Paramètres!$A$1:$I$89,3,0)*0.475*44/12</f>
        <v>2.2968984043423029</v>
      </c>
      <c r="AB150" s="21">
        <f>EXP(-LN(2)/2)*AB149+(1-EXP(-LN(2)/2))/(LN(2)/2)*V150*Y150*VLOOKUP('Données projet'!$B$9,Paramètres!$A$1:$I$89,3,0)*0.475*44/12</f>
        <v>1.2846506620646943E-19</v>
      </c>
      <c r="AC150" s="22">
        <f t="shared" si="111"/>
        <v>28.26250004549696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304</v>
      </c>
      <c r="AJ150" s="13">
        <f>AI150*VLOOKUP('Données projet'!$B$10,Paramètres!$A$1:$I$89,3,0)*VLOOKUP('Données projet'!$B$10,Paramètres!$A$1:$I$89,5,0)</f>
        <v>189.696</v>
      </c>
      <c r="AK150" s="13">
        <f t="shared" si="143"/>
        <v>47.472736505152469</v>
      </c>
      <c r="AL150" s="20">
        <f t="shared" si="112"/>
        <v>413.06888274647389</v>
      </c>
      <c r="AM150" s="59">
        <f t="shared" si="113"/>
        <v>706.4022160798072</v>
      </c>
      <c r="AN150" s="59">
        <f ca="1">AVERAGE(OFFSET($AM$3,0,0,'Données projet'!$E$10+1,1))-AVERAGE(OFFSET($H$3,0,0,'Données projet'!$E$10+1,1))</f>
        <v>179.44051550872138</v>
      </c>
      <c r="AO150" s="59">
        <f t="shared" si="144"/>
        <v>272.9500808380069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12.122055631160665</v>
      </c>
      <c r="AV150" s="21">
        <f>EXP(-LN(2)/25)*AV149+(1-EXP(-LN(2)/25))/(LN(2)/25)*Calculateur!AQ150*Calculateur!AS150*VLOOKUP('Données projet'!$B$10,Paramètres!$A$1:$I$89,3,0)*0.475*44/12</f>
        <v>1.8876914268420533</v>
      </c>
      <c r="AW150" s="21">
        <f>EXP(-LN(2)/2)*AW149+(1-EXP(-LN(2)/2))/(LN(2)/2)*AQ150*AT150*VLOOKUP('Données projet'!$B$10,Paramètres!$A$1:$I$89,3,0)*0.475*44/12</f>
        <v>5.4164583032153019E-19</v>
      </c>
      <c r="AX150" s="21">
        <f t="shared" si="114"/>
        <v>14.009747058002718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0.79999999999995453</v>
      </c>
      <c r="BE150" s="13">
        <f>BD150*VLOOKUP('Données projet'!$B$11,Paramètres!$A$1:$I$89,3,0)*VLOOKUP('Données projet'!$B$11,Paramètres!$A$1:$I$89,5,0)</f>
        <v>0.44719999999997456</v>
      </c>
      <c r="BF150" s="13">
        <f t="shared" si="145"/>
        <v>0.22632652264063857</v>
      </c>
      <c r="BG150" s="20">
        <f t="shared" si="115"/>
        <v>1.1730586935990679</v>
      </c>
      <c r="BH150" s="59">
        <f t="shared" si="116"/>
        <v>294.50639202693236</v>
      </c>
      <c r="BI150" s="59">
        <f ca="1">AVERAGE(OFFSET($BH$3,0,0,'Données projet'!$E$11+1,1))-AVERAGE(OFFSET($H$3,0,0,'Données projet'!$E$11+1,1))</f>
        <v>321.85808080442411</v>
      </c>
      <c r="BJ150" s="59">
        <f t="shared" si="146"/>
        <v>285.95942591879702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81.609626404437989</v>
      </c>
      <c r="BQ150" s="21">
        <f>EXP(-LN(2)/25)*BQ149+(1-EXP(-LN(2)/25))/(LN(2)/25)*Calculateur!BL150*Calculateur!BN150*VLOOKUP('Données projet'!$B$11,Paramètres!$A$1:$I$89,3,0)*0.475*44/12</f>
        <v>1.0136724710676486</v>
      </c>
      <c r="BR150" s="21">
        <f>EXP(-LN(2)/2)*BR149+(1-EXP(-LN(2)/2))/(LN(2)/2)*BL150*BO150*VLOOKUP('Données projet'!$B$11,Paramètres!$A$1:$I$89,3,0)*0.475*44/12</f>
        <v>4.4315500739303517E-18</v>
      </c>
      <c r="BS150" s="22">
        <f t="shared" si="117"/>
        <v>82.62329887550564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689</v>
      </c>
      <c r="O151" s="13">
        <f>N151*VLOOKUP('Données projet'!$B$9,Paramètres!$A$1:$I$89,3,0)*VLOOKUP('Données projet'!$B$9,Paramètres!$A$1:$I$89,5,0)</f>
        <v>412.02199999999999</v>
      </c>
      <c r="P151" s="13">
        <f t="shared" si="141"/>
        <v>94.209724877926391</v>
      </c>
      <c r="Q151" s="20">
        <f t="shared" si="108"/>
        <v>881.686920829055</v>
      </c>
      <c r="R151" s="59">
        <f t="shared" si="109"/>
        <v>1175.0202541623883</v>
      </c>
      <c r="S151" s="59">
        <f ca="1">AVERAGE(OFFSET($R$3,0,0,'Données projet'!$E$9+1,1))-AVERAGE(OFFSET($H$3,0,0,'Données projet'!$E$9+1,1))</f>
        <v>430.93760474982633</v>
      </c>
      <c r="T151" s="59">
        <f t="shared" si="142"/>
        <v>371.5387876502981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25.456432030424796</v>
      </c>
      <c r="AA151" s="21">
        <f>EXP(-LN(2)/25)*AA150+(1-EXP(-LN(2)/25))/(LN(2)/25)*Calculateur!V151*Calculateur!X151*VLOOKUP('Données projet'!$B$9,Paramètres!$A$1:$I$89,3,0)*0.475*44/12</f>
        <v>2.2340895966869252</v>
      </c>
      <c r="AB151" s="21">
        <f>EXP(-LN(2)/2)*AB150+(1-EXP(-LN(2)/2))/(LN(2)/2)*V151*Y151*VLOOKUP('Données projet'!$B$9,Paramètres!$A$1:$I$89,3,0)*0.475*44/12</f>
        <v>9.0838519460173323E-20</v>
      </c>
      <c r="AC151" s="22">
        <f t="shared" si="111"/>
        <v>27.690521627111721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304</v>
      </c>
      <c r="AJ151" s="13">
        <f>AI151*VLOOKUP('Données projet'!$B$10,Paramètres!$A$1:$I$89,3,0)*VLOOKUP('Données projet'!$B$10,Paramètres!$A$1:$I$89,5,0)</f>
        <v>189.696</v>
      </c>
      <c r="AK151" s="13">
        <f t="shared" si="143"/>
        <v>47.472736505152469</v>
      </c>
      <c r="AL151" s="20">
        <f t="shared" si="112"/>
        <v>413.06888274647389</v>
      </c>
      <c r="AM151" s="59">
        <f t="shared" si="113"/>
        <v>706.4022160798072</v>
      </c>
      <c r="AN151" s="59">
        <f ca="1">AVERAGE(OFFSET($AM$3,0,0,'Données projet'!$E$10+1,1))-AVERAGE(OFFSET($H$3,0,0,'Données projet'!$E$10+1,1))</f>
        <v>179.44051550872138</v>
      </c>
      <c r="AO151" s="59">
        <f t="shared" si="144"/>
        <v>272.9500808380069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11.884349513957469</v>
      </c>
      <c r="AV151" s="21">
        <f>EXP(-LN(2)/25)*AV150+(1-EXP(-LN(2)/25))/(LN(2)/25)*Calculateur!AQ151*Calculateur!AS151*VLOOKUP('Données projet'!$B$10,Paramètres!$A$1:$I$89,3,0)*0.475*44/12</f>
        <v>1.8360724055056796</v>
      </c>
      <c r="AW151" s="21">
        <f>EXP(-LN(2)/2)*AW150+(1-EXP(-LN(2)/2))/(LN(2)/2)*AQ151*AT151*VLOOKUP('Données projet'!$B$10,Paramètres!$A$1:$I$89,3,0)*0.475*44/12</f>
        <v>3.830014396217721E-19</v>
      </c>
      <c r="AX151" s="21">
        <f t="shared" si="114"/>
        <v>13.720421919463149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0.79999999999995453</v>
      </c>
      <c r="BE151" s="13">
        <f>BD151*VLOOKUP('Données projet'!$B$11,Paramètres!$A$1:$I$89,3,0)*VLOOKUP('Données projet'!$B$11,Paramètres!$A$1:$I$89,5,0)</f>
        <v>0.44719999999997456</v>
      </c>
      <c r="BF151" s="13">
        <f t="shared" si="145"/>
        <v>0.22632652264063857</v>
      </c>
      <c r="BG151" s="20">
        <f t="shared" si="115"/>
        <v>1.1730586935990679</v>
      </c>
      <c r="BH151" s="59">
        <f t="shared" si="116"/>
        <v>294.50639202693236</v>
      </c>
      <c r="BI151" s="59">
        <f ca="1">AVERAGE(OFFSET($BH$3,0,0,'Données projet'!$E$11+1,1))-AVERAGE(OFFSET($H$3,0,0,'Données projet'!$E$11+1,1))</f>
        <v>321.85808080442411</v>
      </c>
      <c r="BJ151" s="59">
        <f t="shared" si="146"/>
        <v>285.95942591879702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80.009311407604002</v>
      </c>
      <c r="BQ151" s="21">
        <f>EXP(-LN(2)/25)*BQ150+(1-EXP(-LN(2)/25))/(LN(2)/25)*Calculateur!BL151*Calculateur!BN151*VLOOKUP('Données projet'!$B$11,Paramètres!$A$1:$I$89,3,0)*0.475*44/12</f>
        <v>0.98595354403958524</v>
      </c>
      <c r="BR151" s="21">
        <f>EXP(-LN(2)/2)*BR150+(1-EXP(-LN(2)/2))/(LN(2)/2)*BL151*BO151*VLOOKUP('Données projet'!$B$11,Paramètres!$A$1:$I$89,3,0)*0.475*44/12</f>
        <v>3.1335791084438977E-18</v>
      </c>
      <c r="BS151" s="22">
        <f t="shared" si="117"/>
        <v>80.995264951643591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689</v>
      </c>
      <c r="O152" s="13">
        <f>N152*VLOOKUP('Données projet'!$B$9,Paramètres!$A$1:$I$89,3,0)*VLOOKUP('Données projet'!$B$9,Paramètres!$A$1:$I$89,5,0)</f>
        <v>412.02199999999999</v>
      </c>
      <c r="P152" s="13">
        <f t="shared" si="141"/>
        <v>94.209724877926391</v>
      </c>
      <c r="Q152" s="20">
        <f t="shared" si="108"/>
        <v>881.686920829055</v>
      </c>
      <c r="R152" s="59">
        <f t="shared" si="109"/>
        <v>1175.0202541623883</v>
      </c>
      <c r="S152" s="59">
        <f ca="1">AVERAGE(OFFSET($R$3,0,0,'Données projet'!$E$9+1,1))-AVERAGE(OFFSET($H$3,0,0,'Données projet'!$E$9+1,1))</f>
        <v>430.93760474982633</v>
      </c>
      <c r="T152" s="59">
        <f t="shared" si="142"/>
        <v>371.5387876502981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24.95724692519855</v>
      </c>
      <c r="AA152" s="21">
        <f>EXP(-LN(2)/25)*AA151+(1-EXP(-LN(2)/25))/(LN(2)/25)*Calculateur!V152*Calculateur!X152*VLOOKUP('Données projet'!$B$9,Paramètres!$A$1:$I$89,3,0)*0.475*44/12</f>
        <v>2.1729982991798553</v>
      </c>
      <c r="AB152" s="21">
        <f>EXP(-LN(2)/2)*AB151+(1-EXP(-LN(2)/2))/(LN(2)/2)*V152*Y152*VLOOKUP('Données projet'!$B$9,Paramètres!$A$1:$I$89,3,0)*0.475*44/12</f>
        <v>6.4232533103234716E-20</v>
      </c>
      <c r="AC152" s="22">
        <f t="shared" si="111"/>
        <v>27.130245224378406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304</v>
      </c>
      <c r="AJ152" s="13">
        <f>AI152*VLOOKUP('Données projet'!$B$10,Paramètres!$A$1:$I$89,3,0)*VLOOKUP('Données projet'!$B$10,Paramètres!$A$1:$I$89,5,0)</f>
        <v>189.696</v>
      </c>
      <c r="AK152" s="13">
        <f t="shared" si="143"/>
        <v>47.472736505152469</v>
      </c>
      <c r="AL152" s="20">
        <f t="shared" si="112"/>
        <v>413.06888274647389</v>
      </c>
      <c r="AM152" s="59">
        <f t="shared" si="113"/>
        <v>706.4022160798072</v>
      </c>
      <c r="AN152" s="59">
        <f ca="1">AVERAGE(OFFSET($AM$3,0,0,'Données projet'!$E$10+1,1))-AVERAGE(OFFSET($H$3,0,0,'Données projet'!$E$10+1,1))</f>
        <v>179.44051550872138</v>
      </c>
      <c r="AO152" s="59">
        <f t="shared" si="144"/>
        <v>272.9500808380069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11.651304668726214</v>
      </c>
      <c r="AV152" s="21">
        <f>EXP(-LN(2)/25)*AV151+(1-EXP(-LN(2)/25))/(LN(2)/25)*Calculateur!AQ152*Calculateur!AS152*VLOOKUP('Données projet'!$B$10,Paramètres!$A$1:$I$89,3,0)*0.475*44/12</f>
        <v>1.7858649090222753</v>
      </c>
      <c r="AW152" s="21">
        <f>EXP(-LN(2)/2)*AW151+(1-EXP(-LN(2)/2))/(LN(2)/2)*AQ152*AT152*VLOOKUP('Données projet'!$B$10,Paramètres!$A$1:$I$89,3,0)*0.475*44/12</f>
        <v>2.708229151607651E-19</v>
      </c>
      <c r="AX152" s="21">
        <f t="shared" si="114"/>
        <v>13.437169577748488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0.79999999999995453</v>
      </c>
      <c r="BE152" s="13">
        <f>BD152*VLOOKUP('Données projet'!$B$11,Paramètres!$A$1:$I$89,3,0)*VLOOKUP('Données projet'!$B$11,Paramètres!$A$1:$I$89,5,0)</f>
        <v>0.44719999999997456</v>
      </c>
      <c r="BF152" s="13">
        <f t="shared" si="145"/>
        <v>0.22632652264063857</v>
      </c>
      <c r="BG152" s="20">
        <f t="shared" si="115"/>
        <v>1.1730586935990679</v>
      </c>
      <c r="BH152" s="59">
        <f t="shared" si="116"/>
        <v>294.50639202693236</v>
      </c>
      <c r="BI152" s="59">
        <f ca="1">AVERAGE(OFFSET($BH$3,0,0,'Données projet'!$E$11+1,1))-AVERAGE(OFFSET($H$3,0,0,'Données projet'!$E$11+1,1))</f>
        <v>321.85808080442411</v>
      </c>
      <c r="BJ152" s="59">
        <f t="shared" si="146"/>
        <v>285.95942591879702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78.440377611762159</v>
      </c>
      <c r="BQ152" s="21">
        <f>EXP(-LN(2)/25)*BQ151+(1-EXP(-LN(2)/25))/(LN(2)/25)*Calculateur!BL152*Calculateur!BN152*VLOOKUP('Données projet'!$B$11,Paramètres!$A$1:$I$89,3,0)*0.475*44/12</f>
        <v>0.95899259252877933</v>
      </c>
      <c r="BR152" s="21">
        <f>EXP(-LN(2)/2)*BR151+(1-EXP(-LN(2)/2))/(LN(2)/2)*BL152*BO152*VLOOKUP('Données projet'!$B$11,Paramètres!$A$1:$I$89,3,0)*0.475*44/12</f>
        <v>2.2157750369651758E-18</v>
      </c>
      <c r="BS152" s="22">
        <f t="shared" si="117"/>
        <v>79.399370204290932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689</v>
      </c>
      <c r="O153" s="13">
        <f>N153*VLOOKUP('Données projet'!$B$9,Paramètres!$A$1:$I$89,3,0)*VLOOKUP('Données projet'!$B$9,Paramètres!$A$1:$I$89,5,0)</f>
        <v>412.02199999999999</v>
      </c>
      <c r="P153" s="13">
        <f t="shared" si="141"/>
        <v>94.209724877926391</v>
      </c>
      <c r="Q153" s="20">
        <f t="shared" si="108"/>
        <v>881.686920829055</v>
      </c>
      <c r="R153" s="59">
        <f t="shared" si="109"/>
        <v>1175.0202541623883</v>
      </c>
      <c r="S153" s="59">
        <f ca="1">AVERAGE(OFFSET($R$3,0,0,'Données projet'!$E$9+1,1))-AVERAGE(OFFSET($H$3,0,0,'Données projet'!$E$9+1,1))</f>
        <v>430.93760474982633</v>
      </c>
      <c r="T153" s="59">
        <f t="shared" si="142"/>
        <v>371.5387876502981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24.467850535412943</v>
      </c>
      <c r="AA153" s="21">
        <f>EXP(-LN(2)/25)*AA152+(1-EXP(-LN(2)/25))/(LN(2)/25)*Calculateur!V153*Calculateur!X153*VLOOKUP('Données projet'!$B$9,Paramètres!$A$1:$I$89,3,0)*0.475*44/12</f>
        <v>2.113577546415768</v>
      </c>
      <c r="AB153" s="21">
        <f>EXP(-LN(2)/2)*AB152+(1-EXP(-LN(2)/2))/(LN(2)/2)*V153*Y153*VLOOKUP('Données projet'!$B$9,Paramètres!$A$1:$I$89,3,0)*0.475*44/12</f>
        <v>4.5419259730086661E-20</v>
      </c>
      <c r="AC153" s="22">
        <f t="shared" si="111"/>
        <v>26.581428081828712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304</v>
      </c>
      <c r="AJ153" s="13">
        <f>AI153*VLOOKUP('Données projet'!$B$10,Paramètres!$A$1:$I$89,3,0)*VLOOKUP('Données projet'!$B$10,Paramètres!$A$1:$I$89,5,0)</f>
        <v>189.696</v>
      </c>
      <c r="AK153" s="13">
        <f t="shared" si="143"/>
        <v>47.472736505152469</v>
      </c>
      <c r="AL153" s="20">
        <f t="shared" si="112"/>
        <v>413.06888274647389</v>
      </c>
      <c r="AM153" s="59">
        <f t="shared" si="113"/>
        <v>706.4022160798072</v>
      </c>
      <c r="AN153" s="59">
        <f ca="1">AVERAGE(OFFSET($AM$3,0,0,'Données projet'!$E$10+1,1))-AVERAGE(OFFSET($H$3,0,0,'Données projet'!$E$10+1,1))</f>
        <v>179.44051550872138</v>
      </c>
      <c r="AO153" s="59">
        <f t="shared" si="144"/>
        <v>272.9500808380069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11.422829690766623</v>
      </c>
      <c r="AV153" s="21">
        <f>EXP(-LN(2)/25)*AV152+(1-EXP(-LN(2)/25))/(LN(2)/25)*Calculateur!AQ153*Calculateur!AS153*VLOOKUP('Données projet'!$B$10,Paramètres!$A$1:$I$89,3,0)*0.475*44/12</f>
        <v>1.7370303391705073</v>
      </c>
      <c r="AW153" s="21">
        <f>EXP(-LN(2)/2)*AW152+(1-EXP(-LN(2)/2))/(LN(2)/2)*AQ153*AT153*VLOOKUP('Données projet'!$B$10,Paramètres!$A$1:$I$89,3,0)*0.475*44/12</f>
        <v>1.9150071981088605E-19</v>
      </c>
      <c r="AX153" s="21">
        <f t="shared" si="114"/>
        <v>13.15986002993713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0.79999999999995453</v>
      </c>
      <c r="BE153" s="13">
        <f>BD153*VLOOKUP('Données projet'!$B$11,Paramètres!$A$1:$I$89,3,0)*VLOOKUP('Données projet'!$B$11,Paramètres!$A$1:$I$89,5,0)</f>
        <v>0.44719999999997456</v>
      </c>
      <c r="BF153" s="13">
        <f t="shared" si="145"/>
        <v>0.22632652264063857</v>
      </c>
      <c r="BG153" s="20">
        <f t="shared" si="115"/>
        <v>1.1730586935990679</v>
      </c>
      <c r="BH153" s="59">
        <f t="shared" si="116"/>
        <v>294.50639202693236</v>
      </c>
      <c r="BI153" s="59">
        <f ca="1">AVERAGE(OFFSET($BH$3,0,0,'Données projet'!$E$11+1,1))-AVERAGE(OFFSET($H$3,0,0,'Données projet'!$E$11+1,1))</f>
        <v>321.85808080442411</v>
      </c>
      <c r="BJ153" s="59">
        <f t="shared" si="146"/>
        <v>285.95942591879702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76.90220965070165</v>
      </c>
      <c r="BQ153" s="21">
        <f>EXP(-LN(2)/25)*BQ152+(1-EXP(-LN(2)/25))/(LN(2)/25)*Calculateur!BL153*Calculateur!BN153*VLOOKUP('Données projet'!$B$11,Paramètres!$A$1:$I$89,3,0)*0.475*44/12</f>
        <v>0.93276888965485127</v>
      </c>
      <c r="BR153" s="21">
        <f>EXP(-LN(2)/2)*BR152+(1-EXP(-LN(2)/2))/(LN(2)/2)*BL153*BO153*VLOOKUP('Données projet'!$B$11,Paramètres!$A$1:$I$89,3,0)*0.475*44/12</f>
        <v>1.5667895542219489E-18</v>
      </c>
      <c r="BS153" s="22">
        <f t="shared" si="117"/>
        <v>77.834978540356502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689</v>
      </c>
      <c r="O154" s="13">
        <f>N154*VLOOKUP('Données projet'!$B$9,Paramètres!$A$1:$I$89,3,0)*VLOOKUP('Données projet'!$B$9,Paramètres!$A$1:$I$89,5,0)</f>
        <v>412.02199999999999</v>
      </c>
      <c r="P154" s="13">
        <f t="shared" si="141"/>
        <v>94.209724877926391</v>
      </c>
      <c r="Q154" s="20">
        <f t="shared" ref="Q154:Q203" si="162">(O154+P154)*0.475*44/12</f>
        <v>881.686920829055</v>
      </c>
      <c r="R154" s="59">
        <f t="shared" si="109"/>
        <v>1175.0202541623883</v>
      </c>
      <c r="S154" s="59">
        <f ca="1">AVERAGE(OFFSET($R$3,0,0,'Données projet'!$E$9+1,1))-AVERAGE(OFFSET($H$3,0,0,'Données projet'!$E$9+1,1))</f>
        <v>430.93760474982633</v>
      </c>
      <c r="T154" s="59">
        <f t="shared" si="142"/>
        <v>371.5387876502981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23.988050910328706</v>
      </c>
      <c r="AA154" s="21">
        <f>EXP(-LN(2)/25)*AA153+(1-EXP(-LN(2)/25))/(LN(2)/25)*Calculateur!V154*Calculateur!X154*VLOOKUP('Données projet'!$B$9,Paramètres!$A$1:$I$89,3,0)*0.475*44/12</f>
        <v>2.0557816572608165</v>
      </c>
      <c r="AB154" s="21">
        <f>EXP(-LN(2)/2)*AB153+(1-EXP(-LN(2)/2))/(LN(2)/2)*V154*Y154*VLOOKUP('Données projet'!$B$9,Paramètres!$A$1:$I$89,3,0)*0.475*44/12</f>
        <v>3.2116266551617358E-20</v>
      </c>
      <c r="AC154" s="22">
        <f t="shared" ref="AC154:AC203" si="163">SUM(Z154:AB154)</f>
        <v>26.043832567589522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304</v>
      </c>
      <c r="AJ154" s="13">
        <f>AI154*VLOOKUP('Données projet'!$B$10,Paramètres!$A$1:$I$89,3,0)*VLOOKUP('Données projet'!$B$10,Paramètres!$A$1:$I$89,5,0)</f>
        <v>189.696</v>
      </c>
      <c r="AK154" s="13">
        <f t="shared" ref="AK154:AK203" si="164">EXP(-1.0587+0.8836*LN(AJ154)+0.284)</f>
        <v>47.472736505152469</v>
      </c>
      <c r="AL154" s="20">
        <f t="shared" ref="AL154:AL203" si="165">(AJ154+AK154)*0.475*44/12</f>
        <v>413.06888274647389</v>
      </c>
      <c r="AM154" s="59">
        <f t="shared" si="113"/>
        <v>706.4022160798072</v>
      </c>
      <c r="AN154" s="59">
        <f ca="1">AVERAGE(OFFSET($AM$3,0,0,'Données projet'!$E$10+1,1))-AVERAGE(OFFSET($H$3,0,0,'Données projet'!$E$10+1,1))</f>
        <v>179.44051550872138</v>
      </c>
      <c r="AO154" s="59">
        <f t="shared" si="144"/>
        <v>272.9500808380069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11.198834967768843</v>
      </c>
      <c r="AV154" s="21">
        <f>EXP(-LN(2)/25)*AV153+(1-EXP(-LN(2)/25))/(LN(2)/25)*Calculateur!AQ154*Calculateur!AS154*VLOOKUP('Données projet'!$B$10,Paramètres!$A$1:$I$89,3,0)*0.475*44/12</f>
        <v>1.6895311531994344</v>
      </c>
      <c r="AW154" s="21">
        <f>EXP(-LN(2)/2)*AW153+(1-EXP(-LN(2)/2))/(LN(2)/2)*AQ154*AT154*VLOOKUP('Données projet'!$B$10,Paramètres!$A$1:$I$89,3,0)*0.475*44/12</f>
        <v>1.3541145758038255E-19</v>
      </c>
      <c r="AX154" s="21">
        <f t="shared" ref="AX154:AX203" si="166">SUM(AU154:AW154)</f>
        <v>12.888366120968277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0.79999999999995453</v>
      </c>
      <c r="BE154" s="13">
        <f>BD154*VLOOKUP('Données projet'!$B$11,Paramètres!$A$1:$I$89,3,0)*VLOOKUP('Données projet'!$B$11,Paramètres!$A$1:$I$89,5,0)</f>
        <v>0.44719999999997456</v>
      </c>
      <c r="BF154" s="13">
        <f t="shared" ref="BF154:BF203" si="167">EXP(-1.0587+0.8836*LN(BE154)+0.284)</f>
        <v>0.22632652264063857</v>
      </c>
      <c r="BG154" s="20">
        <f t="shared" ref="BG154:BG203" si="168">(BE154+BF154)*0.475*44/12</f>
        <v>1.1730586935990679</v>
      </c>
      <c r="BH154" s="59">
        <f t="shared" si="116"/>
        <v>294.50639202693236</v>
      </c>
      <c r="BI154" s="59">
        <f ca="1">AVERAGE(OFFSET($BH$3,0,0,'Données projet'!$E$11+1,1))-AVERAGE(OFFSET($H$3,0,0,'Données projet'!$E$11+1,1))</f>
        <v>321.85808080442411</v>
      </c>
      <c r="BJ154" s="59">
        <f t="shared" si="146"/>
        <v>285.95942591879702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75.394204225167726</v>
      </c>
      <c r="BQ154" s="21">
        <f>EXP(-LN(2)/25)*BQ153+(1-EXP(-LN(2)/25))/(LN(2)/25)*Calculateur!BL154*Calculateur!BN154*VLOOKUP('Données projet'!$B$11,Paramètres!$A$1:$I$89,3,0)*0.475*44/12</f>
        <v>0.90726227531505532</v>
      </c>
      <c r="BR154" s="21">
        <f>EXP(-LN(2)/2)*BR153+(1-EXP(-LN(2)/2))/(LN(2)/2)*BL154*BO154*VLOOKUP('Données projet'!$B$11,Paramètres!$A$1:$I$89,3,0)*0.475*44/12</f>
        <v>1.1078875184825879E-18</v>
      </c>
      <c r="BS154" s="22">
        <f t="shared" ref="BS154:BS203" si="169">SUM(BP154:BR154)</f>
        <v>76.301466500482775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689</v>
      </c>
      <c r="O155" s="13">
        <f>N155*VLOOKUP('Données projet'!$B$9,Paramètres!$A$1:$I$89,3,0)*VLOOKUP('Données projet'!$B$9,Paramètres!$A$1:$I$89,5,0)</f>
        <v>412.02199999999999</v>
      </c>
      <c r="P155" s="13">
        <f t="shared" si="141"/>
        <v>94.209724877926391</v>
      </c>
      <c r="Q155" s="20">
        <f t="shared" si="162"/>
        <v>881.686920829055</v>
      </c>
      <c r="R155" s="59">
        <f t="shared" si="109"/>
        <v>1175.0202541623883</v>
      </c>
      <c r="S155" s="59">
        <f ca="1">AVERAGE(OFFSET($R$3,0,0,'Données projet'!$E$9+1,1))-AVERAGE(OFFSET($H$3,0,0,'Données projet'!$E$9+1,1))</f>
        <v>430.93760474982633</v>
      </c>
      <c r="T155" s="59">
        <f t="shared" si="142"/>
        <v>371.5387876502981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23.517659863243498</v>
      </c>
      <c r="AA155" s="21">
        <f>EXP(-LN(2)/25)*AA154+(1-EXP(-LN(2)/25))/(LN(2)/25)*Calculateur!V155*Calculateur!X155*VLOOKUP('Données projet'!$B$9,Paramètres!$A$1:$I$89,3,0)*0.475*44/12</f>
        <v>1.9995661997341607</v>
      </c>
      <c r="AB155" s="21">
        <f>EXP(-LN(2)/2)*AB154+(1-EXP(-LN(2)/2))/(LN(2)/2)*V155*Y155*VLOOKUP('Données projet'!$B$9,Paramètres!$A$1:$I$89,3,0)*0.475*44/12</f>
        <v>2.2709629865043331E-20</v>
      </c>
      <c r="AC155" s="22">
        <f t="shared" si="163"/>
        <v>25.517226062977659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304</v>
      </c>
      <c r="AJ155" s="13">
        <f>AI155*VLOOKUP('Données projet'!$B$10,Paramètres!$A$1:$I$89,3,0)*VLOOKUP('Données projet'!$B$10,Paramètres!$A$1:$I$89,5,0)</f>
        <v>189.696</v>
      </c>
      <c r="AK155" s="13">
        <f t="shared" si="164"/>
        <v>47.472736505152469</v>
      </c>
      <c r="AL155" s="20">
        <f t="shared" si="165"/>
        <v>413.06888274647389</v>
      </c>
      <c r="AM155" s="59">
        <f t="shared" si="113"/>
        <v>706.4022160798072</v>
      </c>
      <c r="AN155" s="59">
        <f ca="1">AVERAGE(OFFSET($AM$3,0,0,'Données projet'!$E$10+1,1))-AVERAGE(OFFSET($H$3,0,0,'Données projet'!$E$10+1,1))</f>
        <v>179.44051550872138</v>
      </c>
      <c r="AO155" s="59">
        <f t="shared" si="144"/>
        <v>272.9500808380069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10.979232644665759</v>
      </c>
      <c r="AV155" s="21">
        <f>EXP(-LN(2)/25)*AV154+(1-EXP(-LN(2)/25))/(LN(2)/25)*Calculateur!AQ155*Calculateur!AS155*VLOOKUP('Données projet'!$B$10,Paramètres!$A$1:$I$89,3,0)*0.475*44/12</f>
        <v>1.643330834966614</v>
      </c>
      <c r="AW155" s="21">
        <f>EXP(-LN(2)/2)*AW154+(1-EXP(-LN(2)/2))/(LN(2)/2)*AQ155*AT155*VLOOKUP('Données projet'!$B$10,Paramètres!$A$1:$I$89,3,0)*0.475*44/12</f>
        <v>9.5750359905443026E-20</v>
      </c>
      <c r="AX155" s="21">
        <f t="shared" si="166"/>
        <v>12.622563479632372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0.79999999999995453</v>
      </c>
      <c r="BE155" s="13">
        <f>BD155*VLOOKUP('Données projet'!$B$11,Paramètres!$A$1:$I$89,3,0)*VLOOKUP('Données projet'!$B$11,Paramètres!$A$1:$I$89,5,0)</f>
        <v>0.44719999999997456</v>
      </c>
      <c r="BF155" s="13">
        <f t="shared" si="167"/>
        <v>0.22632652264063857</v>
      </c>
      <c r="BG155" s="20">
        <f t="shared" si="168"/>
        <v>1.1730586935990679</v>
      </c>
      <c r="BH155" s="59">
        <f t="shared" si="116"/>
        <v>294.50639202693236</v>
      </c>
      <c r="BI155" s="59">
        <f ca="1">AVERAGE(OFFSET($BH$3,0,0,'Données projet'!$E$11+1,1))-AVERAGE(OFFSET($H$3,0,0,'Données projet'!$E$11+1,1))</f>
        <v>321.85808080442411</v>
      </c>
      <c r="BJ155" s="59">
        <f t="shared" si="146"/>
        <v>285.95942591879702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73.915769866236033</v>
      </c>
      <c r="BQ155" s="21">
        <f>EXP(-LN(2)/25)*BQ154+(1-EXP(-LN(2)/25))/(LN(2)/25)*Calculateur!BL155*Calculateur!BN155*VLOOKUP('Données projet'!$B$11,Paramètres!$A$1:$I$89,3,0)*0.475*44/12</f>
        <v>0.88245314068571568</v>
      </c>
      <c r="BR155" s="21">
        <f>EXP(-LN(2)/2)*BR154+(1-EXP(-LN(2)/2))/(LN(2)/2)*BL155*BO155*VLOOKUP('Données projet'!$B$11,Paramètres!$A$1:$I$89,3,0)*0.475*44/12</f>
        <v>7.8339477711097443E-19</v>
      </c>
      <c r="BS155" s="22">
        <f t="shared" si="169"/>
        <v>74.798223006921745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689</v>
      </c>
      <c r="O156" s="13">
        <f>N156*VLOOKUP('Données projet'!$B$9,Paramètres!$A$1:$I$89,3,0)*VLOOKUP('Données projet'!$B$9,Paramètres!$A$1:$I$89,5,0)</f>
        <v>412.02199999999999</v>
      </c>
      <c r="P156" s="13">
        <f t="shared" si="141"/>
        <v>94.209724877926391</v>
      </c>
      <c r="Q156" s="20">
        <f t="shared" si="162"/>
        <v>881.686920829055</v>
      </c>
      <c r="R156" s="59">
        <f t="shared" si="109"/>
        <v>1175.0202541623883</v>
      </c>
      <c r="S156" s="59">
        <f ca="1">AVERAGE(OFFSET($R$3,0,0,'Données projet'!$E$9+1,1))-AVERAGE(OFFSET($H$3,0,0,'Données projet'!$E$9+1,1))</f>
        <v>430.93760474982633</v>
      </c>
      <c r="T156" s="59">
        <f t="shared" si="142"/>
        <v>371.5387876502981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23.056492897681423</v>
      </c>
      <c r="AA156" s="21">
        <f>EXP(-LN(2)/25)*AA155+(1-EXP(-LN(2)/25))/(LN(2)/25)*Calculateur!V156*Calculateur!X156*VLOOKUP('Données projet'!$B$9,Paramètres!$A$1:$I$89,3,0)*0.475*44/12</f>
        <v>1.9448879568498136</v>
      </c>
      <c r="AB156" s="21">
        <f>EXP(-LN(2)/2)*AB155+(1-EXP(-LN(2)/2))/(LN(2)/2)*V156*Y156*VLOOKUP('Données projet'!$B$9,Paramètres!$A$1:$I$89,3,0)*0.475*44/12</f>
        <v>1.6058133275808679E-20</v>
      </c>
      <c r="AC156" s="22">
        <f t="shared" si="163"/>
        <v>25.001380854531238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304</v>
      </c>
      <c r="AJ156" s="13">
        <f>AI156*VLOOKUP('Données projet'!$B$10,Paramètres!$A$1:$I$89,3,0)*VLOOKUP('Données projet'!$B$10,Paramètres!$A$1:$I$89,5,0)</f>
        <v>189.696</v>
      </c>
      <c r="AK156" s="13">
        <f t="shared" si="164"/>
        <v>47.472736505152469</v>
      </c>
      <c r="AL156" s="20">
        <f t="shared" si="165"/>
        <v>413.06888274647389</v>
      </c>
      <c r="AM156" s="59">
        <f t="shared" si="113"/>
        <v>706.4022160798072</v>
      </c>
      <c r="AN156" s="59">
        <f ca="1">AVERAGE(OFFSET($AM$3,0,0,'Données projet'!$E$10+1,1))-AVERAGE(OFFSET($H$3,0,0,'Données projet'!$E$10+1,1))</f>
        <v>179.44051550872138</v>
      </c>
      <c r="AO156" s="59">
        <f t="shared" si="144"/>
        <v>272.9500808380069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10.763936589174534</v>
      </c>
      <c r="AV156" s="21">
        <f>EXP(-LN(2)/25)*AV155+(1-EXP(-LN(2)/25))/(LN(2)/25)*Calculateur!AQ156*Calculateur!AS156*VLOOKUP('Données projet'!$B$10,Paramètres!$A$1:$I$89,3,0)*0.475*44/12</f>
        <v>1.5983938668654392</v>
      </c>
      <c r="AW156" s="21">
        <f>EXP(-LN(2)/2)*AW155+(1-EXP(-LN(2)/2))/(LN(2)/2)*AQ156*AT156*VLOOKUP('Données projet'!$B$10,Paramètres!$A$1:$I$89,3,0)*0.475*44/12</f>
        <v>6.7705728790191274E-20</v>
      </c>
      <c r="AX156" s="21">
        <f t="shared" si="166"/>
        <v>12.362330456039974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0.79999999999995453</v>
      </c>
      <c r="BE156" s="13">
        <f>BD156*VLOOKUP('Données projet'!$B$11,Paramètres!$A$1:$I$89,3,0)*VLOOKUP('Données projet'!$B$11,Paramètres!$A$1:$I$89,5,0)</f>
        <v>0.44719999999997456</v>
      </c>
      <c r="BF156" s="13">
        <f t="shared" si="167"/>
        <v>0.22632652264063857</v>
      </c>
      <c r="BG156" s="20">
        <f t="shared" si="168"/>
        <v>1.1730586935990679</v>
      </c>
      <c r="BH156" s="59">
        <f t="shared" si="116"/>
        <v>294.50639202693236</v>
      </c>
      <c r="BI156" s="59">
        <f ca="1">AVERAGE(OFFSET($BH$3,0,0,'Données projet'!$E$11+1,1))-AVERAGE(OFFSET($H$3,0,0,'Données projet'!$E$11+1,1))</f>
        <v>321.85808080442411</v>
      </c>
      <c r="BJ156" s="59">
        <f t="shared" si="146"/>
        <v>285.95942591879702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72.46632670332707</v>
      </c>
      <c r="BQ156" s="21">
        <f>EXP(-LN(2)/25)*BQ155+(1-EXP(-LN(2)/25))/(LN(2)/25)*Calculateur!BL156*Calculateur!BN156*VLOOKUP('Données projet'!$B$11,Paramètres!$A$1:$I$89,3,0)*0.475*44/12</f>
        <v>0.85832241314747093</v>
      </c>
      <c r="BR156" s="21">
        <f>EXP(-LN(2)/2)*BR155+(1-EXP(-LN(2)/2))/(LN(2)/2)*BL156*BO156*VLOOKUP('Données projet'!$B$11,Paramètres!$A$1:$I$89,3,0)*0.475*44/12</f>
        <v>5.5394375924129396E-19</v>
      </c>
      <c r="BS156" s="22">
        <f t="shared" si="169"/>
        <v>73.324649116474546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689</v>
      </c>
      <c r="O157" s="13">
        <f>N157*VLOOKUP('Données projet'!$B$9,Paramètres!$A$1:$I$89,3,0)*VLOOKUP('Données projet'!$B$9,Paramètres!$A$1:$I$89,5,0)</f>
        <v>412.02199999999999</v>
      </c>
      <c r="P157" s="13">
        <f t="shared" si="141"/>
        <v>94.209724877926391</v>
      </c>
      <c r="Q157" s="20">
        <f t="shared" si="162"/>
        <v>881.686920829055</v>
      </c>
      <c r="R157" s="59">
        <f t="shared" si="109"/>
        <v>1175.0202541623883</v>
      </c>
      <c r="S157" s="59">
        <f ca="1">AVERAGE(OFFSET($R$3,0,0,'Données projet'!$E$9+1,1))-AVERAGE(OFFSET($H$3,0,0,'Données projet'!$E$9+1,1))</f>
        <v>430.93760474982633</v>
      </c>
      <c r="T157" s="59">
        <f t="shared" si="142"/>
        <v>371.5387876502981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22.604369135029945</v>
      </c>
      <c r="AA157" s="21">
        <f>EXP(-LN(2)/25)*AA156+(1-EXP(-LN(2)/25))/(LN(2)/25)*Calculateur!V157*Calculateur!X157*VLOOKUP('Données projet'!$B$9,Paramètres!$A$1:$I$89,3,0)*0.475*44/12</f>
        <v>1.8917048933925429</v>
      </c>
      <c r="AB157" s="21">
        <f>EXP(-LN(2)/2)*AB156+(1-EXP(-LN(2)/2))/(LN(2)/2)*V157*Y157*VLOOKUP('Données projet'!$B$9,Paramètres!$A$1:$I$89,3,0)*0.475*44/12</f>
        <v>1.1354814932521665E-20</v>
      </c>
      <c r="AC157" s="22">
        <f t="shared" si="163"/>
        <v>24.496074028422488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304</v>
      </c>
      <c r="AJ157" s="13">
        <f>AI157*VLOOKUP('Données projet'!$B$10,Paramètres!$A$1:$I$89,3,0)*VLOOKUP('Données projet'!$B$10,Paramètres!$A$1:$I$89,5,0)</f>
        <v>189.696</v>
      </c>
      <c r="AK157" s="13">
        <f t="shared" si="164"/>
        <v>47.472736505152469</v>
      </c>
      <c r="AL157" s="20">
        <f t="shared" si="165"/>
        <v>413.06888274647389</v>
      </c>
      <c r="AM157" s="59">
        <f t="shared" si="113"/>
        <v>706.4022160798072</v>
      </c>
      <c r="AN157" s="59">
        <f ca="1">AVERAGE(OFFSET($AM$3,0,0,'Données projet'!$E$10+1,1))-AVERAGE(OFFSET($H$3,0,0,'Données projet'!$E$10+1,1))</f>
        <v>179.44051550872138</v>
      </c>
      <c r="AO157" s="59">
        <f t="shared" si="144"/>
        <v>272.9500808380069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10.552862358013867</v>
      </c>
      <c r="AV157" s="21">
        <f>EXP(-LN(2)/25)*AV156+(1-EXP(-LN(2)/25))/(LN(2)/25)*Calculateur!AQ157*Calculateur!AS157*VLOOKUP('Données projet'!$B$10,Paramètres!$A$1:$I$89,3,0)*0.475*44/12</f>
        <v>1.5546857025201235</v>
      </c>
      <c r="AW157" s="21">
        <f>EXP(-LN(2)/2)*AW156+(1-EXP(-LN(2)/2))/(LN(2)/2)*AQ157*AT157*VLOOKUP('Données projet'!$B$10,Paramètres!$A$1:$I$89,3,0)*0.475*44/12</f>
        <v>4.7875179952721513E-20</v>
      </c>
      <c r="AX157" s="21">
        <f t="shared" si="166"/>
        <v>12.10754806053399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0.79999999999995453</v>
      </c>
      <c r="BE157" s="13">
        <f>BD157*VLOOKUP('Données projet'!$B$11,Paramètres!$A$1:$I$89,3,0)*VLOOKUP('Données projet'!$B$11,Paramètres!$A$1:$I$89,5,0)</f>
        <v>0.44719999999997456</v>
      </c>
      <c r="BF157" s="13">
        <f t="shared" si="167"/>
        <v>0.22632652264063857</v>
      </c>
      <c r="BG157" s="20">
        <f t="shared" si="168"/>
        <v>1.1730586935990679</v>
      </c>
      <c r="BH157" s="59">
        <f t="shared" si="116"/>
        <v>294.50639202693236</v>
      </c>
      <c r="BI157" s="59">
        <f ca="1">AVERAGE(OFFSET($BH$3,0,0,'Données projet'!$E$11+1,1))-AVERAGE(OFFSET($H$3,0,0,'Données projet'!$E$11+1,1))</f>
        <v>321.85808080442411</v>
      </c>
      <c r="BJ157" s="59">
        <f t="shared" si="146"/>
        <v>285.95942591879702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71.045306236769719</v>
      </c>
      <c r="BQ157" s="21">
        <f>EXP(-LN(2)/25)*BQ156+(1-EXP(-LN(2)/25))/(LN(2)/25)*Calculateur!BL157*Calculateur!BN157*VLOOKUP('Données projet'!$B$11,Paramètres!$A$1:$I$89,3,0)*0.475*44/12</f>
        <v>0.83485154162273933</v>
      </c>
      <c r="BR157" s="21">
        <f>EXP(-LN(2)/2)*BR156+(1-EXP(-LN(2)/2))/(LN(2)/2)*BL157*BO157*VLOOKUP('Données projet'!$B$11,Paramètres!$A$1:$I$89,3,0)*0.475*44/12</f>
        <v>3.9169738855548721E-19</v>
      </c>
      <c r="BS157" s="22">
        <f t="shared" si="169"/>
        <v>71.880157778392459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689</v>
      </c>
      <c r="O158" s="13">
        <f>N158*VLOOKUP('Données projet'!$B$9,Paramètres!$A$1:$I$89,3,0)*VLOOKUP('Données projet'!$B$9,Paramètres!$A$1:$I$89,5,0)</f>
        <v>412.02199999999999</v>
      </c>
      <c r="P158" s="13">
        <f t="shared" si="141"/>
        <v>94.209724877926391</v>
      </c>
      <c r="Q158" s="20">
        <f t="shared" si="162"/>
        <v>881.686920829055</v>
      </c>
      <c r="R158" s="59">
        <f t="shared" si="109"/>
        <v>1175.0202541623883</v>
      </c>
      <c r="S158" s="59">
        <f ca="1">AVERAGE(OFFSET($R$3,0,0,'Données projet'!$E$9+1,1))-AVERAGE(OFFSET($H$3,0,0,'Données projet'!$E$9+1,1))</f>
        <v>430.93760474982633</v>
      </c>
      <c r="T158" s="59">
        <f t="shared" si="142"/>
        <v>371.5387876502981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22.161111243595798</v>
      </c>
      <c r="AA158" s="21">
        <f>EXP(-LN(2)/25)*AA157+(1-EXP(-LN(2)/25))/(LN(2)/25)*Calculateur!V158*Calculateur!X158*VLOOKUP('Données projet'!$B$9,Paramètres!$A$1:$I$89,3,0)*0.475*44/12</f>
        <v>1.8399761236022869</v>
      </c>
      <c r="AB158" s="21">
        <f>EXP(-LN(2)/2)*AB157+(1-EXP(-LN(2)/2))/(LN(2)/2)*V158*Y158*VLOOKUP('Données projet'!$B$9,Paramètres!$A$1:$I$89,3,0)*0.475*44/12</f>
        <v>8.0290666379043395E-21</v>
      </c>
      <c r="AC158" s="22">
        <f t="shared" si="163"/>
        <v>24.001087367198085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304</v>
      </c>
      <c r="AJ158" s="13">
        <f>AI158*VLOOKUP('Données projet'!$B$10,Paramètres!$A$1:$I$89,3,0)*VLOOKUP('Données projet'!$B$10,Paramètres!$A$1:$I$89,5,0)</f>
        <v>189.696</v>
      </c>
      <c r="AK158" s="13">
        <f t="shared" si="164"/>
        <v>47.472736505152469</v>
      </c>
      <c r="AL158" s="20">
        <f t="shared" si="165"/>
        <v>413.06888274647389</v>
      </c>
      <c r="AM158" s="59">
        <f t="shared" si="113"/>
        <v>706.4022160798072</v>
      </c>
      <c r="AN158" s="59">
        <f ca="1">AVERAGE(OFFSET($AM$3,0,0,'Données projet'!$E$10+1,1))-AVERAGE(OFFSET($H$3,0,0,'Données projet'!$E$10+1,1))</f>
        <v>179.44051550872138</v>
      </c>
      <c r="AO158" s="59">
        <f t="shared" si="144"/>
        <v>272.9500808380069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10.34592716378369</v>
      </c>
      <c r="AV158" s="21">
        <f>EXP(-LN(2)/25)*AV157+(1-EXP(-LN(2)/25))/(LN(2)/25)*Calculateur!AQ158*Calculateur!AS158*VLOOKUP('Données projet'!$B$10,Paramètres!$A$1:$I$89,3,0)*0.475*44/12</f>
        <v>1.5121727402273428</v>
      </c>
      <c r="AW158" s="21">
        <f>EXP(-LN(2)/2)*AW157+(1-EXP(-LN(2)/2))/(LN(2)/2)*AQ158*AT158*VLOOKUP('Données projet'!$B$10,Paramètres!$A$1:$I$89,3,0)*0.475*44/12</f>
        <v>3.3852864395095637E-20</v>
      </c>
      <c r="AX158" s="21">
        <f t="shared" si="166"/>
        <v>11.858099904011032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0.79999999999995453</v>
      </c>
      <c r="BE158" s="13">
        <f>BD158*VLOOKUP('Données projet'!$B$11,Paramètres!$A$1:$I$89,3,0)*VLOOKUP('Données projet'!$B$11,Paramètres!$A$1:$I$89,5,0)</f>
        <v>0.44719999999997456</v>
      </c>
      <c r="BF158" s="13">
        <f t="shared" si="167"/>
        <v>0.22632652264063857</v>
      </c>
      <c r="BG158" s="20">
        <f t="shared" si="168"/>
        <v>1.1730586935990679</v>
      </c>
      <c r="BH158" s="59">
        <f t="shared" si="116"/>
        <v>294.50639202693236</v>
      </c>
      <c r="BI158" s="59">
        <f ca="1">AVERAGE(OFFSET($BH$3,0,0,'Données projet'!$E$11+1,1))-AVERAGE(OFFSET($H$3,0,0,'Données projet'!$E$11+1,1))</f>
        <v>321.85808080442411</v>
      </c>
      <c r="BJ158" s="59">
        <f t="shared" si="146"/>
        <v>285.95942591879702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69.652151114824662</v>
      </c>
      <c r="BQ158" s="21">
        <f>EXP(-LN(2)/25)*BQ157+(1-EXP(-LN(2)/25))/(LN(2)/25)*Calculateur!BL158*Calculateur!BN158*VLOOKUP('Données projet'!$B$11,Paramètres!$A$1:$I$89,3,0)*0.475*44/12</f>
        <v>0.81202248231413099</v>
      </c>
      <c r="BR158" s="21">
        <f>EXP(-LN(2)/2)*BR157+(1-EXP(-LN(2)/2))/(LN(2)/2)*BL158*BO158*VLOOKUP('Données projet'!$B$11,Paramètres!$A$1:$I$89,3,0)*0.475*44/12</f>
        <v>2.7697187962064698E-19</v>
      </c>
      <c r="BS158" s="22">
        <f t="shared" si="169"/>
        <v>70.464173597138796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689</v>
      </c>
      <c r="O159" s="13">
        <f>N159*VLOOKUP('Données projet'!$B$9,Paramètres!$A$1:$I$89,3,0)*VLOOKUP('Données projet'!$B$9,Paramètres!$A$1:$I$89,5,0)</f>
        <v>412.02199999999999</v>
      </c>
      <c r="P159" s="13">
        <f t="shared" si="141"/>
        <v>94.209724877926391</v>
      </c>
      <c r="Q159" s="20">
        <f t="shared" si="162"/>
        <v>881.686920829055</v>
      </c>
      <c r="R159" s="59">
        <f t="shared" si="109"/>
        <v>1175.0202541623883</v>
      </c>
      <c r="S159" s="59">
        <f ca="1">AVERAGE(OFFSET($R$3,0,0,'Données projet'!$E$9+1,1))-AVERAGE(OFFSET($H$3,0,0,'Données projet'!$E$9+1,1))</f>
        <v>430.93760474982633</v>
      </c>
      <c r="T159" s="59">
        <f t="shared" si="142"/>
        <v>371.5387876502981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21.726545369052054</v>
      </c>
      <c r="AA159" s="21">
        <f>EXP(-LN(2)/25)*AA158+(1-EXP(-LN(2)/25))/(LN(2)/25)*Calculateur!V159*Calculateur!X159*VLOOKUP('Données projet'!$B$9,Paramètres!$A$1:$I$89,3,0)*0.475*44/12</f>
        <v>1.7896618797422434</v>
      </c>
      <c r="AB159" s="21">
        <f>EXP(-LN(2)/2)*AB158+(1-EXP(-LN(2)/2))/(LN(2)/2)*V159*Y159*VLOOKUP('Données projet'!$B$9,Paramètres!$A$1:$I$89,3,0)*0.475*44/12</f>
        <v>5.6774074662608327E-21</v>
      </c>
      <c r="AC159" s="22">
        <f t="shared" si="163"/>
        <v>23.516207248794299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304</v>
      </c>
      <c r="AJ159" s="13">
        <f>AI159*VLOOKUP('Données projet'!$B$10,Paramètres!$A$1:$I$89,3,0)*VLOOKUP('Données projet'!$B$10,Paramètres!$A$1:$I$89,5,0)</f>
        <v>189.696</v>
      </c>
      <c r="AK159" s="13">
        <f t="shared" si="164"/>
        <v>47.472736505152469</v>
      </c>
      <c r="AL159" s="20">
        <f t="shared" si="165"/>
        <v>413.06888274647389</v>
      </c>
      <c r="AM159" s="59">
        <f t="shared" si="113"/>
        <v>706.4022160798072</v>
      </c>
      <c r="AN159" s="59">
        <f ca="1">AVERAGE(OFFSET($AM$3,0,0,'Données projet'!$E$10+1,1))-AVERAGE(OFFSET($H$3,0,0,'Données projet'!$E$10+1,1))</f>
        <v>179.44051550872138</v>
      </c>
      <c r="AO159" s="59">
        <f t="shared" si="144"/>
        <v>272.9500808380069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10.143049842494362</v>
      </c>
      <c r="AV159" s="21">
        <f>EXP(-LN(2)/25)*AV158+(1-EXP(-LN(2)/25))/(LN(2)/25)*Calculateur!AQ159*Calculateur!AS159*VLOOKUP('Données projet'!$B$10,Paramètres!$A$1:$I$89,3,0)*0.475*44/12</f>
        <v>1.4708222971241178</v>
      </c>
      <c r="AW159" s="21">
        <f>EXP(-LN(2)/2)*AW158+(1-EXP(-LN(2)/2))/(LN(2)/2)*AQ159*AT159*VLOOKUP('Données projet'!$B$10,Paramètres!$A$1:$I$89,3,0)*0.475*44/12</f>
        <v>2.3937589976360756E-20</v>
      </c>
      <c r="AX159" s="21">
        <f t="shared" si="166"/>
        <v>11.613872139618479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0.79999999999995453</v>
      </c>
      <c r="BE159" s="13">
        <f>BD159*VLOOKUP('Données projet'!$B$11,Paramètres!$A$1:$I$89,3,0)*VLOOKUP('Données projet'!$B$11,Paramètres!$A$1:$I$89,5,0)</f>
        <v>0.44719999999997456</v>
      </c>
      <c r="BF159" s="13">
        <f t="shared" si="167"/>
        <v>0.22632652264063857</v>
      </c>
      <c r="BG159" s="20">
        <f t="shared" si="168"/>
        <v>1.1730586935990679</v>
      </c>
      <c r="BH159" s="59">
        <f t="shared" si="116"/>
        <v>294.50639202693236</v>
      </c>
      <c r="BI159" s="59">
        <f ca="1">AVERAGE(OFFSET($BH$3,0,0,'Données projet'!$E$11+1,1))-AVERAGE(OFFSET($H$3,0,0,'Données projet'!$E$11+1,1))</f>
        <v>321.85808080442411</v>
      </c>
      <c r="BJ159" s="59">
        <f t="shared" si="146"/>
        <v>285.95942591879702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68.286314915080226</v>
      </c>
      <c r="BQ159" s="21">
        <f>EXP(-LN(2)/25)*BQ158+(1-EXP(-LN(2)/25))/(LN(2)/25)*Calculateur!BL159*Calculateur!BN159*VLOOKUP('Données projet'!$B$11,Paramètres!$A$1:$I$89,3,0)*0.475*44/12</f>
        <v>0.78981768483284465</v>
      </c>
      <c r="BR159" s="21">
        <f>EXP(-LN(2)/2)*BR158+(1-EXP(-LN(2)/2))/(LN(2)/2)*BL159*BO159*VLOOKUP('Données projet'!$B$11,Paramètres!$A$1:$I$89,3,0)*0.475*44/12</f>
        <v>1.9584869427774361E-19</v>
      </c>
      <c r="BS159" s="22">
        <f t="shared" si="169"/>
        <v>69.076132599913066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689</v>
      </c>
      <c r="O160" s="13">
        <f>N160*VLOOKUP('Données projet'!$B$9,Paramètres!$A$1:$I$89,3,0)*VLOOKUP('Données projet'!$B$9,Paramètres!$A$1:$I$89,5,0)</f>
        <v>412.02199999999999</v>
      </c>
      <c r="P160" s="13">
        <f t="shared" si="141"/>
        <v>94.209724877926391</v>
      </c>
      <c r="Q160" s="20">
        <f t="shared" si="162"/>
        <v>881.686920829055</v>
      </c>
      <c r="R160" s="59">
        <f t="shared" si="109"/>
        <v>1175.0202541623883</v>
      </c>
      <c r="S160" s="59">
        <f ca="1">AVERAGE(OFFSET($R$3,0,0,'Données projet'!$E$9+1,1))-AVERAGE(OFFSET($H$3,0,0,'Données projet'!$E$9+1,1))</f>
        <v>430.93760474982633</v>
      </c>
      <c r="T160" s="59">
        <f t="shared" si="142"/>
        <v>371.5387876502981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21.300501066249105</v>
      </c>
      <c r="AA160" s="21">
        <f>EXP(-LN(2)/25)*AA159+(1-EXP(-LN(2)/25))/(LN(2)/25)*Calculateur!V160*Calculateur!X160*VLOOKUP('Données projet'!$B$9,Paramètres!$A$1:$I$89,3,0)*0.475*44/12</f>
        <v>1.7407234815264638</v>
      </c>
      <c r="AB160" s="21">
        <f>EXP(-LN(2)/2)*AB159+(1-EXP(-LN(2)/2))/(LN(2)/2)*V160*Y160*VLOOKUP('Données projet'!$B$9,Paramètres!$A$1:$I$89,3,0)*0.475*44/12</f>
        <v>4.0145333189521697E-21</v>
      </c>
      <c r="AC160" s="22">
        <f t="shared" si="163"/>
        <v>23.041224547775567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304</v>
      </c>
      <c r="AJ160" s="13">
        <f>AI160*VLOOKUP('Données projet'!$B$10,Paramètres!$A$1:$I$89,3,0)*VLOOKUP('Données projet'!$B$10,Paramètres!$A$1:$I$89,5,0)</f>
        <v>189.696</v>
      </c>
      <c r="AK160" s="13">
        <f t="shared" si="164"/>
        <v>47.472736505152469</v>
      </c>
      <c r="AL160" s="20">
        <f t="shared" si="165"/>
        <v>413.06888274647389</v>
      </c>
      <c r="AM160" s="59">
        <f t="shared" si="113"/>
        <v>706.4022160798072</v>
      </c>
      <c r="AN160" s="59">
        <f ca="1">AVERAGE(OFFSET($AM$3,0,0,'Données projet'!$E$10+1,1))-AVERAGE(OFFSET($H$3,0,0,'Données projet'!$E$10+1,1))</f>
        <v>179.44051550872138</v>
      </c>
      <c r="AO160" s="59">
        <f t="shared" si="144"/>
        <v>272.9500808380069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9.9441508217325705</v>
      </c>
      <c r="AV160" s="21">
        <f>EXP(-LN(2)/25)*AV159+(1-EXP(-LN(2)/25))/(LN(2)/25)*Calculateur!AQ160*Calculateur!AS160*VLOOKUP('Données projet'!$B$10,Paramètres!$A$1:$I$89,3,0)*0.475*44/12</f>
        <v>1.4306025840620757</v>
      </c>
      <c r="AW160" s="21">
        <f>EXP(-LN(2)/2)*AW159+(1-EXP(-LN(2)/2))/(LN(2)/2)*AQ160*AT160*VLOOKUP('Données projet'!$B$10,Paramètres!$A$1:$I$89,3,0)*0.475*44/12</f>
        <v>1.6926432197547818E-20</v>
      </c>
      <c r="AX160" s="21">
        <f t="shared" si="166"/>
        <v>11.374753405794646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0.79999999999995453</v>
      </c>
      <c r="BE160" s="13">
        <f>BD160*VLOOKUP('Données projet'!$B$11,Paramètres!$A$1:$I$89,3,0)*VLOOKUP('Données projet'!$B$11,Paramètres!$A$1:$I$89,5,0)</f>
        <v>0.44719999999997456</v>
      </c>
      <c r="BF160" s="13">
        <f t="shared" si="167"/>
        <v>0.22632652264063857</v>
      </c>
      <c r="BG160" s="20">
        <f t="shared" si="168"/>
        <v>1.1730586935990679</v>
      </c>
      <c r="BH160" s="59">
        <f t="shared" si="116"/>
        <v>294.50639202693236</v>
      </c>
      <c r="BI160" s="59">
        <f ca="1">AVERAGE(OFFSET($BH$3,0,0,'Données projet'!$E$11+1,1))-AVERAGE(OFFSET($H$3,0,0,'Données projet'!$E$11+1,1))</f>
        <v>321.85808080442411</v>
      </c>
      <c r="BJ160" s="59">
        <f t="shared" si="146"/>
        <v>285.95942591879702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66.947261930134957</v>
      </c>
      <c r="BQ160" s="21">
        <f>EXP(-LN(2)/25)*BQ159+(1-EXP(-LN(2)/25))/(LN(2)/25)*Calculateur!BL160*Calculateur!BN160*VLOOKUP('Données projet'!$B$11,Paramètres!$A$1:$I$89,3,0)*0.475*44/12</f>
        <v>0.76822007870638365</v>
      </c>
      <c r="BR160" s="21">
        <f>EXP(-LN(2)/2)*BR159+(1-EXP(-LN(2)/2))/(LN(2)/2)*BL160*BO160*VLOOKUP('Données projet'!$B$11,Paramètres!$A$1:$I$89,3,0)*0.475*44/12</f>
        <v>1.3848593981032349E-19</v>
      </c>
      <c r="BS160" s="22">
        <f t="shared" si="169"/>
        <v>67.715482008841335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689</v>
      </c>
      <c r="O161" s="13">
        <f>N161*VLOOKUP('Données projet'!$B$9,Paramètres!$A$1:$I$89,3,0)*VLOOKUP('Données projet'!$B$9,Paramètres!$A$1:$I$89,5,0)</f>
        <v>412.02199999999999</v>
      </c>
      <c r="P161" s="13">
        <f t="shared" si="141"/>
        <v>94.209724877926391</v>
      </c>
      <c r="Q161" s="20">
        <f t="shared" si="162"/>
        <v>881.686920829055</v>
      </c>
      <c r="R161" s="59">
        <f t="shared" si="109"/>
        <v>1175.0202541623883</v>
      </c>
      <c r="S161" s="59">
        <f ca="1">AVERAGE(OFFSET($R$3,0,0,'Données projet'!$E$9+1,1))-AVERAGE(OFFSET($H$3,0,0,'Données projet'!$E$9+1,1))</f>
        <v>430.93760474982633</v>
      </c>
      <c r="T161" s="59">
        <f t="shared" si="142"/>
        <v>371.5387876502981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20.882811232362755</v>
      </c>
      <c r="AA161" s="21">
        <f>EXP(-LN(2)/25)*AA160+(1-EXP(-LN(2)/25))/(LN(2)/25)*Calculateur!V161*Calculateur!X161*VLOOKUP('Données projet'!$B$9,Paramètres!$A$1:$I$89,3,0)*0.475*44/12</f>
        <v>1.6931233063834532</v>
      </c>
      <c r="AB161" s="21">
        <f>EXP(-LN(2)/2)*AB160+(1-EXP(-LN(2)/2))/(LN(2)/2)*V161*Y161*VLOOKUP('Données projet'!$B$9,Paramètres!$A$1:$I$89,3,0)*0.475*44/12</f>
        <v>2.8387037331304163E-21</v>
      </c>
      <c r="AC161" s="22">
        <f t="shared" si="163"/>
        <v>22.575934538746207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304</v>
      </c>
      <c r="AJ161" s="13">
        <f>AI161*VLOOKUP('Données projet'!$B$10,Paramètres!$A$1:$I$89,3,0)*VLOOKUP('Données projet'!$B$10,Paramètres!$A$1:$I$89,5,0)</f>
        <v>189.696</v>
      </c>
      <c r="AK161" s="13">
        <f t="shared" si="164"/>
        <v>47.472736505152469</v>
      </c>
      <c r="AL161" s="20">
        <f t="shared" si="165"/>
        <v>413.06888274647389</v>
      </c>
      <c r="AM161" s="59">
        <f t="shared" si="113"/>
        <v>706.4022160798072</v>
      </c>
      <c r="AN161" s="59">
        <f ca="1">AVERAGE(OFFSET($AM$3,0,0,'Données projet'!$E$10+1,1))-AVERAGE(OFFSET($H$3,0,0,'Données projet'!$E$10+1,1))</f>
        <v>179.44051550872138</v>
      </c>
      <c r="AO161" s="59">
        <f t="shared" si="144"/>
        <v>272.9500808380069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9.7491520894514938</v>
      </c>
      <c r="AV161" s="21">
        <f>EXP(-LN(2)/25)*AV160+(1-EXP(-LN(2)/25))/(LN(2)/25)*Calculateur!AQ161*Calculateur!AS161*VLOOKUP('Données projet'!$B$10,Paramètres!$A$1:$I$89,3,0)*0.475*44/12</f>
        <v>1.3914826811687782</v>
      </c>
      <c r="AW161" s="21">
        <f>EXP(-LN(2)/2)*AW160+(1-EXP(-LN(2)/2))/(LN(2)/2)*AQ161*AT161*VLOOKUP('Données projet'!$B$10,Paramètres!$A$1:$I$89,3,0)*0.475*44/12</f>
        <v>1.1968794988180378E-20</v>
      </c>
      <c r="AX161" s="21">
        <f t="shared" si="166"/>
        <v>11.140634770620272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0.79999999999995453</v>
      </c>
      <c r="BE161" s="13">
        <f>BD161*VLOOKUP('Données projet'!$B$11,Paramètres!$A$1:$I$89,3,0)*VLOOKUP('Données projet'!$B$11,Paramètres!$A$1:$I$89,5,0)</f>
        <v>0.44719999999997456</v>
      </c>
      <c r="BF161" s="13">
        <f t="shared" si="167"/>
        <v>0.22632652264063857</v>
      </c>
      <c r="BG161" s="20">
        <f t="shared" si="168"/>
        <v>1.1730586935990679</v>
      </c>
      <c r="BH161" s="59">
        <f t="shared" si="116"/>
        <v>294.50639202693236</v>
      </c>
      <c r="BI161" s="59">
        <f ca="1">AVERAGE(OFFSET($BH$3,0,0,'Données projet'!$E$11+1,1))-AVERAGE(OFFSET($H$3,0,0,'Données projet'!$E$11+1,1))</f>
        <v>321.85808080442411</v>
      </c>
      <c r="BJ161" s="59">
        <f t="shared" si="146"/>
        <v>285.95942591879702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65.634466957482786</v>
      </c>
      <c r="BQ161" s="21">
        <f>EXP(-LN(2)/25)*BQ160+(1-EXP(-LN(2)/25))/(LN(2)/25)*Calculateur!BL161*Calculateur!BN161*VLOOKUP('Données projet'!$B$11,Paramètres!$A$1:$I$89,3,0)*0.475*44/12</f>
        <v>0.74721306025521939</v>
      </c>
      <c r="BR161" s="21">
        <f>EXP(-LN(2)/2)*BR160+(1-EXP(-LN(2)/2))/(LN(2)/2)*BL161*BO161*VLOOKUP('Données projet'!$B$11,Paramètres!$A$1:$I$89,3,0)*0.475*44/12</f>
        <v>9.7924347138871803E-20</v>
      </c>
      <c r="BS161" s="22">
        <f t="shared" si="169"/>
        <v>66.381680017738006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689</v>
      </c>
      <c r="O162" s="13">
        <f>N162*VLOOKUP('Données projet'!$B$9,Paramètres!$A$1:$I$89,3,0)*VLOOKUP('Données projet'!$B$9,Paramètres!$A$1:$I$89,5,0)</f>
        <v>412.02199999999999</v>
      </c>
      <c r="P162" s="13">
        <f t="shared" si="141"/>
        <v>94.209724877926391</v>
      </c>
      <c r="Q162" s="20">
        <f t="shared" si="162"/>
        <v>881.686920829055</v>
      </c>
      <c r="R162" s="59">
        <f t="shared" si="109"/>
        <v>1175.0202541623883</v>
      </c>
      <c r="S162" s="59">
        <f ca="1">AVERAGE(OFFSET($R$3,0,0,'Données projet'!$E$9+1,1))-AVERAGE(OFFSET($H$3,0,0,'Données projet'!$E$9+1,1))</f>
        <v>430.93760474982633</v>
      </c>
      <c r="T162" s="59">
        <f t="shared" si="142"/>
        <v>371.5387876502981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20.473312041353275</v>
      </c>
      <c r="AA162" s="21">
        <f>EXP(-LN(2)/25)*AA161+(1-EXP(-LN(2)/25))/(LN(2)/25)*Calculateur!V162*Calculateur!X162*VLOOKUP('Données projet'!$B$9,Paramètres!$A$1:$I$89,3,0)*0.475*44/12</f>
        <v>1.6468247605329127</v>
      </c>
      <c r="AB162" s="21">
        <f>EXP(-LN(2)/2)*AB161+(1-EXP(-LN(2)/2))/(LN(2)/2)*V162*Y162*VLOOKUP('Données projet'!$B$9,Paramètres!$A$1:$I$89,3,0)*0.475*44/12</f>
        <v>2.0072666594760849E-21</v>
      </c>
      <c r="AC162" s="22">
        <f t="shared" si="163"/>
        <v>22.120136801886186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304</v>
      </c>
      <c r="AJ162" s="13">
        <f>AI162*VLOOKUP('Données projet'!$B$10,Paramètres!$A$1:$I$89,3,0)*VLOOKUP('Données projet'!$B$10,Paramètres!$A$1:$I$89,5,0)</f>
        <v>189.696</v>
      </c>
      <c r="AK162" s="13">
        <f t="shared" si="164"/>
        <v>47.472736505152469</v>
      </c>
      <c r="AL162" s="20">
        <f t="shared" si="165"/>
        <v>413.06888274647389</v>
      </c>
      <c r="AM162" s="59">
        <f t="shared" si="113"/>
        <v>706.4022160798072</v>
      </c>
      <c r="AN162" s="59">
        <f ca="1">AVERAGE(OFFSET($AM$3,0,0,'Données projet'!$E$10+1,1))-AVERAGE(OFFSET($H$3,0,0,'Données projet'!$E$10+1,1))</f>
        <v>179.44051550872138</v>
      </c>
      <c r="AO162" s="59">
        <f t="shared" si="144"/>
        <v>272.9500808380069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9.557977163372966</v>
      </c>
      <c r="AV162" s="21">
        <f>EXP(-LN(2)/25)*AV161+(1-EXP(-LN(2)/25))/(LN(2)/25)*Calculateur!AQ162*Calculateur!AS162*VLOOKUP('Données projet'!$B$10,Paramètres!$A$1:$I$89,3,0)*0.475*44/12</f>
        <v>1.353432514077324</v>
      </c>
      <c r="AW162" s="21">
        <f>EXP(-LN(2)/2)*AW161+(1-EXP(-LN(2)/2))/(LN(2)/2)*AQ162*AT162*VLOOKUP('Données projet'!$B$10,Paramètres!$A$1:$I$89,3,0)*0.475*44/12</f>
        <v>8.4632160987739092E-21</v>
      </c>
      <c r="AX162" s="21">
        <f t="shared" si="166"/>
        <v>10.91140967745029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0.79999999999995453</v>
      </c>
      <c r="BE162" s="13">
        <f>BD162*VLOOKUP('Données projet'!$B$11,Paramètres!$A$1:$I$89,3,0)*VLOOKUP('Données projet'!$B$11,Paramètres!$A$1:$I$89,5,0)</f>
        <v>0.44719999999997456</v>
      </c>
      <c r="BF162" s="13">
        <f t="shared" si="167"/>
        <v>0.22632652264063857</v>
      </c>
      <c r="BG162" s="20">
        <f t="shared" si="168"/>
        <v>1.1730586935990679</v>
      </c>
      <c r="BH162" s="59">
        <f t="shared" si="116"/>
        <v>294.50639202693236</v>
      </c>
      <c r="BI162" s="59">
        <f ca="1">AVERAGE(OFFSET($BH$3,0,0,'Données projet'!$E$11+1,1))-AVERAGE(OFFSET($H$3,0,0,'Données projet'!$E$11+1,1))</f>
        <v>321.85808080442411</v>
      </c>
      <c r="BJ162" s="59">
        <f t="shared" si="146"/>
        <v>285.95942591879702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64.34741509351845</v>
      </c>
      <c r="BQ162" s="21">
        <f>EXP(-LN(2)/25)*BQ161+(1-EXP(-LN(2)/25))/(LN(2)/25)*Calculateur!BL162*Calculateur!BN162*VLOOKUP('Données projet'!$B$11,Paramètres!$A$1:$I$89,3,0)*0.475*44/12</f>
        <v>0.7267804798283134</v>
      </c>
      <c r="BR162" s="21">
        <f>EXP(-LN(2)/2)*BR161+(1-EXP(-LN(2)/2))/(LN(2)/2)*BL162*BO162*VLOOKUP('Données projet'!$B$11,Paramètres!$A$1:$I$89,3,0)*0.475*44/12</f>
        <v>6.9242969905161745E-20</v>
      </c>
      <c r="BS162" s="22">
        <f t="shared" si="169"/>
        <v>65.074195573346756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689</v>
      </c>
      <c r="O163" s="13">
        <f>N163*VLOOKUP('Données projet'!$B$9,Paramètres!$A$1:$I$89,3,0)*VLOOKUP('Données projet'!$B$9,Paramètres!$A$1:$I$89,5,0)</f>
        <v>412.02199999999999</v>
      </c>
      <c r="P163" s="13">
        <f t="shared" si="141"/>
        <v>94.209724877926391</v>
      </c>
      <c r="Q163" s="20">
        <f t="shared" si="162"/>
        <v>881.686920829055</v>
      </c>
      <c r="R163" s="59">
        <f t="shared" si="109"/>
        <v>1175.0202541623883</v>
      </c>
      <c r="S163" s="59">
        <f ca="1">AVERAGE(OFFSET($R$3,0,0,'Données projet'!$E$9+1,1))-AVERAGE(OFFSET($H$3,0,0,'Données projet'!$E$9+1,1))</f>
        <v>430.93760474982633</v>
      </c>
      <c r="T163" s="59">
        <f t="shared" si="142"/>
        <v>371.5387876502981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20.071842879709646</v>
      </c>
      <c r="AA163" s="21">
        <f>EXP(-LN(2)/25)*AA162+(1-EXP(-LN(2)/25))/(LN(2)/25)*Calculateur!V163*Calculateur!X163*VLOOKUP('Données projet'!$B$9,Paramètres!$A$1:$I$89,3,0)*0.475*44/12</f>
        <v>1.6017922508533899</v>
      </c>
      <c r="AB163" s="21">
        <f>EXP(-LN(2)/2)*AB162+(1-EXP(-LN(2)/2))/(LN(2)/2)*V163*Y163*VLOOKUP('Données projet'!$B$9,Paramètres!$A$1:$I$89,3,0)*0.475*44/12</f>
        <v>1.4193518665652082E-21</v>
      </c>
      <c r="AC163" s="22">
        <f t="shared" si="163"/>
        <v>21.673635130563035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304</v>
      </c>
      <c r="AJ163" s="13">
        <f>AI163*VLOOKUP('Données projet'!$B$10,Paramètres!$A$1:$I$89,3,0)*VLOOKUP('Données projet'!$B$10,Paramètres!$A$1:$I$89,5,0)</f>
        <v>189.696</v>
      </c>
      <c r="AK163" s="13">
        <f t="shared" si="164"/>
        <v>47.472736505152469</v>
      </c>
      <c r="AL163" s="20">
        <f t="shared" si="165"/>
        <v>413.06888274647389</v>
      </c>
      <c r="AM163" s="59">
        <f t="shared" si="113"/>
        <v>706.4022160798072</v>
      </c>
      <c r="AN163" s="59">
        <f ca="1">AVERAGE(OFFSET($AM$3,0,0,'Données projet'!$E$10+1,1))-AVERAGE(OFFSET($H$3,0,0,'Données projet'!$E$10+1,1))</f>
        <v>179.44051550872138</v>
      </c>
      <c r="AO163" s="59">
        <f t="shared" si="144"/>
        <v>272.9500808380069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9.3705510609896479</v>
      </c>
      <c r="AV163" s="21">
        <f>EXP(-LN(2)/25)*AV162+(1-EXP(-LN(2)/25))/(LN(2)/25)*Calculateur!AQ163*Calculateur!AS163*VLOOKUP('Données projet'!$B$10,Paramètres!$A$1:$I$89,3,0)*0.475*44/12</f>
        <v>1.3164228308059569</v>
      </c>
      <c r="AW163" s="21">
        <f>EXP(-LN(2)/2)*AW162+(1-EXP(-LN(2)/2))/(LN(2)/2)*AQ163*AT163*VLOOKUP('Données projet'!$B$10,Paramètres!$A$1:$I$89,3,0)*0.475*44/12</f>
        <v>5.9843974940901891E-21</v>
      </c>
      <c r="AX163" s="21">
        <f t="shared" si="166"/>
        <v>10.686973891795605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0.79999999999995453</v>
      </c>
      <c r="BE163" s="13">
        <f>BD163*VLOOKUP('Données projet'!$B$11,Paramètres!$A$1:$I$89,3,0)*VLOOKUP('Données projet'!$B$11,Paramètres!$A$1:$I$89,5,0)</f>
        <v>0.44719999999997456</v>
      </c>
      <c r="BF163" s="13">
        <f t="shared" si="167"/>
        <v>0.22632652264063857</v>
      </c>
      <c r="BG163" s="20">
        <f t="shared" si="168"/>
        <v>1.1730586935990679</v>
      </c>
      <c r="BH163" s="59">
        <f t="shared" si="116"/>
        <v>294.50639202693236</v>
      </c>
      <c r="BI163" s="59">
        <f ca="1">AVERAGE(OFFSET($BH$3,0,0,'Données projet'!$E$11+1,1))-AVERAGE(OFFSET($H$3,0,0,'Données projet'!$E$11+1,1))</f>
        <v>321.85808080442411</v>
      </c>
      <c r="BJ163" s="59">
        <f t="shared" si="146"/>
        <v>285.95942591879702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63.085601531582334</v>
      </c>
      <c r="BQ163" s="21">
        <f>EXP(-LN(2)/25)*BQ162+(1-EXP(-LN(2)/25))/(LN(2)/25)*Calculateur!BL163*Calculateur!BN163*VLOOKUP('Données projet'!$B$11,Paramètres!$A$1:$I$89,3,0)*0.475*44/12</f>
        <v>0.70690662938768378</v>
      </c>
      <c r="BR163" s="21">
        <f>EXP(-LN(2)/2)*BR162+(1-EXP(-LN(2)/2))/(LN(2)/2)*BL163*BO163*VLOOKUP('Données projet'!$B$11,Paramètres!$A$1:$I$89,3,0)*0.475*44/12</f>
        <v>4.8962173569435902E-20</v>
      </c>
      <c r="BS163" s="22">
        <f t="shared" si="169"/>
        <v>63.792508160970016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689</v>
      </c>
      <c r="O164" s="13">
        <f>N164*VLOOKUP('Données projet'!$B$9,Paramètres!$A$1:$I$89,3,0)*VLOOKUP('Données projet'!$B$9,Paramètres!$A$1:$I$89,5,0)</f>
        <v>412.02199999999999</v>
      </c>
      <c r="P164" s="13">
        <f t="shared" si="141"/>
        <v>94.209724877926391</v>
      </c>
      <c r="Q164" s="20">
        <f t="shared" si="162"/>
        <v>881.686920829055</v>
      </c>
      <c r="R164" s="59">
        <f t="shared" si="109"/>
        <v>1175.0202541623883</v>
      </c>
      <c r="S164" s="59">
        <f ca="1">AVERAGE(OFFSET($R$3,0,0,'Données projet'!$E$9+1,1))-AVERAGE(OFFSET($H$3,0,0,'Données projet'!$E$9+1,1))</f>
        <v>430.93760474982633</v>
      </c>
      <c r="T164" s="59">
        <f t="shared" si="142"/>
        <v>371.5387876502981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19.678246283453838</v>
      </c>
      <c r="AA164" s="21">
        <f>EXP(-LN(2)/25)*AA163+(1-EXP(-LN(2)/25))/(LN(2)/25)*Calculateur!V164*Calculateur!X164*VLOOKUP('Données projet'!$B$9,Paramètres!$A$1:$I$89,3,0)*0.475*44/12</f>
        <v>1.5579911575192105</v>
      </c>
      <c r="AB164" s="21">
        <f>EXP(-LN(2)/2)*AB163+(1-EXP(-LN(2)/2))/(LN(2)/2)*V164*Y164*VLOOKUP('Données projet'!$B$9,Paramètres!$A$1:$I$89,3,0)*0.475*44/12</f>
        <v>1.0036333297380424E-21</v>
      </c>
      <c r="AC164" s="22">
        <f t="shared" si="163"/>
        <v>21.236237440973049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304</v>
      </c>
      <c r="AJ164" s="13">
        <f>AI164*VLOOKUP('Données projet'!$B$10,Paramètres!$A$1:$I$89,3,0)*VLOOKUP('Données projet'!$B$10,Paramètres!$A$1:$I$89,5,0)</f>
        <v>189.696</v>
      </c>
      <c r="AK164" s="13">
        <f t="shared" si="164"/>
        <v>47.472736505152469</v>
      </c>
      <c r="AL164" s="20">
        <f t="shared" si="165"/>
        <v>413.06888274647389</v>
      </c>
      <c r="AM164" s="59">
        <f t="shared" si="113"/>
        <v>706.4022160798072</v>
      </c>
      <c r="AN164" s="59">
        <f ca="1">AVERAGE(OFFSET($AM$3,0,0,'Données projet'!$E$10+1,1))-AVERAGE(OFFSET($H$3,0,0,'Données projet'!$E$10+1,1))</f>
        <v>179.44051550872138</v>
      </c>
      <c r="AO164" s="59">
        <f t="shared" si="144"/>
        <v>272.9500808380069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9.1868002701554321</v>
      </c>
      <c r="AV164" s="21">
        <f>EXP(-LN(2)/25)*AV163+(1-EXP(-LN(2)/25))/(LN(2)/25)*Calculateur!AQ164*Calculateur!AS164*VLOOKUP('Données projet'!$B$10,Paramètres!$A$1:$I$89,3,0)*0.475*44/12</f>
        <v>1.2804251792699</v>
      </c>
      <c r="AW164" s="21">
        <f>EXP(-LN(2)/2)*AW163+(1-EXP(-LN(2)/2))/(LN(2)/2)*AQ164*AT164*VLOOKUP('Données projet'!$B$10,Paramètres!$A$1:$I$89,3,0)*0.475*44/12</f>
        <v>4.2316080493869546E-21</v>
      </c>
      <c r="AX164" s="21">
        <f t="shared" si="166"/>
        <v>10.467225449425332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0.79999999999995453</v>
      </c>
      <c r="BE164" s="13">
        <f>BD164*VLOOKUP('Données projet'!$B$11,Paramètres!$A$1:$I$89,3,0)*VLOOKUP('Données projet'!$B$11,Paramètres!$A$1:$I$89,5,0)</f>
        <v>0.44719999999997456</v>
      </c>
      <c r="BF164" s="13">
        <f t="shared" si="167"/>
        <v>0.22632652264063857</v>
      </c>
      <c r="BG164" s="20">
        <f t="shared" si="168"/>
        <v>1.1730586935990679</v>
      </c>
      <c r="BH164" s="59">
        <f t="shared" si="116"/>
        <v>294.50639202693236</v>
      </c>
      <c r="BI164" s="59">
        <f ca="1">AVERAGE(OFFSET($BH$3,0,0,'Données projet'!$E$11+1,1))-AVERAGE(OFFSET($H$3,0,0,'Données projet'!$E$11+1,1))</f>
        <v>321.85808080442411</v>
      </c>
      <c r="BJ164" s="59">
        <f t="shared" si="146"/>
        <v>285.95942591879702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61.848531363965513</v>
      </c>
      <c r="BQ164" s="21">
        <f>EXP(-LN(2)/25)*BQ163+(1-EXP(-LN(2)/25))/(LN(2)/25)*Calculateur!BL164*Calculateur!BN164*VLOOKUP('Données projet'!$B$11,Paramètres!$A$1:$I$89,3,0)*0.475*44/12</f>
        <v>0.68757623043247362</v>
      </c>
      <c r="BR164" s="21">
        <f>EXP(-LN(2)/2)*BR163+(1-EXP(-LN(2)/2))/(LN(2)/2)*BL164*BO164*VLOOKUP('Données projet'!$B$11,Paramètres!$A$1:$I$89,3,0)*0.475*44/12</f>
        <v>3.4621484952580872E-20</v>
      </c>
      <c r="BS164" s="22">
        <f t="shared" si="169"/>
        <v>62.53610759439799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689</v>
      </c>
      <c r="O165" s="13">
        <f>N165*VLOOKUP('Données projet'!$B$9,Paramètres!$A$1:$I$89,3,0)*VLOOKUP('Données projet'!$B$9,Paramètres!$A$1:$I$89,5,0)</f>
        <v>412.02199999999999</v>
      </c>
      <c r="P165" s="13">
        <f t="shared" si="141"/>
        <v>94.209724877926391</v>
      </c>
      <c r="Q165" s="20">
        <f t="shared" si="162"/>
        <v>881.686920829055</v>
      </c>
      <c r="R165" s="59">
        <f t="shared" si="109"/>
        <v>1175.0202541623883</v>
      </c>
      <c r="S165" s="59">
        <f ca="1">AVERAGE(OFFSET($R$3,0,0,'Données projet'!$E$9+1,1))-AVERAGE(OFFSET($H$3,0,0,'Données projet'!$E$9+1,1))</f>
        <v>430.93760474982633</v>
      </c>
      <c r="T165" s="59">
        <f t="shared" si="142"/>
        <v>371.5387876502981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19.292367876380389</v>
      </c>
      <c r="AA165" s="21">
        <f>EXP(-LN(2)/25)*AA164+(1-EXP(-LN(2)/25))/(LN(2)/25)*Calculateur!V165*Calculateur!X165*VLOOKUP('Données projet'!$B$9,Paramètres!$A$1:$I$89,3,0)*0.475*44/12</f>
        <v>1.5153878073856535</v>
      </c>
      <c r="AB165" s="21">
        <f>EXP(-LN(2)/2)*AB164+(1-EXP(-LN(2)/2))/(LN(2)/2)*V165*Y165*VLOOKUP('Données projet'!$B$9,Paramètres!$A$1:$I$89,3,0)*0.475*44/12</f>
        <v>7.0967593328260408E-22</v>
      </c>
      <c r="AC165" s="22">
        <f t="shared" si="163"/>
        <v>20.807755683766043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304</v>
      </c>
      <c r="AJ165" s="13">
        <f>AI165*VLOOKUP('Données projet'!$B$10,Paramètres!$A$1:$I$89,3,0)*VLOOKUP('Données projet'!$B$10,Paramètres!$A$1:$I$89,5,0)</f>
        <v>189.696</v>
      </c>
      <c r="AK165" s="13">
        <f t="shared" si="164"/>
        <v>47.472736505152469</v>
      </c>
      <c r="AL165" s="20">
        <f t="shared" si="165"/>
        <v>413.06888274647389</v>
      </c>
      <c r="AM165" s="59">
        <f t="shared" si="113"/>
        <v>706.4022160798072</v>
      </c>
      <c r="AN165" s="59">
        <f ca="1">AVERAGE(OFFSET($AM$3,0,0,'Données projet'!$E$10+1,1))-AVERAGE(OFFSET($H$3,0,0,'Données projet'!$E$10+1,1))</f>
        <v>179.44051550872138</v>
      </c>
      <c r="AO165" s="59">
        <f t="shared" si="144"/>
        <v>272.9500808380069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9.0066527202525588</v>
      </c>
      <c r="AV165" s="21">
        <f>EXP(-LN(2)/25)*AV164+(1-EXP(-LN(2)/25))/(LN(2)/25)*Calculateur!AQ165*Calculateur!AS165*VLOOKUP('Données projet'!$B$10,Paramètres!$A$1:$I$89,3,0)*0.475*44/12</f>
        <v>1.2454118854081309</v>
      </c>
      <c r="AW165" s="21">
        <f>EXP(-LN(2)/2)*AW164+(1-EXP(-LN(2)/2))/(LN(2)/2)*AQ165*AT165*VLOOKUP('Données projet'!$B$10,Paramètres!$A$1:$I$89,3,0)*0.475*44/12</f>
        <v>2.9921987470450946E-21</v>
      </c>
      <c r="AX165" s="21">
        <f t="shared" si="166"/>
        <v>10.25206460566069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0.79999999999995453</v>
      </c>
      <c r="BE165" s="13">
        <f>BD165*VLOOKUP('Données projet'!$B$11,Paramètres!$A$1:$I$89,3,0)*VLOOKUP('Données projet'!$B$11,Paramètres!$A$1:$I$89,5,0)</f>
        <v>0.44719999999997456</v>
      </c>
      <c r="BF165" s="13">
        <f t="shared" si="167"/>
        <v>0.22632652264063857</v>
      </c>
      <c r="BG165" s="20">
        <f t="shared" si="168"/>
        <v>1.1730586935990679</v>
      </c>
      <c r="BH165" s="59">
        <f t="shared" si="116"/>
        <v>294.50639202693236</v>
      </c>
      <c r="BI165" s="59">
        <f ca="1">AVERAGE(OFFSET($BH$3,0,0,'Données projet'!$E$11+1,1))-AVERAGE(OFFSET($H$3,0,0,'Données projet'!$E$11+1,1))</f>
        <v>321.85808080442411</v>
      </c>
      <c r="BJ165" s="59">
        <f t="shared" si="146"/>
        <v>285.95942591879702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60.635719387797359</v>
      </c>
      <c r="BQ165" s="21">
        <f>EXP(-LN(2)/25)*BQ164+(1-EXP(-LN(2)/25))/(LN(2)/25)*Calculateur!BL165*Calculateur!BN165*VLOOKUP('Données projet'!$B$11,Paramètres!$A$1:$I$89,3,0)*0.475*44/12</f>
        <v>0.66877442225323513</v>
      </c>
      <c r="BR165" s="21">
        <f>EXP(-LN(2)/2)*BR164+(1-EXP(-LN(2)/2))/(LN(2)/2)*BL165*BO165*VLOOKUP('Données projet'!$B$11,Paramètres!$A$1:$I$89,3,0)*0.475*44/12</f>
        <v>2.4481086784717951E-20</v>
      </c>
      <c r="BS165" s="22">
        <f t="shared" si="169"/>
        <v>61.304493810050595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689</v>
      </c>
      <c r="O166" s="13">
        <f>N166*VLOOKUP('Données projet'!$B$9,Paramètres!$A$1:$I$89,3,0)*VLOOKUP('Données projet'!$B$9,Paramètres!$A$1:$I$89,5,0)</f>
        <v>412.02199999999999</v>
      </c>
      <c r="P166" s="13">
        <f t="shared" si="141"/>
        <v>94.209724877926391</v>
      </c>
      <c r="Q166" s="20">
        <f t="shared" si="162"/>
        <v>881.686920829055</v>
      </c>
      <c r="R166" s="59">
        <f t="shared" si="109"/>
        <v>1175.0202541623883</v>
      </c>
      <c r="S166" s="59">
        <f ca="1">AVERAGE(OFFSET($R$3,0,0,'Données projet'!$E$9+1,1))-AVERAGE(OFFSET($H$3,0,0,'Données projet'!$E$9+1,1))</f>
        <v>430.93760474982633</v>
      </c>
      <c r="T166" s="59">
        <f t="shared" si="142"/>
        <v>371.5387876502981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18.91405630950706</v>
      </c>
      <c r="AA166" s="21">
        <f>EXP(-LN(2)/25)*AA165+(1-EXP(-LN(2)/25))/(LN(2)/25)*Calculateur!V166*Calculateur!X166*VLOOKUP('Données projet'!$B$9,Paramètres!$A$1:$I$89,3,0)*0.475*44/12</f>
        <v>1.4739494481019115</v>
      </c>
      <c r="AB166" s="21">
        <f>EXP(-LN(2)/2)*AB165+(1-EXP(-LN(2)/2))/(LN(2)/2)*V166*Y166*VLOOKUP('Données projet'!$B$9,Paramètres!$A$1:$I$89,3,0)*0.475*44/12</f>
        <v>5.0181666486902122E-22</v>
      </c>
      <c r="AC166" s="22">
        <f t="shared" si="163"/>
        <v>20.388005757608973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304</v>
      </c>
      <c r="AJ166" s="13">
        <f>AI166*VLOOKUP('Données projet'!$B$10,Paramètres!$A$1:$I$89,3,0)*VLOOKUP('Données projet'!$B$10,Paramètres!$A$1:$I$89,5,0)</f>
        <v>189.696</v>
      </c>
      <c r="AK166" s="13">
        <f t="shared" si="164"/>
        <v>47.472736505152469</v>
      </c>
      <c r="AL166" s="20">
        <f t="shared" si="165"/>
        <v>413.06888274647389</v>
      </c>
      <c r="AM166" s="59">
        <f t="shared" si="113"/>
        <v>706.4022160798072</v>
      </c>
      <c r="AN166" s="59">
        <f ca="1">AVERAGE(OFFSET($AM$3,0,0,'Données projet'!$E$10+1,1))-AVERAGE(OFFSET($H$3,0,0,'Données projet'!$E$10+1,1))</f>
        <v>179.44051550872138</v>
      </c>
      <c r="AO166" s="59">
        <f t="shared" si="144"/>
        <v>272.9500808380069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8.8300377539241257</v>
      </c>
      <c r="AV166" s="21">
        <f>EXP(-LN(2)/25)*AV165+(1-EXP(-LN(2)/25))/(LN(2)/25)*Calculateur!AQ166*Calculateur!AS166*VLOOKUP('Données projet'!$B$10,Paramètres!$A$1:$I$89,3,0)*0.475*44/12</f>
        <v>1.2113560319082808</v>
      </c>
      <c r="AW166" s="21">
        <f>EXP(-LN(2)/2)*AW165+(1-EXP(-LN(2)/2))/(LN(2)/2)*AQ166*AT166*VLOOKUP('Données projet'!$B$10,Paramètres!$A$1:$I$89,3,0)*0.475*44/12</f>
        <v>2.1158040246934773E-21</v>
      </c>
      <c r="AX166" s="21">
        <f t="shared" si="166"/>
        <v>10.041393785832406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0.79999999999995453</v>
      </c>
      <c r="BE166" s="13">
        <f>BD166*VLOOKUP('Données projet'!$B$11,Paramètres!$A$1:$I$89,3,0)*VLOOKUP('Données projet'!$B$11,Paramètres!$A$1:$I$89,5,0)</f>
        <v>0.44719999999997456</v>
      </c>
      <c r="BF166" s="13">
        <f t="shared" si="167"/>
        <v>0.22632652264063857</v>
      </c>
      <c r="BG166" s="20">
        <f t="shared" si="168"/>
        <v>1.1730586935990679</v>
      </c>
      <c r="BH166" s="59">
        <f t="shared" si="116"/>
        <v>294.50639202693236</v>
      </c>
      <c r="BI166" s="59">
        <f ca="1">AVERAGE(OFFSET($BH$3,0,0,'Données projet'!$E$11+1,1))-AVERAGE(OFFSET($H$3,0,0,'Données projet'!$E$11+1,1))</f>
        <v>321.85808080442411</v>
      </c>
      <c r="BJ166" s="59">
        <f t="shared" si="146"/>
        <v>285.95942591879702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59.446689914739601</v>
      </c>
      <c r="BQ166" s="21">
        <f>EXP(-LN(2)/25)*BQ165+(1-EXP(-LN(2)/25))/(LN(2)/25)*Calculateur!BL166*Calculateur!BN166*VLOOKUP('Données projet'!$B$11,Paramètres!$A$1:$I$89,3,0)*0.475*44/12</f>
        <v>0.65048675050740201</v>
      </c>
      <c r="BR166" s="21">
        <f>EXP(-LN(2)/2)*BR165+(1-EXP(-LN(2)/2))/(LN(2)/2)*BL166*BO166*VLOOKUP('Données projet'!$B$11,Paramètres!$A$1:$I$89,3,0)*0.475*44/12</f>
        <v>1.7310742476290436E-20</v>
      </c>
      <c r="BS166" s="22">
        <f t="shared" si="169"/>
        <v>60.097176665247005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689</v>
      </c>
      <c r="O167" s="13">
        <f>N167*VLOOKUP('Données projet'!$B$9,Paramètres!$A$1:$I$89,3,0)*VLOOKUP('Données projet'!$B$9,Paramètres!$A$1:$I$89,5,0)</f>
        <v>412.02199999999999</v>
      </c>
      <c r="P167" s="13">
        <f t="shared" si="141"/>
        <v>94.209724877926391</v>
      </c>
      <c r="Q167" s="20">
        <f t="shared" si="162"/>
        <v>881.686920829055</v>
      </c>
      <c r="R167" s="59">
        <f t="shared" si="109"/>
        <v>1175.0202541623883</v>
      </c>
      <c r="S167" s="59">
        <f ca="1">AVERAGE(OFFSET($R$3,0,0,'Données projet'!$E$9+1,1))-AVERAGE(OFFSET($H$3,0,0,'Données projet'!$E$9+1,1))</f>
        <v>430.93760474982633</v>
      </c>
      <c r="T167" s="59">
        <f t="shared" si="142"/>
        <v>371.5387876502981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18.543163201712847</v>
      </c>
      <c r="AA167" s="21">
        <f>EXP(-LN(2)/25)*AA166+(1-EXP(-LN(2)/25))/(LN(2)/25)*Calculateur!V167*Calculateur!X167*VLOOKUP('Données projet'!$B$9,Paramètres!$A$1:$I$89,3,0)*0.475*44/12</f>
        <v>1.4336442229319319</v>
      </c>
      <c r="AB167" s="21">
        <f>EXP(-LN(2)/2)*AB166+(1-EXP(-LN(2)/2))/(LN(2)/2)*V167*Y167*VLOOKUP('Données projet'!$B$9,Paramètres!$A$1:$I$89,3,0)*0.475*44/12</f>
        <v>3.5483796664130204E-22</v>
      </c>
      <c r="AC167" s="22">
        <f t="shared" si="163"/>
        <v>19.976807424644779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304</v>
      </c>
      <c r="AJ167" s="13">
        <f>AI167*VLOOKUP('Données projet'!$B$10,Paramètres!$A$1:$I$89,3,0)*VLOOKUP('Données projet'!$B$10,Paramètres!$A$1:$I$89,5,0)</f>
        <v>189.696</v>
      </c>
      <c r="AK167" s="13">
        <f t="shared" si="164"/>
        <v>47.472736505152469</v>
      </c>
      <c r="AL167" s="20">
        <f t="shared" si="165"/>
        <v>413.06888274647389</v>
      </c>
      <c r="AM167" s="59">
        <f t="shared" si="113"/>
        <v>706.4022160798072</v>
      </c>
      <c r="AN167" s="59">
        <f ca="1">AVERAGE(OFFSET($AM$3,0,0,'Données projet'!$E$10+1,1))-AVERAGE(OFFSET($H$3,0,0,'Données projet'!$E$10+1,1))</f>
        <v>179.44051550872138</v>
      </c>
      <c r="AO167" s="59">
        <f t="shared" si="144"/>
        <v>272.9500808380069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8.6568860993609</v>
      </c>
      <c r="AV167" s="21">
        <f>EXP(-LN(2)/25)*AV166+(1-EXP(-LN(2)/25))/(LN(2)/25)*Calculateur!AQ167*Calculateur!AS167*VLOOKUP('Données projet'!$B$10,Paramètres!$A$1:$I$89,3,0)*0.475*44/12</f>
        <v>1.1782314375133036</v>
      </c>
      <c r="AW167" s="21">
        <f>EXP(-LN(2)/2)*AW166+(1-EXP(-LN(2)/2))/(LN(2)/2)*AQ167*AT167*VLOOKUP('Données projet'!$B$10,Paramètres!$A$1:$I$89,3,0)*0.475*44/12</f>
        <v>1.4960993735225473E-21</v>
      </c>
      <c r="AX167" s="21">
        <f t="shared" si="166"/>
        <v>9.8351175368742041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0.79999999999995453</v>
      </c>
      <c r="BE167" s="13">
        <f>BD167*VLOOKUP('Données projet'!$B$11,Paramètres!$A$1:$I$89,3,0)*VLOOKUP('Données projet'!$B$11,Paramètres!$A$1:$I$89,5,0)</f>
        <v>0.44719999999997456</v>
      </c>
      <c r="BF167" s="13">
        <f t="shared" si="167"/>
        <v>0.22632652264063857</v>
      </c>
      <c r="BG167" s="20">
        <f t="shared" si="168"/>
        <v>1.1730586935990679</v>
      </c>
      <c r="BH167" s="59">
        <f t="shared" si="116"/>
        <v>294.50639202693236</v>
      </c>
      <c r="BI167" s="59">
        <f ca="1">AVERAGE(OFFSET($BH$3,0,0,'Données projet'!$E$11+1,1))-AVERAGE(OFFSET($H$3,0,0,'Données projet'!$E$11+1,1))</f>
        <v>321.85808080442411</v>
      </c>
      <c r="BJ167" s="59">
        <f t="shared" si="146"/>
        <v>285.95942591879702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58.280976584412137</v>
      </c>
      <c r="BQ167" s="21">
        <f>EXP(-LN(2)/25)*BQ166+(1-EXP(-LN(2)/25))/(LN(2)/25)*Calculateur!BL167*Calculateur!BN167*VLOOKUP('Données projet'!$B$11,Paramètres!$A$1:$I$89,3,0)*0.475*44/12</f>
        <v>0.63269915610716565</v>
      </c>
      <c r="BR167" s="21">
        <f>EXP(-LN(2)/2)*BR166+(1-EXP(-LN(2)/2))/(LN(2)/2)*BL167*BO167*VLOOKUP('Données projet'!$B$11,Paramètres!$A$1:$I$89,3,0)*0.475*44/12</f>
        <v>1.2240543392358975E-20</v>
      </c>
      <c r="BS167" s="22">
        <f t="shared" si="169"/>
        <v>58.913675740519302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689</v>
      </c>
      <c r="O168" s="13">
        <f>N168*VLOOKUP('Données projet'!$B$9,Paramètres!$A$1:$I$89,3,0)*VLOOKUP('Données projet'!$B$9,Paramètres!$A$1:$I$89,5,0)</f>
        <v>412.02199999999999</v>
      </c>
      <c r="P168" s="13">
        <f t="shared" si="141"/>
        <v>94.209724877926391</v>
      </c>
      <c r="Q168" s="20">
        <f t="shared" si="162"/>
        <v>881.686920829055</v>
      </c>
      <c r="R168" s="59">
        <f t="shared" si="109"/>
        <v>1175.0202541623883</v>
      </c>
      <c r="S168" s="59">
        <f ca="1">AVERAGE(OFFSET($R$3,0,0,'Données projet'!$E$9+1,1))-AVERAGE(OFFSET($H$3,0,0,'Données projet'!$E$9+1,1))</f>
        <v>430.93760474982633</v>
      </c>
      <c r="T168" s="59">
        <f t="shared" si="142"/>
        <v>371.5387876502981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18.179543081540022</v>
      </c>
      <c r="AA168" s="21">
        <f>EXP(-LN(2)/25)*AA167+(1-EXP(-LN(2)/25))/(LN(2)/25)*Calculateur!V168*Calculateur!X168*VLOOKUP('Données projet'!$B$9,Paramètres!$A$1:$I$89,3,0)*0.475*44/12</f>
        <v>1.3944411462637851</v>
      </c>
      <c r="AB168" s="21">
        <f>EXP(-LN(2)/2)*AB167+(1-EXP(-LN(2)/2))/(LN(2)/2)*V168*Y168*VLOOKUP('Données projet'!$B$9,Paramètres!$A$1:$I$89,3,0)*0.475*44/12</f>
        <v>2.5090833243451061E-22</v>
      </c>
      <c r="AC168" s="22">
        <f t="shared" si="163"/>
        <v>19.573984227803805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304</v>
      </c>
      <c r="AJ168" s="13">
        <f>AI168*VLOOKUP('Données projet'!$B$10,Paramètres!$A$1:$I$89,3,0)*VLOOKUP('Données projet'!$B$10,Paramètres!$A$1:$I$89,5,0)</f>
        <v>189.696</v>
      </c>
      <c r="AK168" s="13">
        <f t="shared" si="164"/>
        <v>47.472736505152469</v>
      </c>
      <c r="AL168" s="20">
        <f t="shared" si="165"/>
        <v>413.06888274647389</v>
      </c>
      <c r="AM168" s="59">
        <f t="shared" si="113"/>
        <v>706.4022160798072</v>
      </c>
      <c r="AN168" s="59">
        <f ca="1">AVERAGE(OFFSET($AM$3,0,0,'Données projet'!$E$10+1,1))-AVERAGE(OFFSET($H$3,0,0,'Données projet'!$E$10+1,1))</f>
        <v>179.44051550872138</v>
      </c>
      <c r="AO168" s="59">
        <f t="shared" si="144"/>
        <v>272.9500808380069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8.4871298431315783</v>
      </c>
      <c r="AV168" s="21">
        <f>EXP(-LN(2)/25)*AV167+(1-EXP(-LN(2)/25))/(LN(2)/25)*Calculateur!AQ168*Calculateur!AS168*VLOOKUP('Données projet'!$B$10,Paramètres!$A$1:$I$89,3,0)*0.475*44/12</f>
        <v>1.146012636894004</v>
      </c>
      <c r="AW168" s="21">
        <f>EXP(-LN(2)/2)*AW167+(1-EXP(-LN(2)/2))/(LN(2)/2)*AQ168*AT168*VLOOKUP('Données projet'!$B$10,Paramètres!$A$1:$I$89,3,0)*0.475*44/12</f>
        <v>1.0579020123467387E-21</v>
      </c>
      <c r="AX168" s="21">
        <f t="shared" si="166"/>
        <v>9.6331424800255832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0.79999999999995453</v>
      </c>
      <c r="BE168" s="13">
        <f>BD168*VLOOKUP('Données projet'!$B$11,Paramètres!$A$1:$I$89,3,0)*VLOOKUP('Données projet'!$B$11,Paramètres!$A$1:$I$89,5,0)</f>
        <v>0.44719999999997456</v>
      </c>
      <c r="BF168" s="13">
        <f t="shared" si="167"/>
        <v>0.22632652264063857</v>
      </c>
      <c r="BG168" s="20">
        <f t="shared" si="168"/>
        <v>1.1730586935990679</v>
      </c>
      <c r="BH168" s="59">
        <f t="shared" si="116"/>
        <v>294.50639202693236</v>
      </c>
      <c r="BI168" s="59">
        <f ca="1">AVERAGE(OFFSET($BH$3,0,0,'Données projet'!$E$11+1,1))-AVERAGE(OFFSET($H$3,0,0,'Données projet'!$E$11+1,1))</f>
        <v>321.85808080442411</v>
      </c>
      <c r="BJ168" s="59">
        <f t="shared" si="146"/>
        <v>285.95942591879702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57.13812218147747</v>
      </c>
      <c r="BQ168" s="21">
        <f>EXP(-LN(2)/25)*BQ167+(1-EXP(-LN(2)/25))/(LN(2)/25)*Calculateur!BL168*Calculateur!BN168*VLOOKUP('Données projet'!$B$11,Paramètres!$A$1:$I$89,3,0)*0.475*44/12</f>
        <v>0.61539796441121264</v>
      </c>
      <c r="BR168" s="21">
        <f>EXP(-LN(2)/2)*BR167+(1-EXP(-LN(2)/2))/(LN(2)/2)*BL168*BO168*VLOOKUP('Données projet'!$B$11,Paramètres!$A$1:$I$89,3,0)*0.475*44/12</f>
        <v>8.6553712381452181E-21</v>
      </c>
      <c r="BS168" s="22">
        <f t="shared" si="169"/>
        <v>57.753520145888686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689</v>
      </c>
      <c r="O169" s="13">
        <f>N169*VLOOKUP('Données projet'!$B$9,Paramètres!$A$1:$I$89,3,0)*VLOOKUP('Données projet'!$B$9,Paramètres!$A$1:$I$89,5,0)</f>
        <v>412.02199999999999</v>
      </c>
      <c r="P169" s="13">
        <f t="shared" si="141"/>
        <v>94.209724877926391</v>
      </c>
      <c r="Q169" s="20">
        <f t="shared" si="162"/>
        <v>881.686920829055</v>
      </c>
      <c r="R169" s="59">
        <f t="shared" si="109"/>
        <v>1175.0202541623883</v>
      </c>
      <c r="S169" s="59">
        <f ca="1">AVERAGE(OFFSET($R$3,0,0,'Données projet'!$E$9+1,1))-AVERAGE(OFFSET($H$3,0,0,'Données projet'!$E$9+1,1))</f>
        <v>430.93760474982633</v>
      </c>
      <c r="T169" s="59">
        <f t="shared" si="142"/>
        <v>371.5387876502981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17.823053330137409</v>
      </c>
      <c r="AA169" s="21">
        <f>EXP(-LN(2)/25)*AA168+(1-EXP(-LN(2)/25))/(LN(2)/25)*Calculateur!V169*Calculateur!X169*VLOOKUP('Données projet'!$B$9,Paramètres!$A$1:$I$89,3,0)*0.475*44/12</f>
        <v>1.3563100797887291</v>
      </c>
      <c r="AB169" s="21">
        <f>EXP(-LN(2)/2)*AB168+(1-EXP(-LN(2)/2))/(LN(2)/2)*V169*Y169*VLOOKUP('Données projet'!$B$9,Paramètres!$A$1:$I$89,3,0)*0.475*44/12</f>
        <v>1.7741898332065102E-22</v>
      </c>
      <c r="AC169" s="22">
        <f t="shared" si="163"/>
        <v>19.17936340992614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304</v>
      </c>
      <c r="AJ169" s="13">
        <f>AI169*VLOOKUP('Données projet'!$B$10,Paramètres!$A$1:$I$89,3,0)*VLOOKUP('Données projet'!$B$10,Paramètres!$A$1:$I$89,5,0)</f>
        <v>189.696</v>
      </c>
      <c r="AK169" s="13">
        <f t="shared" si="164"/>
        <v>47.472736505152469</v>
      </c>
      <c r="AL169" s="20">
        <f t="shared" si="165"/>
        <v>413.06888274647389</v>
      </c>
      <c r="AM169" s="59">
        <f t="shared" si="113"/>
        <v>706.4022160798072</v>
      </c>
      <c r="AN169" s="59">
        <f ca="1">AVERAGE(OFFSET($AM$3,0,0,'Données projet'!$E$10+1,1))-AVERAGE(OFFSET($H$3,0,0,'Données projet'!$E$10+1,1))</f>
        <v>179.44051550872138</v>
      </c>
      <c r="AO169" s="59">
        <f t="shared" si="144"/>
        <v>272.9500808380069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8.3207024035458215</v>
      </c>
      <c r="AV169" s="21">
        <f>EXP(-LN(2)/25)*AV168+(1-EXP(-LN(2)/25))/(LN(2)/25)*Calculateur!AQ169*Calculateur!AS169*VLOOKUP('Données projet'!$B$10,Paramètres!$A$1:$I$89,3,0)*0.475*44/12</f>
        <v>1.1146748610719521</v>
      </c>
      <c r="AW169" s="21">
        <f>EXP(-LN(2)/2)*AW168+(1-EXP(-LN(2)/2))/(LN(2)/2)*AQ169*AT169*VLOOKUP('Données projet'!$B$10,Paramètres!$A$1:$I$89,3,0)*0.475*44/12</f>
        <v>7.4804968676127364E-22</v>
      </c>
      <c r="AX169" s="21">
        <f t="shared" si="166"/>
        <v>9.4353772646177738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0.79999999999995453</v>
      </c>
      <c r="BE169" s="13">
        <f>BD169*VLOOKUP('Données projet'!$B$11,Paramètres!$A$1:$I$89,3,0)*VLOOKUP('Données projet'!$B$11,Paramètres!$A$1:$I$89,5,0)</f>
        <v>0.44719999999997456</v>
      </c>
      <c r="BF169" s="13">
        <f t="shared" si="167"/>
        <v>0.22632652264063857</v>
      </c>
      <c r="BG169" s="20">
        <f t="shared" si="168"/>
        <v>1.1730586935990679</v>
      </c>
      <c r="BH169" s="59">
        <f t="shared" si="116"/>
        <v>294.50639202693236</v>
      </c>
      <c r="BI169" s="59">
        <f ca="1">AVERAGE(OFFSET($BH$3,0,0,'Données projet'!$E$11+1,1))-AVERAGE(OFFSET($H$3,0,0,'Données projet'!$E$11+1,1))</f>
        <v>321.85808080442411</v>
      </c>
      <c r="BJ169" s="59">
        <f t="shared" si="146"/>
        <v>285.95942591879702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56.017678456311998</v>
      </c>
      <c r="BQ169" s="21">
        <f>EXP(-LN(2)/25)*BQ168+(1-EXP(-LN(2)/25))/(LN(2)/25)*Calculateur!BL169*Calculateur!BN169*VLOOKUP('Données projet'!$B$11,Paramètres!$A$1:$I$89,3,0)*0.475*44/12</f>
        <v>0.59856987471201561</v>
      </c>
      <c r="BR169" s="21">
        <f>EXP(-LN(2)/2)*BR168+(1-EXP(-LN(2)/2))/(LN(2)/2)*BL169*BO169*VLOOKUP('Données projet'!$B$11,Paramètres!$A$1:$I$89,3,0)*0.475*44/12</f>
        <v>6.1202716961794877E-21</v>
      </c>
      <c r="BS169" s="22">
        <f t="shared" si="169"/>
        <v>56.616248331024011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689</v>
      </c>
      <c r="O170" s="13">
        <f>N170*VLOOKUP('Données projet'!$B$9,Paramètres!$A$1:$I$89,3,0)*VLOOKUP('Données projet'!$B$9,Paramètres!$A$1:$I$89,5,0)</f>
        <v>412.02199999999999</v>
      </c>
      <c r="P170" s="13">
        <f t="shared" si="141"/>
        <v>94.209724877926391</v>
      </c>
      <c r="Q170" s="20">
        <f t="shared" si="162"/>
        <v>881.686920829055</v>
      </c>
      <c r="R170" s="59">
        <f t="shared" si="109"/>
        <v>1175.0202541623883</v>
      </c>
      <c r="S170" s="59">
        <f ca="1">AVERAGE(OFFSET($R$3,0,0,'Données projet'!$E$9+1,1))-AVERAGE(OFFSET($H$3,0,0,'Données projet'!$E$9+1,1))</f>
        <v>430.93760474982633</v>
      </c>
      <c r="T170" s="59">
        <f t="shared" si="142"/>
        <v>371.5387876502981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17.473554125322526</v>
      </c>
      <c r="AA170" s="21">
        <f>EXP(-LN(2)/25)*AA169+(1-EXP(-LN(2)/25))/(LN(2)/25)*Calculateur!V170*Calculateur!X170*VLOOKUP('Données projet'!$B$9,Paramètres!$A$1:$I$89,3,0)*0.475*44/12</f>
        <v>1.3192217093316592</v>
      </c>
      <c r="AB170" s="21">
        <f>EXP(-LN(2)/2)*AB169+(1-EXP(-LN(2)/2))/(LN(2)/2)*V170*Y170*VLOOKUP('Données projet'!$B$9,Paramètres!$A$1:$I$89,3,0)*0.475*44/12</f>
        <v>1.254541662172553E-22</v>
      </c>
      <c r="AC170" s="22">
        <f t="shared" si="163"/>
        <v>18.792775834654186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304</v>
      </c>
      <c r="AJ170" s="13">
        <f>AI170*VLOOKUP('Données projet'!$B$10,Paramètres!$A$1:$I$89,3,0)*VLOOKUP('Données projet'!$B$10,Paramètres!$A$1:$I$89,5,0)</f>
        <v>189.696</v>
      </c>
      <c r="AK170" s="13">
        <f t="shared" si="164"/>
        <v>47.472736505152469</v>
      </c>
      <c r="AL170" s="20">
        <f t="shared" si="165"/>
        <v>413.06888274647389</v>
      </c>
      <c r="AM170" s="59">
        <f t="shared" si="113"/>
        <v>706.4022160798072</v>
      </c>
      <c r="AN170" s="59">
        <f ca="1">AVERAGE(OFFSET($AM$3,0,0,'Données projet'!$E$10+1,1))-AVERAGE(OFFSET($H$3,0,0,'Données projet'!$E$10+1,1))</f>
        <v>179.44051550872138</v>
      </c>
      <c r="AO170" s="59">
        <f t="shared" si="144"/>
        <v>272.9500808380069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8.1575385045396267</v>
      </c>
      <c r="AV170" s="21">
        <f>EXP(-LN(2)/25)*AV169+(1-EXP(-LN(2)/25))/(LN(2)/25)*Calculateur!AQ170*Calculateur!AS170*VLOOKUP('Données projet'!$B$10,Paramètres!$A$1:$I$89,3,0)*0.475*44/12</f>
        <v>1.0841940183777363</v>
      </c>
      <c r="AW170" s="21">
        <f>EXP(-LN(2)/2)*AW169+(1-EXP(-LN(2)/2))/(LN(2)/2)*AQ170*AT170*VLOOKUP('Données projet'!$B$10,Paramètres!$A$1:$I$89,3,0)*0.475*44/12</f>
        <v>5.2895100617336933E-22</v>
      </c>
      <c r="AX170" s="21">
        <f t="shared" si="166"/>
        <v>9.2417325229173635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0.79999999999995453</v>
      </c>
      <c r="BE170" s="13">
        <f>BD170*VLOOKUP('Données projet'!$B$11,Paramètres!$A$1:$I$89,3,0)*VLOOKUP('Données projet'!$B$11,Paramètres!$A$1:$I$89,5,0)</f>
        <v>0.44719999999997456</v>
      </c>
      <c r="BF170" s="13">
        <f t="shared" si="167"/>
        <v>0.22632652264063857</v>
      </c>
      <c r="BG170" s="20">
        <f t="shared" si="168"/>
        <v>1.1730586935990679</v>
      </c>
      <c r="BH170" s="59">
        <f t="shared" si="116"/>
        <v>294.50639202693236</v>
      </c>
      <c r="BI170" s="59">
        <f ca="1">AVERAGE(OFFSET($BH$3,0,0,'Données projet'!$E$11+1,1))-AVERAGE(OFFSET($H$3,0,0,'Données projet'!$E$11+1,1))</f>
        <v>321.85808080442411</v>
      </c>
      <c r="BJ170" s="59">
        <f t="shared" si="146"/>
        <v>285.95942591879702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54.919205949193824</v>
      </c>
      <c r="BQ170" s="21">
        <f>EXP(-LN(2)/25)*BQ169+(1-EXP(-LN(2)/25))/(LN(2)/25)*Calculateur!BL170*Calculateur!BN170*VLOOKUP('Données projet'!$B$11,Paramètres!$A$1:$I$89,3,0)*0.475*44/12</f>
        <v>0.58220195001059394</v>
      </c>
      <c r="BR170" s="21">
        <f>EXP(-LN(2)/2)*BR169+(1-EXP(-LN(2)/2))/(LN(2)/2)*BL170*BO170*VLOOKUP('Données projet'!$B$11,Paramètres!$A$1:$I$89,3,0)*0.475*44/12</f>
        <v>4.327685619072609E-21</v>
      </c>
      <c r="BS170" s="22">
        <f t="shared" si="169"/>
        <v>55.501407899204416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689</v>
      </c>
      <c r="O171" s="13">
        <f>N171*VLOOKUP('Données projet'!$B$9,Paramètres!$A$1:$I$89,3,0)*VLOOKUP('Données projet'!$B$9,Paramètres!$A$1:$I$89,5,0)</f>
        <v>412.02199999999999</v>
      </c>
      <c r="P171" s="13">
        <f t="shared" si="141"/>
        <v>94.209724877926391</v>
      </c>
      <c r="Q171" s="20">
        <f t="shared" si="162"/>
        <v>881.686920829055</v>
      </c>
      <c r="R171" s="59">
        <f t="shared" si="109"/>
        <v>1175.0202541623883</v>
      </c>
      <c r="S171" s="59">
        <f ca="1">AVERAGE(OFFSET($R$3,0,0,'Données projet'!$E$9+1,1))-AVERAGE(OFFSET($H$3,0,0,'Données projet'!$E$9+1,1))</f>
        <v>430.93760474982633</v>
      </c>
      <c r="T171" s="59">
        <f t="shared" si="142"/>
        <v>371.5387876502981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17.130908386740597</v>
      </c>
      <c r="AA171" s="21">
        <f>EXP(-LN(2)/25)*AA170+(1-EXP(-LN(2)/25))/(LN(2)/25)*Calculateur!V171*Calculateur!X171*VLOOKUP('Données projet'!$B$9,Paramètres!$A$1:$I$89,3,0)*0.475*44/12</f>
        <v>1.2831475223151303</v>
      </c>
      <c r="AB171" s="21">
        <f>EXP(-LN(2)/2)*AB170+(1-EXP(-LN(2)/2))/(LN(2)/2)*V171*Y171*VLOOKUP('Données projet'!$B$9,Paramètres!$A$1:$I$89,3,0)*0.475*44/12</f>
        <v>8.8709491660325511E-23</v>
      </c>
      <c r="AC171" s="22">
        <f t="shared" si="163"/>
        <v>18.414055909055726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304</v>
      </c>
      <c r="AJ171" s="13">
        <f>AI171*VLOOKUP('Données projet'!$B$10,Paramètres!$A$1:$I$89,3,0)*VLOOKUP('Données projet'!$B$10,Paramètres!$A$1:$I$89,5,0)</f>
        <v>189.696</v>
      </c>
      <c r="AK171" s="13">
        <f t="shared" si="164"/>
        <v>47.472736505152469</v>
      </c>
      <c r="AL171" s="20">
        <f t="shared" si="165"/>
        <v>413.06888274647389</v>
      </c>
      <c r="AM171" s="59">
        <f t="shared" si="113"/>
        <v>706.4022160798072</v>
      </c>
      <c r="AN171" s="59">
        <f ca="1">AVERAGE(OFFSET($AM$3,0,0,'Données projet'!$E$10+1,1))-AVERAGE(OFFSET($H$3,0,0,'Données projet'!$E$10+1,1))</f>
        <v>179.44051550872138</v>
      </c>
      <c r="AO171" s="59">
        <f t="shared" si="144"/>
        <v>272.9500808380069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7.9975741500727917</v>
      </c>
      <c r="AV171" s="21">
        <f>EXP(-LN(2)/25)*AV170+(1-EXP(-LN(2)/25))/(LN(2)/25)*Calculateur!AQ171*Calculateur!AS171*VLOOKUP('Données projet'!$B$10,Paramètres!$A$1:$I$89,3,0)*0.475*44/12</f>
        <v>1.0545466759299116</v>
      </c>
      <c r="AW171" s="21">
        <f>EXP(-LN(2)/2)*AW170+(1-EXP(-LN(2)/2))/(LN(2)/2)*AQ171*AT171*VLOOKUP('Données projet'!$B$10,Paramètres!$A$1:$I$89,3,0)*0.475*44/12</f>
        <v>3.7402484338063682E-22</v>
      </c>
      <c r="AX171" s="21">
        <f t="shared" si="166"/>
        <v>9.0521208260027031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0.79999999999995453</v>
      </c>
      <c r="BE171" s="13">
        <f>BD171*VLOOKUP('Données projet'!$B$11,Paramètres!$A$1:$I$89,3,0)*VLOOKUP('Données projet'!$B$11,Paramètres!$A$1:$I$89,5,0)</f>
        <v>0.44719999999997456</v>
      </c>
      <c r="BF171" s="13">
        <f t="shared" si="167"/>
        <v>0.22632652264063857</v>
      </c>
      <c r="BG171" s="20">
        <f t="shared" si="168"/>
        <v>1.1730586935990679</v>
      </c>
      <c r="BH171" s="59">
        <f t="shared" si="116"/>
        <v>294.50639202693236</v>
      </c>
      <c r="BI171" s="59">
        <f ca="1">AVERAGE(OFFSET($BH$3,0,0,'Données projet'!$E$11+1,1))-AVERAGE(OFFSET($H$3,0,0,'Données projet'!$E$11+1,1))</f>
        <v>321.85808080442411</v>
      </c>
      <c r="BJ171" s="59">
        <f t="shared" si="146"/>
        <v>285.95942591879702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53.842273817938171</v>
      </c>
      <c r="BQ171" s="21">
        <f>EXP(-LN(2)/25)*BQ170+(1-EXP(-LN(2)/25))/(LN(2)/25)*Calculateur!BL171*Calculateur!BN171*VLOOKUP('Données projet'!$B$11,Paramètres!$A$1:$I$89,3,0)*0.475*44/12</f>
        <v>0.56628160707088437</v>
      </c>
      <c r="BR171" s="21">
        <f>EXP(-LN(2)/2)*BR170+(1-EXP(-LN(2)/2))/(LN(2)/2)*BL171*BO171*VLOOKUP('Données projet'!$B$11,Paramètres!$A$1:$I$89,3,0)*0.475*44/12</f>
        <v>3.0601358480897439E-21</v>
      </c>
      <c r="BS171" s="22">
        <f t="shared" si="169"/>
        <v>54.408555425009055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689</v>
      </c>
      <c r="O172" s="13">
        <f>N172*VLOOKUP('Données projet'!$B$9,Paramètres!$A$1:$I$89,3,0)*VLOOKUP('Données projet'!$B$9,Paramètres!$A$1:$I$89,5,0)</f>
        <v>412.02199999999999</v>
      </c>
      <c r="P172" s="13">
        <f t="shared" si="141"/>
        <v>94.209724877926391</v>
      </c>
      <c r="Q172" s="20">
        <f t="shared" si="162"/>
        <v>881.686920829055</v>
      </c>
      <c r="R172" s="59">
        <f t="shared" si="109"/>
        <v>1175.0202541623883</v>
      </c>
      <c r="S172" s="59">
        <f ca="1">AVERAGE(OFFSET($R$3,0,0,'Données projet'!$E$9+1,1))-AVERAGE(OFFSET($H$3,0,0,'Données projet'!$E$9+1,1))</f>
        <v>430.93760474982633</v>
      </c>
      <c r="T172" s="59">
        <f t="shared" si="142"/>
        <v>371.5387876502981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16.794981722098996</v>
      </c>
      <c r="AA172" s="21">
        <f>EXP(-LN(2)/25)*AA171+(1-EXP(-LN(2)/25))/(LN(2)/25)*Calculateur!V172*Calculateur!X172*VLOOKUP('Données projet'!$B$9,Paramètres!$A$1:$I$89,3,0)*0.475*44/12</f>
        <v>1.2480597858396276</v>
      </c>
      <c r="AB172" s="21">
        <f>EXP(-LN(2)/2)*AB171+(1-EXP(-LN(2)/2))/(LN(2)/2)*V172*Y172*VLOOKUP('Données projet'!$B$9,Paramètres!$A$1:$I$89,3,0)*0.475*44/12</f>
        <v>6.2727083108627652E-23</v>
      </c>
      <c r="AC172" s="22">
        <f t="shared" si="163"/>
        <v>18.043041507938625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304</v>
      </c>
      <c r="AJ172" s="13">
        <f>AI172*VLOOKUP('Données projet'!$B$10,Paramètres!$A$1:$I$89,3,0)*VLOOKUP('Données projet'!$B$10,Paramètres!$A$1:$I$89,5,0)</f>
        <v>189.696</v>
      </c>
      <c r="AK172" s="13">
        <f t="shared" si="164"/>
        <v>47.472736505152469</v>
      </c>
      <c r="AL172" s="20">
        <f t="shared" si="165"/>
        <v>413.06888274647389</v>
      </c>
      <c r="AM172" s="59">
        <f t="shared" si="113"/>
        <v>706.4022160798072</v>
      </c>
      <c r="AN172" s="59">
        <f ca="1">AVERAGE(OFFSET($AM$3,0,0,'Données projet'!$E$10+1,1))-AVERAGE(OFFSET($H$3,0,0,'Données projet'!$E$10+1,1))</f>
        <v>179.44051550872138</v>
      </c>
      <c r="AO172" s="59">
        <f t="shared" si="144"/>
        <v>272.9500808380069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7.8407465990284297</v>
      </c>
      <c r="AV172" s="21">
        <f>EXP(-LN(2)/25)*AV171+(1-EXP(-LN(2)/25))/(LN(2)/25)*Calculateur!AQ172*Calculateur!AS172*VLOOKUP('Données projet'!$B$10,Paramètres!$A$1:$I$89,3,0)*0.475*44/12</f>
        <v>1.0257100416204086</v>
      </c>
      <c r="AW172" s="21">
        <f>EXP(-LN(2)/2)*AW171+(1-EXP(-LN(2)/2))/(LN(2)/2)*AQ172*AT172*VLOOKUP('Données projet'!$B$10,Paramètres!$A$1:$I$89,3,0)*0.475*44/12</f>
        <v>2.6447550308668466E-22</v>
      </c>
      <c r="AX172" s="21">
        <f t="shared" si="166"/>
        <v>8.8664566406488383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0.79999999999995453</v>
      </c>
      <c r="BE172" s="13">
        <f>BD172*VLOOKUP('Données projet'!$B$11,Paramètres!$A$1:$I$89,3,0)*VLOOKUP('Données projet'!$B$11,Paramètres!$A$1:$I$89,5,0)</f>
        <v>0.44719999999997456</v>
      </c>
      <c r="BF172" s="13">
        <f t="shared" si="167"/>
        <v>0.22632652264063857</v>
      </c>
      <c r="BG172" s="20">
        <f t="shared" si="168"/>
        <v>1.1730586935990679</v>
      </c>
      <c r="BH172" s="59">
        <f t="shared" si="116"/>
        <v>294.50639202693236</v>
      </c>
      <c r="BI172" s="59">
        <f ca="1">AVERAGE(OFFSET($BH$3,0,0,'Données projet'!$E$11+1,1))-AVERAGE(OFFSET($H$3,0,0,'Données projet'!$E$11+1,1))</f>
        <v>321.85808080442411</v>
      </c>
      <c r="BJ172" s="59">
        <f t="shared" si="146"/>
        <v>285.95942591879702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52.786459668912698</v>
      </c>
      <c r="BQ172" s="21">
        <f>EXP(-LN(2)/25)*BQ171+(1-EXP(-LN(2)/25))/(LN(2)/25)*Calculateur!BL172*Calculateur!BN172*VLOOKUP('Données projet'!$B$11,Paramètres!$A$1:$I$89,3,0)*0.475*44/12</f>
        <v>0.55079660674607556</v>
      </c>
      <c r="BR172" s="21">
        <f>EXP(-LN(2)/2)*BR171+(1-EXP(-LN(2)/2))/(LN(2)/2)*BL172*BO172*VLOOKUP('Données projet'!$B$11,Paramètres!$A$1:$I$89,3,0)*0.475*44/12</f>
        <v>2.1638428095363045E-21</v>
      </c>
      <c r="BS172" s="22">
        <f t="shared" si="169"/>
        <v>53.337256275658774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689</v>
      </c>
      <c r="O173" s="13">
        <f>N173*VLOOKUP('Données projet'!$B$9,Paramètres!$A$1:$I$89,3,0)*VLOOKUP('Données projet'!$B$9,Paramètres!$A$1:$I$89,5,0)</f>
        <v>412.02199999999999</v>
      </c>
      <c r="P173" s="13">
        <f t="shared" si="141"/>
        <v>94.209724877926391</v>
      </c>
      <c r="Q173" s="20">
        <f t="shared" si="162"/>
        <v>881.686920829055</v>
      </c>
      <c r="R173" s="59">
        <f t="shared" si="109"/>
        <v>1175.0202541623883</v>
      </c>
      <c r="S173" s="59">
        <f ca="1">AVERAGE(OFFSET($R$3,0,0,'Données projet'!$E$9+1,1))-AVERAGE(OFFSET($H$3,0,0,'Données projet'!$E$9+1,1))</f>
        <v>430.93760474982633</v>
      </c>
      <c r="T173" s="59">
        <f t="shared" si="142"/>
        <v>371.5387876502981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16.465642374455982</v>
      </c>
      <c r="AA173" s="21">
        <f>EXP(-LN(2)/25)*AA172+(1-EXP(-LN(2)/25))/(LN(2)/25)*Calculateur!V173*Calculateur!X173*VLOOKUP('Données projet'!$B$9,Paramètres!$A$1:$I$89,3,0)*0.475*44/12</f>
        <v>1.2139315253632315</v>
      </c>
      <c r="AB173" s="21">
        <f>EXP(-LN(2)/2)*AB172+(1-EXP(-LN(2)/2))/(LN(2)/2)*V173*Y173*VLOOKUP('Données projet'!$B$9,Paramètres!$A$1:$I$89,3,0)*0.475*44/12</f>
        <v>4.4354745830162755E-23</v>
      </c>
      <c r="AC173" s="22">
        <f t="shared" si="163"/>
        <v>17.679573899819214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304</v>
      </c>
      <c r="AJ173" s="13">
        <f>AI173*VLOOKUP('Données projet'!$B$10,Paramètres!$A$1:$I$89,3,0)*VLOOKUP('Données projet'!$B$10,Paramètres!$A$1:$I$89,5,0)</f>
        <v>189.696</v>
      </c>
      <c r="AK173" s="13">
        <f t="shared" si="164"/>
        <v>47.472736505152469</v>
      </c>
      <c r="AL173" s="20">
        <f t="shared" si="165"/>
        <v>413.06888274647389</v>
      </c>
      <c r="AM173" s="59">
        <f t="shared" si="113"/>
        <v>706.4022160798072</v>
      </c>
      <c r="AN173" s="59">
        <f ca="1">AVERAGE(OFFSET($AM$3,0,0,'Données projet'!$E$10+1,1))-AVERAGE(OFFSET($H$3,0,0,'Données projet'!$E$10+1,1))</f>
        <v>179.44051550872138</v>
      </c>
      <c r="AO173" s="59">
        <f t="shared" si="144"/>
        <v>272.9500808380069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7.6869943406046861</v>
      </c>
      <c r="AV173" s="21">
        <f>EXP(-LN(2)/25)*AV172+(1-EXP(-LN(2)/25))/(LN(2)/25)*Calculateur!AQ173*Calculateur!AS173*VLOOKUP('Données projet'!$B$10,Paramètres!$A$1:$I$89,3,0)*0.475*44/12</f>
        <v>0.9976619465925517</v>
      </c>
      <c r="AW173" s="21">
        <f>EXP(-LN(2)/2)*AW172+(1-EXP(-LN(2)/2))/(LN(2)/2)*AQ173*AT173*VLOOKUP('Données projet'!$B$10,Paramètres!$A$1:$I$89,3,0)*0.475*44/12</f>
        <v>1.8701242169031841E-22</v>
      </c>
      <c r="AX173" s="21">
        <f t="shared" si="166"/>
        <v>8.684656287197237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0.79999999999995453</v>
      </c>
      <c r="BE173" s="13">
        <f>BD173*VLOOKUP('Données projet'!$B$11,Paramètres!$A$1:$I$89,3,0)*VLOOKUP('Données projet'!$B$11,Paramètres!$A$1:$I$89,5,0)</f>
        <v>0.44719999999997456</v>
      </c>
      <c r="BF173" s="13">
        <f t="shared" si="167"/>
        <v>0.22632652264063857</v>
      </c>
      <c r="BG173" s="20">
        <f t="shared" si="168"/>
        <v>1.1730586935990679</v>
      </c>
      <c r="BH173" s="59">
        <f t="shared" si="116"/>
        <v>294.50639202693236</v>
      </c>
      <c r="BI173" s="59">
        <f ca="1">AVERAGE(OFFSET($BH$3,0,0,'Données projet'!$E$11+1,1))-AVERAGE(OFFSET($H$3,0,0,'Données projet'!$E$11+1,1))</f>
        <v>321.85808080442411</v>
      </c>
      <c r="BJ173" s="59">
        <f t="shared" si="146"/>
        <v>285.95942591879702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51.751349391366574</v>
      </c>
      <c r="BQ173" s="21">
        <f>EXP(-LN(2)/25)*BQ172+(1-EXP(-LN(2)/25))/(LN(2)/25)*Calculateur!BL173*Calculateur!BN173*VLOOKUP('Données projet'!$B$11,Paramètres!$A$1:$I$89,3,0)*0.475*44/12</f>
        <v>0.53573504456946941</v>
      </c>
      <c r="BR173" s="21">
        <f>EXP(-LN(2)/2)*BR172+(1-EXP(-LN(2)/2))/(LN(2)/2)*BL173*BO173*VLOOKUP('Données projet'!$B$11,Paramètres!$A$1:$I$89,3,0)*0.475*44/12</f>
        <v>1.5300679240448719E-21</v>
      </c>
      <c r="BS173" s="22">
        <f t="shared" si="169"/>
        <v>52.287084435936045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689</v>
      </c>
      <c r="O174" s="13">
        <f>N174*VLOOKUP('Données projet'!$B$9,Paramètres!$A$1:$I$89,3,0)*VLOOKUP('Données projet'!$B$9,Paramètres!$A$1:$I$89,5,0)</f>
        <v>412.02199999999999</v>
      </c>
      <c r="P174" s="13">
        <f t="shared" si="141"/>
        <v>94.209724877926391</v>
      </c>
      <c r="Q174" s="20">
        <f t="shared" si="162"/>
        <v>881.686920829055</v>
      </c>
      <c r="R174" s="59">
        <f t="shared" si="109"/>
        <v>1175.0202541623883</v>
      </c>
      <c r="S174" s="59">
        <f ca="1">AVERAGE(OFFSET($R$3,0,0,'Données projet'!$E$9+1,1))-AVERAGE(OFFSET($H$3,0,0,'Données projet'!$E$9+1,1))</f>
        <v>430.93760474982633</v>
      </c>
      <c r="T174" s="59">
        <f t="shared" si="142"/>
        <v>371.5387876502981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16.142761170543078</v>
      </c>
      <c r="AA174" s="21">
        <f>EXP(-LN(2)/25)*AA173+(1-EXP(-LN(2)/25))/(LN(2)/25)*Calculateur!V174*Calculateur!X174*VLOOKUP('Données projet'!$B$9,Paramètres!$A$1:$I$89,3,0)*0.475*44/12</f>
        <v>1.1807365039642894</v>
      </c>
      <c r="AB174" s="21">
        <f>EXP(-LN(2)/2)*AB173+(1-EXP(-LN(2)/2))/(LN(2)/2)*V174*Y174*VLOOKUP('Données projet'!$B$9,Paramètres!$A$1:$I$89,3,0)*0.475*44/12</f>
        <v>3.1363541554313826E-23</v>
      </c>
      <c r="AC174" s="22">
        <f t="shared" si="163"/>
        <v>17.323497674507369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304</v>
      </c>
      <c r="AJ174" s="13">
        <f>AI174*VLOOKUP('Données projet'!$B$10,Paramètres!$A$1:$I$89,3,0)*VLOOKUP('Données projet'!$B$10,Paramètres!$A$1:$I$89,5,0)</f>
        <v>189.696</v>
      </c>
      <c r="AK174" s="13">
        <f t="shared" si="164"/>
        <v>47.472736505152469</v>
      </c>
      <c r="AL174" s="20">
        <f t="shared" si="165"/>
        <v>413.06888274647389</v>
      </c>
      <c r="AM174" s="59">
        <f t="shared" si="113"/>
        <v>706.4022160798072</v>
      </c>
      <c r="AN174" s="59">
        <f ca="1">AVERAGE(OFFSET($AM$3,0,0,'Données projet'!$E$10+1,1))-AVERAGE(OFFSET($H$3,0,0,'Données projet'!$E$10+1,1))</f>
        <v>179.44051550872138</v>
      </c>
      <c r="AO174" s="59">
        <f t="shared" si="144"/>
        <v>272.9500808380069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7.5362570701890146</v>
      </c>
      <c r="AV174" s="21">
        <f>EXP(-LN(2)/25)*AV173+(1-EXP(-LN(2)/25))/(LN(2)/25)*Calculateur!AQ174*Calculateur!AS174*VLOOKUP('Données projet'!$B$10,Paramètres!$A$1:$I$89,3,0)*0.475*44/12</f>
        <v>0.9703808281982168</v>
      </c>
      <c r="AW174" s="21">
        <f>EXP(-LN(2)/2)*AW173+(1-EXP(-LN(2)/2))/(LN(2)/2)*AQ174*AT174*VLOOKUP('Données projet'!$B$10,Paramètres!$A$1:$I$89,3,0)*0.475*44/12</f>
        <v>1.3223775154334233E-22</v>
      </c>
      <c r="AX174" s="21">
        <f t="shared" si="166"/>
        <v>8.5066378983872308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0.79999999999995453</v>
      </c>
      <c r="BE174" s="13">
        <f>BD174*VLOOKUP('Données projet'!$B$11,Paramètres!$A$1:$I$89,3,0)*VLOOKUP('Données projet'!$B$11,Paramètres!$A$1:$I$89,5,0)</f>
        <v>0.44719999999997456</v>
      </c>
      <c r="BF174" s="13">
        <f t="shared" si="167"/>
        <v>0.22632652264063857</v>
      </c>
      <c r="BG174" s="20">
        <f t="shared" si="168"/>
        <v>1.1730586935990679</v>
      </c>
      <c r="BH174" s="59">
        <f t="shared" si="116"/>
        <v>294.50639202693236</v>
      </c>
      <c r="BI174" s="59">
        <f ca="1">AVERAGE(OFFSET($BH$3,0,0,'Données projet'!$E$11+1,1))-AVERAGE(OFFSET($H$3,0,0,'Données projet'!$E$11+1,1))</f>
        <v>321.85808080442411</v>
      </c>
      <c r="BJ174" s="59">
        <f t="shared" si="146"/>
        <v>285.95942591879702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50.736536995008201</v>
      </c>
      <c r="BQ174" s="21">
        <f>EXP(-LN(2)/25)*BQ173+(1-EXP(-LN(2)/25))/(LN(2)/25)*Calculateur!BL174*Calculateur!BN174*VLOOKUP('Données projet'!$B$11,Paramètres!$A$1:$I$89,3,0)*0.475*44/12</f>
        <v>0.52108534160263575</v>
      </c>
      <c r="BR174" s="21">
        <f>EXP(-LN(2)/2)*BR173+(1-EXP(-LN(2)/2))/(LN(2)/2)*BL174*BO174*VLOOKUP('Données projet'!$B$11,Paramètres!$A$1:$I$89,3,0)*0.475*44/12</f>
        <v>1.0819214047681523E-21</v>
      </c>
      <c r="BS174" s="22">
        <f t="shared" si="169"/>
        <v>51.257622336610837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689</v>
      </c>
      <c r="O175" s="13">
        <f>N175*VLOOKUP('Données projet'!$B$9,Paramètres!$A$1:$I$89,3,0)*VLOOKUP('Données projet'!$B$9,Paramètres!$A$1:$I$89,5,0)</f>
        <v>412.02199999999999</v>
      </c>
      <c r="P175" s="13">
        <f t="shared" si="141"/>
        <v>94.209724877926391</v>
      </c>
      <c r="Q175" s="20">
        <f t="shared" si="162"/>
        <v>881.686920829055</v>
      </c>
      <c r="R175" s="59">
        <f t="shared" si="109"/>
        <v>1175.0202541623883</v>
      </c>
      <c r="S175" s="59">
        <f ca="1">AVERAGE(OFFSET($R$3,0,0,'Données projet'!$E$9+1,1))-AVERAGE(OFFSET($H$3,0,0,'Données projet'!$E$9+1,1))</f>
        <v>430.93760474982633</v>
      </c>
      <c r="T175" s="59">
        <f t="shared" si="142"/>
        <v>371.5387876502981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15.826211470100819</v>
      </c>
      <c r="AA175" s="21">
        <f>EXP(-LN(2)/25)*AA174+(1-EXP(-LN(2)/25))/(LN(2)/25)*Calculateur!V175*Calculateur!X175*VLOOKUP('Données projet'!$B$9,Paramètres!$A$1:$I$89,3,0)*0.475*44/12</f>
        <v>1.1484492021711519</v>
      </c>
      <c r="AB175" s="21">
        <f>EXP(-LN(2)/2)*AB174+(1-EXP(-LN(2)/2))/(LN(2)/2)*V175*Y175*VLOOKUP('Données projet'!$B$9,Paramètres!$A$1:$I$89,3,0)*0.475*44/12</f>
        <v>2.2177372915081378E-23</v>
      </c>
      <c r="AC175" s="22">
        <f t="shared" si="163"/>
        <v>16.97466067227197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304</v>
      </c>
      <c r="AJ175" s="13">
        <f>AI175*VLOOKUP('Données projet'!$B$10,Paramètres!$A$1:$I$89,3,0)*VLOOKUP('Données projet'!$B$10,Paramètres!$A$1:$I$89,5,0)</f>
        <v>189.696</v>
      </c>
      <c r="AK175" s="13">
        <f t="shared" si="164"/>
        <v>47.472736505152469</v>
      </c>
      <c r="AL175" s="20">
        <f t="shared" si="165"/>
        <v>413.06888274647389</v>
      </c>
      <c r="AM175" s="59">
        <f t="shared" si="113"/>
        <v>706.4022160798072</v>
      </c>
      <c r="AN175" s="59">
        <f ca="1">AVERAGE(OFFSET($AM$3,0,0,'Données projet'!$E$10+1,1))-AVERAGE(OFFSET($H$3,0,0,'Données projet'!$E$10+1,1))</f>
        <v>179.44051550872138</v>
      </c>
      <c r="AO175" s="59">
        <f t="shared" si="144"/>
        <v>272.9500808380069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7.3884756657055384</v>
      </c>
      <c r="AV175" s="21">
        <f>EXP(-LN(2)/25)*AV174+(1-EXP(-LN(2)/25))/(LN(2)/25)*Calculateur!AQ175*Calculateur!AS175*VLOOKUP('Données projet'!$B$10,Paramètres!$A$1:$I$89,3,0)*0.475*44/12</f>
        <v>0.94384571342102663</v>
      </c>
      <c r="AW175" s="21">
        <f>EXP(-LN(2)/2)*AW174+(1-EXP(-LN(2)/2))/(LN(2)/2)*AQ175*AT175*VLOOKUP('Données projet'!$B$10,Paramètres!$A$1:$I$89,3,0)*0.475*44/12</f>
        <v>9.3506210845159205E-23</v>
      </c>
      <c r="AX175" s="21">
        <f t="shared" si="166"/>
        <v>8.3323213791265651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0.79999999999995453</v>
      </c>
      <c r="BE175" s="13">
        <f>BD175*VLOOKUP('Données projet'!$B$11,Paramètres!$A$1:$I$89,3,0)*VLOOKUP('Données projet'!$B$11,Paramètres!$A$1:$I$89,5,0)</f>
        <v>0.44719999999997456</v>
      </c>
      <c r="BF175" s="13">
        <f t="shared" si="167"/>
        <v>0.22632652264063857</v>
      </c>
      <c r="BG175" s="20">
        <f t="shared" si="168"/>
        <v>1.1730586935990679</v>
      </c>
      <c r="BH175" s="59">
        <f t="shared" si="116"/>
        <v>294.50639202693236</v>
      </c>
      <c r="BI175" s="59">
        <f ca="1">AVERAGE(OFFSET($BH$3,0,0,'Données projet'!$E$11+1,1))-AVERAGE(OFFSET($H$3,0,0,'Données projet'!$E$11+1,1))</f>
        <v>321.85808080442411</v>
      </c>
      <c r="BJ175" s="59">
        <f t="shared" si="146"/>
        <v>285.95942591879702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49.741624450767972</v>
      </c>
      <c r="BQ175" s="21">
        <f>EXP(-LN(2)/25)*BQ174+(1-EXP(-LN(2)/25))/(LN(2)/25)*Calculateur!BL175*Calculateur!BN175*VLOOKUP('Données projet'!$B$11,Paramètres!$A$1:$I$89,3,0)*0.475*44/12</f>
        <v>0.50683623553382451</v>
      </c>
      <c r="BR175" s="21">
        <f>EXP(-LN(2)/2)*BR174+(1-EXP(-LN(2)/2))/(LN(2)/2)*BL175*BO175*VLOOKUP('Données projet'!$B$11,Paramètres!$A$1:$I$89,3,0)*0.475*44/12</f>
        <v>7.6503396202243596E-22</v>
      </c>
      <c r="BS175" s="22">
        <f t="shared" si="169"/>
        <v>50.248460686301797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689</v>
      </c>
      <c r="O176" s="13">
        <f>N176*VLOOKUP('Données projet'!$B$9,Paramètres!$A$1:$I$89,3,0)*VLOOKUP('Données projet'!$B$9,Paramètres!$A$1:$I$89,5,0)</f>
        <v>412.02199999999999</v>
      </c>
      <c r="P176" s="13">
        <f t="shared" si="141"/>
        <v>94.209724877926391</v>
      </c>
      <c r="Q176" s="20">
        <f t="shared" si="162"/>
        <v>881.686920829055</v>
      </c>
      <c r="R176" s="59">
        <f t="shared" si="109"/>
        <v>1175.0202541623883</v>
      </c>
      <c r="S176" s="59">
        <f ca="1">AVERAGE(OFFSET($R$3,0,0,'Données projet'!$E$9+1,1))-AVERAGE(OFFSET($H$3,0,0,'Données projet'!$E$9+1,1))</f>
        <v>430.93760474982633</v>
      </c>
      <c r="T176" s="59">
        <f t="shared" si="142"/>
        <v>371.5387876502981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15.51586911620798</v>
      </c>
      <c r="AA176" s="21">
        <f>EXP(-LN(2)/25)*AA175+(1-EXP(-LN(2)/25))/(LN(2)/25)*Calculateur!V176*Calculateur!X176*VLOOKUP('Données projet'!$B$9,Paramètres!$A$1:$I$89,3,0)*0.475*44/12</f>
        <v>1.117044798343463</v>
      </c>
      <c r="AB176" s="21">
        <f>EXP(-LN(2)/2)*AB175+(1-EXP(-LN(2)/2))/(LN(2)/2)*V176*Y176*VLOOKUP('Données projet'!$B$9,Paramètres!$A$1:$I$89,3,0)*0.475*44/12</f>
        <v>1.5681770777156913E-23</v>
      </c>
      <c r="AC176" s="22">
        <f t="shared" si="163"/>
        <v>16.632913914551445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304</v>
      </c>
      <c r="AJ176" s="13">
        <f>AI176*VLOOKUP('Données projet'!$B$10,Paramètres!$A$1:$I$89,3,0)*VLOOKUP('Données projet'!$B$10,Paramètres!$A$1:$I$89,5,0)</f>
        <v>189.696</v>
      </c>
      <c r="AK176" s="13">
        <f t="shared" si="164"/>
        <v>47.472736505152469</v>
      </c>
      <c r="AL176" s="20">
        <f t="shared" si="165"/>
        <v>413.06888274647389</v>
      </c>
      <c r="AM176" s="59">
        <f t="shared" si="113"/>
        <v>706.4022160798072</v>
      </c>
      <c r="AN176" s="59">
        <f ca="1">AVERAGE(OFFSET($AM$3,0,0,'Données projet'!$E$10+1,1))-AVERAGE(OFFSET($H$3,0,0,'Données projet'!$E$10+1,1))</f>
        <v>179.44051550872138</v>
      </c>
      <c r="AO176" s="59">
        <f t="shared" si="144"/>
        <v>272.9500808380069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7.2435921644262269</v>
      </c>
      <c r="AV176" s="21">
        <f>EXP(-LN(2)/25)*AV175+(1-EXP(-LN(2)/25))/(LN(2)/25)*Calculateur!AQ176*Calculateur!AS176*VLOOKUP('Données projet'!$B$10,Paramètres!$A$1:$I$89,3,0)*0.475*44/12</f>
        <v>0.91803620275283981</v>
      </c>
      <c r="AW176" s="21">
        <f>EXP(-LN(2)/2)*AW175+(1-EXP(-LN(2)/2))/(LN(2)/2)*AQ176*AT176*VLOOKUP('Données projet'!$B$10,Paramètres!$A$1:$I$89,3,0)*0.475*44/12</f>
        <v>6.6118875771671166E-23</v>
      </c>
      <c r="AX176" s="21">
        <f t="shared" si="166"/>
        <v>8.1616283671790661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0.79999999999995453</v>
      </c>
      <c r="BE176" s="13">
        <f>BD176*VLOOKUP('Données projet'!$B$11,Paramètres!$A$1:$I$89,3,0)*VLOOKUP('Données projet'!$B$11,Paramètres!$A$1:$I$89,5,0)</f>
        <v>0.44719999999997456</v>
      </c>
      <c r="BF176" s="13">
        <f t="shared" si="167"/>
        <v>0.22632652264063857</v>
      </c>
      <c r="BG176" s="20">
        <f t="shared" si="168"/>
        <v>1.1730586935990679</v>
      </c>
      <c r="BH176" s="59">
        <f t="shared" si="116"/>
        <v>294.50639202693236</v>
      </c>
      <c r="BI176" s="59">
        <f ca="1">AVERAGE(OFFSET($BH$3,0,0,'Données projet'!$E$11+1,1))-AVERAGE(OFFSET($H$3,0,0,'Données projet'!$E$11+1,1))</f>
        <v>321.85808080442411</v>
      </c>
      <c r="BJ176" s="59">
        <f t="shared" si="146"/>
        <v>285.95942591879702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48.766221534683559</v>
      </c>
      <c r="BQ176" s="21">
        <f>EXP(-LN(2)/25)*BQ175+(1-EXP(-LN(2)/25))/(LN(2)/25)*Calculateur!BL176*Calculateur!BN176*VLOOKUP('Données projet'!$B$11,Paramètres!$A$1:$I$89,3,0)*0.475*44/12</f>
        <v>0.49297677201979284</v>
      </c>
      <c r="BR176" s="21">
        <f>EXP(-LN(2)/2)*BR175+(1-EXP(-LN(2)/2))/(LN(2)/2)*BL176*BO176*VLOOKUP('Données projet'!$B$11,Paramètres!$A$1:$I$89,3,0)*0.475*44/12</f>
        <v>5.4096070238407613E-22</v>
      </c>
      <c r="BS176" s="22">
        <f t="shared" si="169"/>
        <v>49.259198306703354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689</v>
      </c>
      <c r="O177" s="13">
        <f>N177*VLOOKUP('Données projet'!$B$9,Paramètres!$A$1:$I$89,3,0)*VLOOKUP('Données projet'!$B$9,Paramètres!$A$1:$I$89,5,0)</f>
        <v>412.02199999999999</v>
      </c>
      <c r="P177" s="13">
        <f t="shared" si="141"/>
        <v>94.209724877926391</v>
      </c>
      <c r="Q177" s="20">
        <f t="shared" si="162"/>
        <v>881.686920829055</v>
      </c>
      <c r="R177" s="59">
        <f t="shared" si="109"/>
        <v>1175.0202541623883</v>
      </c>
      <c r="S177" s="59">
        <f ca="1">AVERAGE(OFFSET($R$3,0,0,'Données projet'!$E$9+1,1))-AVERAGE(OFFSET($H$3,0,0,'Données projet'!$E$9+1,1))</f>
        <v>430.93760474982633</v>
      </c>
      <c r="T177" s="59">
        <f t="shared" si="142"/>
        <v>371.5387876502981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15.211612386584836</v>
      </c>
      <c r="AA177" s="21">
        <f>EXP(-LN(2)/25)*AA176+(1-EXP(-LN(2)/25))/(LN(2)/25)*Calculateur!V177*Calculateur!X177*VLOOKUP('Données projet'!$B$9,Paramètres!$A$1:$I$89,3,0)*0.475*44/12</f>
        <v>1.0864991495899281</v>
      </c>
      <c r="AB177" s="21">
        <f>EXP(-LN(2)/2)*AB176+(1-EXP(-LN(2)/2))/(LN(2)/2)*V177*Y177*VLOOKUP('Données projet'!$B$9,Paramètres!$A$1:$I$89,3,0)*0.475*44/12</f>
        <v>1.1088686457540689E-23</v>
      </c>
      <c r="AC177" s="22">
        <f t="shared" si="163"/>
        <v>16.298111536174765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304</v>
      </c>
      <c r="AJ177" s="13">
        <f>AI177*VLOOKUP('Données projet'!$B$10,Paramètres!$A$1:$I$89,3,0)*VLOOKUP('Données projet'!$B$10,Paramètres!$A$1:$I$89,5,0)</f>
        <v>189.696</v>
      </c>
      <c r="AK177" s="13">
        <f t="shared" si="164"/>
        <v>47.472736505152469</v>
      </c>
      <c r="AL177" s="20">
        <f t="shared" si="165"/>
        <v>413.06888274647389</v>
      </c>
      <c r="AM177" s="59">
        <f t="shared" si="113"/>
        <v>706.4022160798072</v>
      </c>
      <c r="AN177" s="59">
        <f ca="1">AVERAGE(OFFSET($AM$3,0,0,'Données projet'!$E$10+1,1))-AVERAGE(OFFSET($H$3,0,0,'Données projet'!$E$10+1,1))</f>
        <v>179.44051550872138</v>
      </c>
      <c r="AO177" s="59">
        <f t="shared" si="144"/>
        <v>272.9500808380069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7.1015497402367922</v>
      </c>
      <c r="AV177" s="21">
        <f>EXP(-LN(2)/25)*AV176+(1-EXP(-LN(2)/25))/(LN(2)/25)*Calculateur!AQ177*Calculateur!AS177*VLOOKUP('Données projet'!$B$10,Paramètres!$A$1:$I$89,3,0)*0.475*44/12</f>
        <v>0.89293245451113767</v>
      </c>
      <c r="AW177" s="21">
        <f>EXP(-LN(2)/2)*AW176+(1-EXP(-LN(2)/2))/(LN(2)/2)*AQ177*AT177*VLOOKUP('Données projet'!$B$10,Paramètres!$A$1:$I$89,3,0)*0.475*44/12</f>
        <v>4.6753105422579602E-23</v>
      </c>
      <c r="AX177" s="21">
        <f t="shared" si="166"/>
        <v>7.9944821947479294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0.79999999999995453</v>
      </c>
      <c r="BE177" s="13">
        <f>BD177*VLOOKUP('Données projet'!$B$11,Paramètres!$A$1:$I$89,3,0)*VLOOKUP('Données projet'!$B$11,Paramètres!$A$1:$I$89,5,0)</f>
        <v>0.44719999999997456</v>
      </c>
      <c r="BF177" s="13">
        <f t="shared" si="167"/>
        <v>0.22632652264063857</v>
      </c>
      <c r="BG177" s="20">
        <f t="shared" si="168"/>
        <v>1.1730586935990679</v>
      </c>
      <c r="BH177" s="59">
        <f t="shared" si="116"/>
        <v>294.50639202693236</v>
      </c>
      <c r="BI177" s="59">
        <f ca="1">AVERAGE(OFFSET($BH$3,0,0,'Données projet'!$E$11+1,1))-AVERAGE(OFFSET($H$3,0,0,'Données projet'!$E$11+1,1))</f>
        <v>321.85808080442411</v>
      </c>
      <c r="BJ177" s="59">
        <f t="shared" si="146"/>
        <v>285.95942591879702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47.809945674846531</v>
      </c>
      <c r="BQ177" s="21">
        <f>EXP(-LN(2)/25)*BQ176+(1-EXP(-LN(2)/25))/(LN(2)/25)*Calculateur!BL177*Calculateur!BN177*VLOOKUP('Données projet'!$B$11,Paramètres!$A$1:$I$89,3,0)*0.475*44/12</f>
        <v>0.47949629626438989</v>
      </c>
      <c r="BR177" s="21">
        <f>EXP(-LN(2)/2)*BR176+(1-EXP(-LN(2)/2))/(LN(2)/2)*BL177*BO177*VLOOKUP('Données projet'!$B$11,Paramètres!$A$1:$I$89,3,0)*0.475*44/12</f>
        <v>3.8251698101121798E-22</v>
      </c>
      <c r="BS177" s="22">
        <f t="shared" si="169"/>
        <v>48.289441971110918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689</v>
      </c>
      <c r="O178" s="13">
        <f>N178*VLOOKUP('Données projet'!$B$9,Paramètres!$A$1:$I$89,3,0)*VLOOKUP('Données projet'!$B$9,Paramètres!$A$1:$I$89,5,0)</f>
        <v>412.02199999999999</v>
      </c>
      <c r="P178" s="13">
        <f t="shared" si="141"/>
        <v>94.209724877926391</v>
      </c>
      <c r="Q178" s="20">
        <f t="shared" si="162"/>
        <v>881.686920829055</v>
      </c>
      <c r="R178" s="59">
        <f t="shared" si="109"/>
        <v>1175.0202541623883</v>
      </c>
      <c r="S178" s="59">
        <f ca="1">AVERAGE(OFFSET($R$3,0,0,'Données projet'!$E$9+1,1))-AVERAGE(OFFSET($H$3,0,0,'Données projet'!$E$9+1,1))</f>
        <v>430.93760474982633</v>
      </c>
      <c r="T178" s="59">
        <f t="shared" si="142"/>
        <v>371.5387876502981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14.913321945851321</v>
      </c>
      <c r="AA178" s="21">
        <f>EXP(-LN(2)/25)*AA177+(1-EXP(-LN(2)/25))/(LN(2)/25)*Calculateur!V178*Calculateur!X178*VLOOKUP('Données projet'!$B$9,Paramètres!$A$1:$I$89,3,0)*0.475*44/12</f>
        <v>1.0567887732078844</v>
      </c>
      <c r="AB178" s="21">
        <f>EXP(-LN(2)/2)*AB177+(1-EXP(-LN(2)/2))/(LN(2)/2)*V178*Y178*VLOOKUP('Données projet'!$B$9,Paramètres!$A$1:$I$89,3,0)*0.475*44/12</f>
        <v>7.8408853885784565E-24</v>
      </c>
      <c r="AC178" s="22">
        <f t="shared" si="163"/>
        <v>15.970110719059205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304</v>
      </c>
      <c r="AJ178" s="13">
        <f>AI178*VLOOKUP('Données projet'!$B$10,Paramètres!$A$1:$I$89,3,0)*VLOOKUP('Données projet'!$B$10,Paramètres!$A$1:$I$89,5,0)</f>
        <v>189.696</v>
      </c>
      <c r="AK178" s="13">
        <f t="shared" si="164"/>
        <v>47.472736505152469</v>
      </c>
      <c r="AL178" s="20">
        <f t="shared" si="165"/>
        <v>413.06888274647389</v>
      </c>
      <c r="AM178" s="59">
        <f t="shared" si="113"/>
        <v>706.4022160798072</v>
      </c>
      <c r="AN178" s="59">
        <f ca="1">AVERAGE(OFFSET($AM$3,0,0,'Données projet'!$E$10+1,1))-AVERAGE(OFFSET($H$3,0,0,'Données projet'!$E$10+1,1))</f>
        <v>179.44051550872138</v>
      </c>
      <c r="AO178" s="59">
        <f t="shared" si="144"/>
        <v>272.9500808380069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6.9622926813483881</v>
      </c>
      <c r="AV178" s="21">
        <f>EXP(-LN(2)/25)*AV177+(1-EXP(-LN(2)/25))/(LN(2)/25)*Calculateur!AQ178*Calculateur!AS178*VLOOKUP('Données projet'!$B$10,Paramètres!$A$1:$I$89,3,0)*0.475*44/12</f>
        <v>0.86851516958525365</v>
      </c>
      <c r="AW178" s="21">
        <f>EXP(-LN(2)/2)*AW177+(1-EXP(-LN(2)/2))/(LN(2)/2)*AQ178*AT178*VLOOKUP('Données projet'!$B$10,Paramètres!$A$1:$I$89,3,0)*0.475*44/12</f>
        <v>3.3059437885835583E-23</v>
      </c>
      <c r="AX178" s="21">
        <f t="shared" si="166"/>
        <v>7.8308078509336418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0.79999999999995453</v>
      </c>
      <c r="BE178" s="13">
        <f>BD178*VLOOKUP('Données projet'!$B$11,Paramètres!$A$1:$I$89,3,0)*VLOOKUP('Données projet'!$B$11,Paramètres!$A$1:$I$89,5,0)</f>
        <v>0.44719999999997456</v>
      </c>
      <c r="BF178" s="13">
        <f t="shared" si="167"/>
        <v>0.22632652264063857</v>
      </c>
      <c r="BG178" s="20">
        <f t="shared" si="168"/>
        <v>1.1730586935990679</v>
      </c>
      <c r="BH178" s="59">
        <f t="shared" si="116"/>
        <v>294.50639202693236</v>
      </c>
      <c r="BI178" s="59">
        <f ca="1">AVERAGE(OFFSET($BH$3,0,0,'Données projet'!$E$11+1,1))-AVERAGE(OFFSET($H$3,0,0,'Données projet'!$E$11+1,1))</f>
        <v>321.85808080442411</v>
      </c>
      <c r="BJ178" s="59">
        <f t="shared" si="146"/>
        <v>285.95942591879702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46.872421801350228</v>
      </c>
      <c r="BQ178" s="21">
        <f>EXP(-LN(2)/25)*BQ177+(1-EXP(-LN(2)/25))/(LN(2)/25)*Calculateur!BL178*Calculateur!BN178*VLOOKUP('Données projet'!$B$11,Paramètres!$A$1:$I$89,3,0)*0.475*44/12</f>
        <v>0.4663844448274258</v>
      </c>
      <c r="BR178" s="21">
        <f>EXP(-LN(2)/2)*BR177+(1-EXP(-LN(2)/2))/(LN(2)/2)*BL178*BO178*VLOOKUP('Données projet'!$B$11,Paramètres!$A$1:$I$89,3,0)*0.475*44/12</f>
        <v>2.7048035119203806E-22</v>
      </c>
      <c r="BS178" s="22">
        <f t="shared" si="169"/>
        <v>47.338806246177654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689</v>
      </c>
      <c r="O179" s="13">
        <f>N179*VLOOKUP('Données projet'!$B$9,Paramètres!$A$1:$I$89,3,0)*VLOOKUP('Données projet'!$B$9,Paramètres!$A$1:$I$89,5,0)</f>
        <v>412.02199999999999</v>
      </c>
      <c r="P179" s="13">
        <f t="shared" si="141"/>
        <v>94.209724877926391</v>
      </c>
      <c r="Q179" s="20">
        <f t="shared" si="162"/>
        <v>881.686920829055</v>
      </c>
      <c r="R179" s="59">
        <f t="shared" si="109"/>
        <v>1175.0202541623883</v>
      </c>
      <c r="S179" s="59">
        <f ca="1">AVERAGE(OFFSET($R$3,0,0,'Données projet'!$E$9+1,1))-AVERAGE(OFFSET($H$3,0,0,'Données projet'!$E$9+1,1))</f>
        <v>430.93760474982633</v>
      </c>
      <c r="T179" s="59">
        <f t="shared" si="142"/>
        <v>371.5387876502981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14.620880798721386</v>
      </c>
      <c r="AA179" s="21">
        <f>EXP(-LN(2)/25)*AA178+(1-EXP(-LN(2)/25))/(LN(2)/25)*Calculateur!V179*Calculateur!X179*VLOOKUP('Données projet'!$B$9,Paramètres!$A$1:$I$89,3,0)*0.475*44/12</f>
        <v>1.0278908286304085</v>
      </c>
      <c r="AB179" s="21">
        <f>EXP(-LN(2)/2)*AB178+(1-EXP(-LN(2)/2))/(LN(2)/2)*V179*Y179*VLOOKUP('Données projet'!$B$9,Paramètres!$A$1:$I$89,3,0)*0.475*44/12</f>
        <v>5.5443432287703444E-24</v>
      </c>
      <c r="AC179" s="22">
        <f t="shared" si="163"/>
        <v>15.648771627351794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304</v>
      </c>
      <c r="AJ179" s="13">
        <f>AI179*VLOOKUP('Données projet'!$B$10,Paramètres!$A$1:$I$89,3,0)*VLOOKUP('Données projet'!$B$10,Paramètres!$A$1:$I$89,5,0)</f>
        <v>189.696</v>
      </c>
      <c r="AK179" s="13">
        <f t="shared" si="164"/>
        <v>47.472736505152469</v>
      </c>
      <c r="AL179" s="20">
        <f t="shared" si="165"/>
        <v>413.06888274647389</v>
      </c>
      <c r="AM179" s="59">
        <f t="shared" si="113"/>
        <v>706.4022160798072</v>
      </c>
      <c r="AN179" s="59">
        <f ca="1">AVERAGE(OFFSET($AM$3,0,0,'Données projet'!$E$10+1,1))-AVERAGE(OFFSET($H$3,0,0,'Données projet'!$E$10+1,1))</f>
        <v>179.44051550872138</v>
      </c>
      <c r="AO179" s="59">
        <f t="shared" si="144"/>
        <v>272.9500808380069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6.8257663684463665</v>
      </c>
      <c r="AV179" s="21">
        <f>EXP(-LN(2)/25)*AV178+(1-EXP(-LN(2)/25))/(LN(2)/25)*Calculateur!AQ179*Calculateur!AS179*VLOOKUP('Données projet'!$B$10,Paramètres!$A$1:$I$89,3,0)*0.475*44/12</f>
        <v>0.84476557659971718</v>
      </c>
      <c r="AW179" s="21">
        <f>EXP(-LN(2)/2)*AW178+(1-EXP(-LN(2)/2))/(LN(2)/2)*AQ179*AT179*VLOOKUP('Données projet'!$B$10,Paramètres!$A$1:$I$89,3,0)*0.475*44/12</f>
        <v>2.3376552711289801E-23</v>
      </c>
      <c r="AX179" s="21">
        <f t="shared" si="166"/>
        <v>7.6705319450460836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0.79999999999995453</v>
      </c>
      <c r="BE179" s="13">
        <f>BD179*VLOOKUP('Données projet'!$B$11,Paramètres!$A$1:$I$89,3,0)*VLOOKUP('Données projet'!$B$11,Paramètres!$A$1:$I$89,5,0)</f>
        <v>0.44719999999997456</v>
      </c>
      <c r="BF179" s="13">
        <f t="shared" si="167"/>
        <v>0.22632652264063857</v>
      </c>
      <c r="BG179" s="20">
        <f t="shared" si="168"/>
        <v>1.1730586935990679</v>
      </c>
      <c r="BH179" s="59">
        <f t="shared" si="116"/>
        <v>294.50639202693236</v>
      </c>
      <c r="BI179" s="59">
        <f ca="1">AVERAGE(OFFSET($BH$3,0,0,'Données projet'!$E$11+1,1))-AVERAGE(OFFSET($H$3,0,0,'Données projet'!$E$11+1,1))</f>
        <v>321.85808080442411</v>
      </c>
      <c r="BJ179" s="59">
        <f t="shared" si="146"/>
        <v>285.95942591879702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45.953282199180087</v>
      </c>
      <c r="BQ179" s="21">
        <f>EXP(-LN(2)/25)*BQ178+(1-EXP(-LN(2)/25))/(LN(2)/25)*Calculateur!BL179*Calculateur!BN179*VLOOKUP('Données projet'!$B$11,Paramètres!$A$1:$I$89,3,0)*0.475*44/12</f>
        <v>0.45363113765752783</v>
      </c>
      <c r="BR179" s="21">
        <f>EXP(-LN(2)/2)*BR178+(1-EXP(-LN(2)/2))/(LN(2)/2)*BL179*BO179*VLOOKUP('Données projet'!$B$11,Paramètres!$A$1:$I$89,3,0)*0.475*44/12</f>
        <v>1.9125849050560899E-22</v>
      </c>
      <c r="BS179" s="22">
        <f t="shared" si="169"/>
        <v>46.406913336837619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689</v>
      </c>
      <c r="O180" s="13">
        <f>N180*VLOOKUP('Données projet'!$B$9,Paramètres!$A$1:$I$89,3,0)*VLOOKUP('Données projet'!$B$9,Paramètres!$A$1:$I$89,5,0)</f>
        <v>412.02199999999999</v>
      </c>
      <c r="P180" s="13">
        <f t="shared" si="141"/>
        <v>94.209724877926391</v>
      </c>
      <c r="Q180" s="20">
        <f t="shared" si="162"/>
        <v>881.686920829055</v>
      </c>
      <c r="R180" s="59">
        <f t="shared" si="109"/>
        <v>1175.0202541623883</v>
      </c>
      <c r="S180" s="59">
        <f ca="1">AVERAGE(OFFSET($R$3,0,0,'Données projet'!$E$9+1,1))-AVERAGE(OFFSET($H$3,0,0,'Données projet'!$E$9+1,1))</f>
        <v>430.93760474982633</v>
      </c>
      <c r="T180" s="59">
        <f t="shared" si="142"/>
        <v>371.5387876502981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14.33417424411518</v>
      </c>
      <c r="AA180" s="21">
        <f>EXP(-LN(2)/25)*AA179+(1-EXP(-LN(2)/25))/(LN(2)/25)*Calculateur!V180*Calculateur!X180*VLOOKUP('Données projet'!$B$9,Paramètres!$A$1:$I$89,3,0)*0.475*44/12</f>
        <v>0.99978309986708058</v>
      </c>
      <c r="AB180" s="21">
        <f>EXP(-LN(2)/2)*AB179+(1-EXP(-LN(2)/2))/(LN(2)/2)*V180*Y180*VLOOKUP('Données projet'!$B$9,Paramètres!$A$1:$I$89,3,0)*0.475*44/12</f>
        <v>3.9204426942892283E-24</v>
      </c>
      <c r="AC180" s="22">
        <f t="shared" si="163"/>
        <v>15.333957343982261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304</v>
      </c>
      <c r="AJ180" s="13">
        <f>AI180*VLOOKUP('Données projet'!$B$10,Paramètres!$A$1:$I$89,3,0)*VLOOKUP('Données projet'!$B$10,Paramètres!$A$1:$I$89,5,0)</f>
        <v>189.696</v>
      </c>
      <c r="AK180" s="13">
        <f t="shared" si="164"/>
        <v>47.472736505152469</v>
      </c>
      <c r="AL180" s="20">
        <f t="shared" si="165"/>
        <v>413.06888274647389</v>
      </c>
      <c r="AM180" s="59">
        <f t="shared" si="113"/>
        <v>706.4022160798072</v>
      </c>
      <c r="AN180" s="59">
        <f ca="1">AVERAGE(OFFSET($AM$3,0,0,'Données projet'!$E$10+1,1))-AVERAGE(OFFSET($H$3,0,0,'Données projet'!$E$10+1,1))</f>
        <v>179.44051550872138</v>
      </c>
      <c r="AO180" s="59">
        <f t="shared" si="144"/>
        <v>272.9500808380069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6.6919172532675253</v>
      </c>
      <c r="AV180" s="21">
        <f>EXP(-LN(2)/25)*AV179+(1-EXP(-LN(2)/25))/(LN(2)/25)*Calculateur!AQ180*Calculateur!AS180*VLOOKUP('Données projet'!$B$10,Paramètres!$A$1:$I$89,3,0)*0.475*44/12</f>
        <v>0.82166541748330701</v>
      </c>
      <c r="AW180" s="21">
        <f>EXP(-LN(2)/2)*AW179+(1-EXP(-LN(2)/2))/(LN(2)/2)*AQ180*AT180*VLOOKUP('Données projet'!$B$10,Paramètres!$A$1:$I$89,3,0)*0.475*44/12</f>
        <v>1.6529718942917792E-23</v>
      </c>
      <c r="AX180" s="21">
        <f t="shared" si="166"/>
        <v>7.5135826707508322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0.79999999999995453</v>
      </c>
      <c r="BE180" s="13">
        <f>BD180*VLOOKUP('Données projet'!$B$11,Paramètres!$A$1:$I$89,3,0)*VLOOKUP('Données projet'!$B$11,Paramètres!$A$1:$I$89,5,0)</f>
        <v>0.44719999999997456</v>
      </c>
      <c r="BF180" s="13">
        <f t="shared" si="167"/>
        <v>0.22632652264063857</v>
      </c>
      <c r="BG180" s="20">
        <f t="shared" si="168"/>
        <v>1.1730586935990679</v>
      </c>
      <c r="BH180" s="59">
        <f t="shared" si="116"/>
        <v>294.50639202693236</v>
      </c>
      <c r="BI180" s="59">
        <f ca="1">AVERAGE(OFFSET($BH$3,0,0,'Données projet'!$E$11+1,1))-AVERAGE(OFFSET($H$3,0,0,'Données projet'!$E$11+1,1))</f>
        <v>321.85808080442411</v>
      </c>
      <c r="BJ180" s="59">
        <f t="shared" si="146"/>
        <v>285.95942591879702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45.052166363988697</v>
      </c>
      <c r="BQ180" s="21">
        <f>EXP(-LN(2)/25)*BQ179+(1-EXP(-LN(2)/25))/(LN(2)/25)*Calculateur!BL180*Calculateur!BN180*VLOOKUP('Données projet'!$B$11,Paramètres!$A$1:$I$89,3,0)*0.475*44/12</f>
        <v>0.441226570342858</v>
      </c>
      <c r="BR180" s="21">
        <f>EXP(-LN(2)/2)*BR179+(1-EXP(-LN(2)/2))/(LN(2)/2)*BL180*BO180*VLOOKUP('Données projet'!$B$11,Paramètres!$A$1:$I$89,3,0)*0.475*44/12</f>
        <v>1.3524017559601903E-22</v>
      </c>
      <c r="BS180" s="22">
        <f t="shared" si="169"/>
        <v>45.493392934331553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689</v>
      </c>
      <c r="O181" s="13">
        <f>N181*VLOOKUP('Données projet'!$B$9,Paramètres!$A$1:$I$89,3,0)*VLOOKUP('Données projet'!$B$9,Paramètres!$A$1:$I$89,5,0)</f>
        <v>412.02199999999999</v>
      </c>
      <c r="P181" s="13">
        <f t="shared" si="141"/>
        <v>94.209724877926391</v>
      </c>
      <c r="Q181" s="20">
        <f t="shared" si="162"/>
        <v>881.686920829055</v>
      </c>
      <c r="R181" s="59">
        <f t="shared" si="109"/>
        <v>1175.0202541623883</v>
      </c>
      <c r="S181" s="59">
        <f ca="1">AVERAGE(OFFSET($R$3,0,0,'Données projet'!$E$9+1,1))-AVERAGE(OFFSET($H$3,0,0,'Données projet'!$E$9+1,1))</f>
        <v>430.93760474982633</v>
      </c>
      <c r="T181" s="59">
        <f t="shared" si="142"/>
        <v>371.5387876502981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14.053089830171073</v>
      </c>
      <c r="AA181" s="21">
        <f>EXP(-LN(2)/25)*AA180+(1-EXP(-LN(2)/25))/(LN(2)/25)*Calculateur!V181*Calculateur!X181*VLOOKUP('Données projet'!$B$9,Paramètres!$A$1:$I$89,3,0)*0.475*44/12</f>
        <v>0.97244397842490704</v>
      </c>
      <c r="AB181" s="21">
        <f>EXP(-LN(2)/2)*AB180+(1-EXP(-LN(2)/2))/(LN(2)/2)*V181*Y181*VLOOKUP('Données projet'!$B$9,Paramètres!$A$1:$I$89,3,0)*0.475*44/12</f>
        <v>2.7721716143851722E-24</v>
      </c>
      <c r="AC181" s="22">
        <f t="shared" si="163"/>
        <v>15.025533808595981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304</v>
      </c>
      <c r="AJ181" s="13">
        <f>AI181*VLOOKUP('Données projet'!$B$10,Paramètres!$A$1:$I$89,3,0)*VLOOKUP('Données projet'!$B$10,Paramètres!$A$1:$I$89,5,0)</f>
        <v>189.696</v>
      </c>
      <c r="AK181" s="13">
        <f t="shared" si="164"/>
        <v>47.472736505152469</v>
      </c>
      <c r="AL181" s="20">
        <f t="shared" si="165"/>
        <v>413.06888274647389</v>
      </c>
      <c r="AM181" s="59">
        <f t="shared" si="113"/>
        <v>706.4022160798072</v>
      </c>
      <c r="AN181" s="59">
        <f ca="1">AVERAGE(OFFSET($AM$3,0,0,'Données projet'!$E$10+1,1))-AVERAGE(OFFSET($H$3,0,0,'Données projet'!$E$10+1,1))</f>
        <v>179.44051550872138</v>
      </c>
      <c r="AO181" s="59">
        <f t="shared" si="144"/>
        <v>272.9500808380069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6.5606928375974425</v>
      </c>
      <c r="AV181" s="21">
        <f>EXP(-LN(2)/25)*AV180+(1-EXP(-LN(2)/25))/(LN(2)/25)*Calculateur!AQ181*Calculateur!AS181*VLOOKUP('Données projet'!$B$10,Paramètres!$A$1:$I$89,3,0)*0.475*44/12</f>
        <v>0.79919693343271958</v>
      </c>
      <c r="AW181" s="21">
        <f>EXP(-LN(2)/2)*AW180+(1-EXP(-LN(2)/2))/(LN(2)/2)*AQ181*AT181*VLOOKUP('Données projet'!$B$10,Paramètres!$A$1:$I$89,3,0)*0.475*44/12</f>
        <v>1.1688276355644901E-23</v>
      </c>
      <c r="AX181" s="21">
        <f t="shared" si="166"/>
        <v>7.3598897710301623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0.79999999999995453</v>
      </c>
      <c r="BE181" s="13">
        <f>BD181*VLOOKUP('Données projet'!$B$11,Paramètres!$A$1:$I$89,3,0)*VLOOKUP('Données projet'!$B$11,Paramètres!$A$1:$I$89,5,0)</f>
        <v>0.44719999999997456</v>
      </c>
      <c r="BF181" s="13">
        <f t="shared" si="167"/>
        <v>0.22632652264063857</v>
      </c>
      <c r="BG181" s="20">
        <f t="shared" si="168"/>
        <v>1.1730586935990679</v>
      </c>
      <c r="BH181" s="59">
        <f t="shared" si="116"/>
        <v>294.50639202693236</v>
      </c>
      <c r="BI181" s="59">
        <f ca="1">AVERAGE(OFFSET($BH$3,0,0,'Données projet'!$E$11+1,1))-AVERAGE(OFFSET($H$3,0,0,'Données projet'!$E$11+1,1))</f>
        <v>321.85808080442411</v>
      </c>
      <c r="BJ181" s="59">
        <f t="shared" si="146"/>
        <v>285.95942591879702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44.168720860699025</v>
      </c>
      <c r="BQ181" s="21">
        <f>EXP(-LN(2)/25)*BQ180+(1-EXP(-LN(2)/25))/(LN(2)/25)*Calculateur!BL181*Calculateur!BN181*VLOOKUP('Données projet'!$B$11,Paramètres!$A$1:$I$89,3,0)*0.475*44/12</f>
        <v>0.42916120657373563</v>
      </c>
      <c r="BR181" s="21">
        <f>EXP(-LN(2)/2)*BR180+(1-EXP(-LN(2)/2))/(LN(2)/2)*BL181*BO181*VLOOKUP('Données projet'!$B$11,Paramètres!$A$1:$I$89,3,0)*0.475*44/12</f>
        <v>9.5629245252804495E-23</v>
      </c>
      <c r="BS181" s="22">
        <f t="shared" si="169"/>
        <v>44.597882067272764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689</v>
      </c>
      <c r="O182" s="13">
        <f>N182*VLOOKUP('Données projet'!$B$9,Paramètres!$A$1:$I$89,3,0)*VLOOKUP('Données projet'!$B$9,Paramètres!$A$1:$I$89,5,0)</f>
        <v>412.02199999999999</v>
      </c>
      <c r="P182" s="13">
        <f t="shared" si="141"/>
        <v>94.209724877926391</v>
      </c>
      <c r="Q182" s="20">
        <f t="shared" si="162"/>
        <v>881.686920829055</v>
      </c>
      <c r="R182" s="59">
        <f t="shared" si="109"/>
        <v>1175.0202541623883</v>
      </c>
      <c r="S182" s="59">
        <f ca="1">AVERAGE(OFFSET($R$3,0,0,'Données projet'!$E$9+1,1))-AVERAGE(OFFSET($H$3,0,0,'Données projet'!$E$9+1,1))</f>
        <v>430.93760474982633</v>
      </c>
      <c r="T182" s="59">
        <f t="shared" si="142"/>
        <v>371.5387876502981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13.777517310139846</v>
      </c>
      <c r="AA182" s="21">
        <f>EXP(-LN(2)/25)*AA181+(1-EXP(-LN(2)/25))/(LN(2)/25)*Calculateur!V182*Calculateur!X182*VLOOKUP('Données projet'!$B$9,Paramètres!$A$1:$I$89,3,0)*0.475*44/12</f>
        <v>0.94585244669627166</v>
      </c>
      <c r="AB182" s="21">
        <f>EXP(-LN(2)/2)*AB181+(1-EXP(-LN(2)/2))/(LN(2)/2)*V182*Y182*VLOOKUP('Données projet'!$B$9,Paramètres!$A$1:$I$89,3,0)*0.475*44/12</f>
        <v>1.9602213471446141E-24</v>
      </c>
      <c r="AC182" s="22">
        <f t="shared" si="163"/>
        <v>14.723369756836117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304</v>
      </c>
      <c r="AJ182" s="13">
        <f>AI182*VLOOKUP('Données projet'!$B$10,Paramètres!$A$1:$I$89,3,0)*VLOOKUP('Données projet'!$B$10,Paramètres!$A$1:$I$89,5,0)</f>
        <v>189.696</v>
      </c>
      <c r="AK182" s="13">
        <f t="shared" si="164"/>
        <v>47.472736505152469</v>
      </c>
      <c r="AL182" s="20">
        <f t="shared" si="165"/>
        <v>413.06888274647389</v>
      </c>
      <c r="AM182" s="59">
        <f t="shared" si="113"/>
        <v>706.4022160798072</v>
      </c>
      <c r="AN182" s="59">
        <f ca="1">AVERAGE(OFFSET($AM$3,0,0,'Données projet'!$E$10+1,1))-AVERAGE(OFFSET($H$3,0,0,'Données projet'!$E$10+1,1))</f>
        <v>179.44051550872138</v>
      </c>
      <c r="AO182" s="59">
        <f t="shared" si="144"/>
        <v>272.9500808380069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6.4320416526796595</v>
      </c>
      <c r="AV182" s="21">
        <f>EXP(-LN(2)/25)*AV181+(1-EXP(-LN(2)/25))/(LN(2)/25)*Calculateur!AQ182*Calculateur!AS182*VLOOKUP('Données projet'!$B$10,Paramètres!$A$1:$I$89,3,0)*0.475*44/12</f>
        <v>0.77734285126006175</v>
      </c>
      <c r="AW182" s="21">
        <f>EXP(-LN(2)/2)*AW181+(1-EXP(-LN(2)/2))/(LN(2)/2)*AQ182*AT182*VLOOKUP('Données projet'!$B$10,Paramètres!$A$1:$I$89,3,0)*0.475*44/12</f>
        <v>8.2648594714588958E-24</v>
      </c>
      <c r="AX182" s="21">
        <f t="shared" si="166"/>
        <v>7.2093845039397211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0.79999999999995453</v>
      </c>
      <c r="BE182" s="13">
        <f>BD182*VLOOKUP('Données projet'!$B$11,Paramètres!$A$1:$I$89,3,0)*VLOOKUP('Données projet'!$B$11,Paramètres!$A$1:$I$89,5,0)</f>
        <v>0.44719999999997456</v>
      </c>
      <c r="BF182" s="13">
        <f t="shared" si="167"/>
        <v>0.22632652264063857</v>
      </c>
      <c r="BG182" s="20">
        <f t="shared" si="168"/>
        <v>1.1730586935990679</v>
      </c>
      <c r="BH182" s="59">
        <f t="shared" si="116"/>
        <v>294.50639202693236</v>
      </c>
      <c r="BI182" s="59">
        <f ca="1">AVERAGE(OFFSET($BH$3,0,0,'Données projet'!$E$11+1,1))-AVERAGE(OFFSET($H$3,0,0,'Données projet'!$E$11+1,1))</f>
        <v>321.85808080442411</v>
      </c>
      <c r="BJ182" s="59">
        <f t="shared" si="146"/>
        <v>285.95942591879702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43.302599184880314</v>
      </c>
      <c r="BQ182" s="21">
        <f>EXP(-LN(2)/25)*BQ181+(1-EXP(-LN(2)/25))/(LN(2)/25)*Calculateur!BL182*Calculateur!BN182*VLOOKUP('Données projet'!$B$11,Paramètres!$A$1:$I$89,3,0)*0.475*44/12</f>
        <v>0.41742577081136983</v>
      </c>
      <c r="BR182" s="21">
        <f>EXP(-LN(2)/2)*BR181+(1-EXP(-LN(2)/2))/(LN(2)/2)*BL182*BO182*VLOOKUP('Données projet'!$B$11,Paramètres!$A$1:$I$89,3,0)*0.475*44/12</f>
        <v>6.7620087798009516E-23</v>
      </c>
      <c r="BS182" s="22">
        <f t="shared" si="169"/>
        <v>43.720024955691684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689</v>
      </c>
      <c r="O183" s="13">
        <f>N183*VLOOKUP('Données projet'!$B$9,Paramètres!$A$1:$I$89,3,0)*VLOOKUP('Données projet'!$B$9,Paramètres!$A$1:$I$89,5,0)</f>
        <v>412.02199999999999</v>
      </c>
      <c r="P183" s="13">
        <f t="shared" si="141"/>
        <v>94.209724877926391</v>
      </c>
      <c r="Q183" s="20">
        <f t="shared" si="162"/>
        <v>881.686920829055</v>
      </c>
      <c r="R183" s="59">
        <f t="shared" si="109"/>
        <v>1175.0202541623883</v>
      </c>
      <c r="S183" s="59">
        <f ca="1">AVERAGE(OFFSET($R$3,0,0,'Données projet'!$E$9+1,1))-AVERAGE(OFFSET($H$3,0,0,'Données projet'!$E$9+1,1))</f>
        <v>430.93760474982633</v>
      </c>
      <c r="T183" s="59">
        <f t="shared" si="142"/>
        <v>371.5387876502981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13.507348599143791</v>
      </c>
      <c r="AA183" s="21">
        <f>EXP(-LN(2)/25)*AA182+(1-EXP(-LN(2)/25))/(LN(2)/25)*Calculateur!V183*Calculateur!X183*VLOOKUP('Données projet'!$B$9,Paramètres!$A$1:$I$89,3,0)*0.475*44/12</f>
        <v>0.91998806180114368</v>
      </c>
      <c r="AB183" s="21">
        <f>EXP(-LN(2)/2)*AB182+(1-EXP(-LN(2)/2))/(LN(2)/2)*V183*Y183*VLOOKUP('Données projet'!$B$9,Paramètres!$A$1:$I$89,3,0)*0.475*44/12</f>
        <v>1.3860858071925861E-24</v>
      </c>
      <c r="AC183" s="22">
        <f t="shared" si="163"/>
        <v>14.427336660944935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304</v>
      </c>
      <c r="AJ183" s="13">
        <f>AI183*VLOOKUP('Données projet'!$B$10,Paramètres!$A$1:$I$89,3,0)*VLOOKUP('Données projet'!$B$10,Paramètres!$A$1:$I$89,5,0)</f>
        <v>189.696</v>
      </c>
      <c r="AK183" s="13">
        <f t="shared" si="164"/>
        <v>47.472736505152469</v>
      </c>
      <c r="AL183" s="20">
        <f t="shared" si="165"/>
        <v>413.06888274647389</v>
      </c>
      <c r="AM183" s="59">
        <f t="shared" si="113"/>
        <v>706.4022160798072</v>
      </c>
      <c r="AN183" s="59">
        <f ca="1">AVERAGE(OFFSET($AM$3,0,0,'Données projet'!$E$10+1,1))-AVERAGE(OFFSET($H$3,0,0,'Données projet'!$E$10+1,1))</f>
        <v>179.44051550872138</v>
      </c>
      <c r="AO183" s="59">
        <f t="shared" si="144"/>
        <v>272.9500808380069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6.3059132390286399</v>
      </c>
      <c r="AV183" s="21">
        <f>EXP(-LN(2)/25)*AV182+(1-EXP(-LN(2)/25))/(LN(2)/25)*Calculateur!AQ183*Calculateur!AS183*VLOOKUP('Données projet'!$B$10,Paramètres!$A$1:$I$89,3,0)*0.475*44/12</f>
        <v>0.75608637011367141</v>
      </c>
      <c r="AW183" s="21">
        <f>EXP(-LN(2)/2)*AW182+(1-EXP(-LN(2)/2))/(LN(2)/2)*AQ183*AT183*VLOOKUP('Données projet'!$B$10,Paramètres!$A$1:$I$89,3,0)*0.475*44/12</f>
        <v>5.8441381778224503E-24</v>
      </c>
      <c r="AX183" s="21">
        <f t="shared" si="166"/>
        <v>7.061999609142311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0.79999999999995453</v>
      </c>
      <c r="BE183" s="13">
        <f>BD183*VLOOKUP('Données projet'!$B$11,Paramètres!$A$1:$I$89,3,0)*VLOOKUP('Données projet'!$B$11,Paramètres!$A$1:$I$89,5,0)</f>
        <v>0.44719999999997456</v>
      </c>
      <c r="BF183" s="13">
        <f t="shared" si="167"/>
        <v>0.22632652264063857</v>
      </c>
      <c r="BG183" s="20">
        <f t="shared" si="168"/>
        <v>1.1730586935990679</v>
      </c>
      <c r="BH183" s="59">
        <f t="shared" si="116"/>
        <v>294.50639202693236</v>
      </c>
      <c r="BI183" s="59">
        <f ca="1">AVERAGE(OFFSET($BH$3,0,0,'Données projet'!$E$11+1,1))-AVERAGE(OFFSET($H$3,0,0,'Données projet'!$E$11+1,1))</f>
        <v>321.85808080442411</v>
      </c>
      <c r="BJ183" s="59">
        <f t="shared" si="146"/>
        <v>285.95942591879702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42.453461626842348</v>
      </c>
      <c r="BQ183" s="21">
        <f>EXP(-LN(2)/25)*BQ182+(1-EXP(-LN(2)/25))/(LN(2)/25)*Calculateur!BL183*Calculateur!BN183*VLOOKUP('Données projet'!$B$11,Paramètres!$A$1:$I$89,3,0)*0.475*44/12</f>
        <v>0.40601124115706566</v>
      </c>
      <c r="BR183" s="21">
        <f>EXP(-LN(2)/2)*BR182+(1-EXP(-LN(2)/2))/(LN(2)/2)*BL183*BO183*VLOOKUP('Données projet'!$B$11,Paramètres!$A$1:$I$89,3,0)*0.475*44/12</f>
        <v>4.7814622626402248E-23</v>
      </c>
      <c r="BS183" s="22">
        <f t="shared" si="169"/>
        <v>42.859472867999415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689</v>
      </c>
      <c r="O184" s="13">
        <f>N184*VLOOKUP('Données projet'!$B$9,Paramètres!$A$1:$I$89,3,0)*VLOOKUP('Données projet'!$B$9,Paramètres!$A$1:$I$89,5,0)</f>
        <v>412.02199999999999</v>
      </c>
      <c r="P184" s="13">
        <f t="shared" si="141"/>
        <v>94.209724877926391</v>
      </c>
      <c r="Q184" s="20">
        <f t="shared" si="162"/>
        <v>881.686920829055</v>
      </c>
      <c r="R184" s="59">
        <f t="shared" si="109"/>
        <v>1175.0202541623883</v>
      </c>
      <c r="S184" s="59">
        <f ca="1">AVERAGE(OFFSET($R$3,0,0,'Données projet'!$E$9+1,1))-AVERAGE(OFFSET($H$3,0,0,'Données projet'!$E$9+1,1))</f>
        <v>430.93760474982633</v>
      </c>
      <c r="T184" s="59">
        <f t="shared" si="142"/>
        <v>371.5387876502981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13.242477731783726</v>
      </c>
      <c r="AA184" s="21">
        <f>EXP(-LN(2)/25)*AA183+(1-EXP(-LN(2)/25))/(LN(2)/25)*Calculateur!V184*Calculateur!X184*VLOOKUP('Données projet'!$B$9,Paramètres!$A$1:$I$89,3,0)*0.475*44/12</f>
        <v>0.89483093987112194</v>
      </c>
      <c r="AB184" s="21">
        <f>EXP(-LN(2)/2)*AB183+(1-EXP(-LN(2)/2))/(LN(2)/2)*V184*Y184*VLOOKUP('Données projet'!$B$9,Paramètres!$A$1:$I$89,3,0)*0.475*44/12</f>
        <v>9.8011067357230706E-25</v>
      </c>
      <c r="AC184" s="22">
        <f t="shared" si="163"/>
        <v>14.137308671654848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304</v>
      </c>
      <c r="AJ184" s="13">
        <f>AI184*VLOOKUP('Données projet'!$B$10,Paramètres!$A$1:$I$89,3,0)*VLOOKUP('Données projet'!$B$10,Paramètres!$A$1:$I$89,5,0)</f>
        <v>189.696</v>
      </c>
      <c r="AK184" s="13">
        <f t="shared" si="164"/>
        <v>47.472736505152469</v>
      </c>
      <c r="AL184" s="20">
        <f t="shared" si="165"/>
        <v>413.06888274647389</v>
      </c>
      <c r="AM184" s="59">
        <f t="shared" si="113"/>
        <v>706.4022160798072</v>
      </c>
      <c r="AN184" s="59">
        <f ca="1">AVERAGE(OFFSET($AM$3,0,0,'Données projet'!$E$10+1,1))-AVERAGE(OFFSET($H$3,0,0,'Données projet'!$E$10+1,1))</f>
        <v>179.44051550872138</v>
      </c>
      <c r="AO184" s="59">
        <f t="shared" si="144"/>
        <v>272.9500808380069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6.1822581266385805</v>
      </c>
      <c r="AV184" s="21">
        <f>EXP(-LN(2)/25)*AV183+(1-EXP(-LN(2)/25))/(LN(2)/25)*Calculateur!AQ184*Calculateur!AS184*VLOOKUP('Données projet'!$B$10,Paramètres!$A$1:$I$89,3,0)*0.475*44/12</f>
        <v>0.73541114856205891</v>
      </c>
      <c r="AW184" s="21">
        <f>EXP(-LN(2)/2)*AW183+(1-EXP(-LN(2)/2))/(LN(2)/2)*AQ184*AT184*VLOOKUP('Données projet'!$B$10,Paramètres!$A$1:$I$89,3,0)*0.475*44/12</f>
        <v>4.1324297357294479E-24</v>
      </c>
      <c r="AX184" s="21">
        <f t="shared" si="166"/>
        <v>6.9176692752006392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0.79999999999995453</v>
      </c>
      <c r="BE184" s="13">
        <f>BD184*VLOOKUP('Données projet'!$B$11,Paramètres!$A$1:$I$89,3,0)*VLOOKUP('Données projet'!$B$11,Paramètres!$A$1:$I$89,5,0)</f>
        <v>0.44719999999997456</v>
      </c>
      <c r="BF184" s="13">
        <f t="shared" si="167"/>
        <v>0.22632652264063857</v>
      </c>
      <c r="BG184" s="20">
        <f t="shared" si="168"/>
        <v>1.1730586935990679</v>
      </c>
      <c r="BH184" s="59">
        <f t="shared" si="116"/>
        <v>294.50639202693236</v>
      </c>
      <c r="BI184" s="59">
        <f ca="1">AVERAGE(OFFSET($BH$3,0,0,'Données projet'!$E$11+1,1))-AVERAGE(OFFSET($H$3,0,0,'Données projet'!$E$11+1,1))</f>
        <v>321.85808080442411</v>
      </c>
      <c r="BJ184" s="59">
        <f t="shared" si="146"/>
        <v>285.95942591879702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41.620975138394734</v>
      </c>
      <c r="BQ184" s="21">
        <f>EXP(-LN(2)/25)*BQ183+(1-EXP(-LN(2)/25))/(LN(2)/25)*Calculateur!BL184*Calculateur!BN184*VLOOKUP('Données projet'!$B$11,Paramètres!$A$1:$I$89,3,0)*0.475*44/12</f>
        <v>0.39490884241642249</v>
      </c>
      <c r="BR184" s="21">
        <f>EXP(-LN(2)/2)*BR183+(1-EXP(-LN(2)/2))/(LN(2)/2)*BL184*BO184*VLOOKUP('Données projet'!$B$11,Paramètres!$A$1:$I$89,3,0)*0.475*44/12</f>
        <v>3.3810043899004758E-23</v>
      </c>
      <c r="BS184" s="22">
        <f t="shared" si="169"/>
        <v>42.015883980811154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689</v>
      </c>
      <c r="O185" s="13">
        <f>N185*VLOOKUP('Données projet'!$B$9,Paramètres!$A$1:$I$89,3,0)*VLOOKUP('Données projet'!$B$9,Paramètres!$A$1:$I$89,5,0)</f>
        <v>412.02199999999999</v>
      </c>
      <c r="P185" s="13">
        <f t="shared" si="141"/>
        <v>94.209724877926391</v>
      </c>
      <c r="Q185" s="20">
        <f t="shared" si="162"/>
        <v>881.686920829055</v>
      </c>
      <c r="R185" s="59">
        <f t="shared" si="109"/>
        <v>1175.0202541623883</v>
      </c>
      <c r="S185" s="59">
        <f ca="1">AVERAGE(OFFSET($R$3,0,0,'Données projet'!$E$9+1,1))-AVERAGE(OFFSET($H$3,0,0,'Données projet'!$E$9+1,1))</f>
        <v>430.93760474982633</v>
      </c>
      <c r="T185" s="59">
        <f t="shared" si="142"/>
        <v>371.5387876502981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12.982800820577316</v>
      </c>
      <c r="AA185" s="21">
        <f>EXP(-LN(2)/25)*AA184+(1-EXP(-LN(2)/25))/(LN(2)/25)*Calculateur!V185*Calculateur!X185*VLOOKUP('Données projet'!$B$9,Paramètres!$A$1:$I$89,3,0)*0.475*44/12</f>
        <v>0.87036174076323214</v>
      </c>
      <c r="AB185" s="21">
        <f>EXP(-LN(2)/2)*AB184+(1-EXP(-LN(2)/2))/(LN(2)/2)*V185*Y185*VLOOKUP('Données projet'!$B$9,Paramètres!$A$1:$I$89,3,0)*0.475*44/12</f>
        <v>6.9304290359629305E-25</v>
      </c>
      <c r="AC185" s="22">
        <f t="shared" si="163"/>
        <v>13.853162561340548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304</v>
      </c>
      <c r="AJ185" s="13">
        <f>AI185*VLOOKUP('Données projet'!$B$10,Paramètres!$A$1:$I$89,3,0)*VLOOKUP('Données projet'!$B$10,Paramètres!$A$1:$I$89,5,0)</f>
        <v>189.696</v>
      </c>
      <c r="AK185" s="13">
        <f t="shared" si="164"/>
        <v>47.472736505152469</v>
      </c>
      <c r="AL185" s="20">
        <f t="shared" si="165"/>
        <v>413.06888274647389</v>
      </c>
      <c r="AM185" s="59">
        <f t="shared" si="113"/>
        <v>706.4022160798072</v>
      </c>
      <c r="AN185" s="59">
        <f ca="1">AVERAGE(OFFSET($AM$3,0,0,'Données projet'!$E$10+1,1))-AVERAGE(OFFSET($H$3,0,0,'Données projet'!$E$10+1,1))</f>
        <v>179.44051550872138</v>
      </c>
      <c r="AO185" s="59">
        <f t="shared" si="144"/>
        <v>272.9500808380069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6.061027815580319</v>
      </c>
      <c r="AV185" s="21">
        <f>EXP(-LN(2)/25)*AV184+(1-EXP(-LN(2)/25))/(LN(2)/25)*Calculateur!AQ185*Calculateur!AS185*VLOOKUP('Données projet'!$B$10,Paramètres!$A$1:$I$89,3,0)*0.475*44/12</f>
        <v>0.71530129203103787</v>
      </c>
      <c r="AW185" s="21">
        <f>EXP(-LN(2)/2)*AW184+(1-EXP(-LN(2)/2))/(LN(2)/2)*AQ185*AT185*VLOOKUP('Données projet'!$B$10,Paramètres!$A$1:$I$89,3,0)*0.475*44/12</f>
        <v>2.9220690889112252E-24</v>
      </c>
      <c r="AX185" s="21">
        <f t="shared" si="166"/>
        <v>6.7763291076113568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0.79999999999995453</v>
      </c>
      <c r="BE185" s="13">
        <f>BD185*VLOOKUP('Données projet'!$B$11,Paramètres!$A$1:$I$89,3,0)*VLOOKUP('Données projet'!$B$11,Paramètres!$A$1:$I$89,5,0)</f>
        <v>0.44719999999997456</v>
      </c>
      <c r="BF185" s="13">
        <f t="shared" si="167"/>
        <v>0.22632652264063857</v>
      </c>
      <c r="BG185" s="20">
        <f t="shared" si="168"/>
        <v>1.1730586935990679</v>
      </c>
      <c r="BH185" s="59">
        <f t="shared" si="116"/>
        <v>294.50639202693236</v>
      </c>
      <c r="BI185" s="59">
        <f ca="1">AVERAGE(OFFSET($BH$3,0,0,'Données projet'!$E$11+1,1))-AVERAGE(OFFSET($H$3,0,0,'Données projet'!$E$11+1,1))</f>
        <v>321.85808080442411</v>
      </c>
      <c r="BJ185" s="59">
        <f t="shared" si="146"/>
        <v>285.95942591879702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40.804813202218959</v>
      </c>
      <c r="BQ185" s="21">
        <f>EXP(-LN(2)/25)*BQ184+(1-EXP(-LN(2)/25))/(LN(2)/25)*Calculateur!BL185*Calculateur!BN185*VLOOKUP('Données projet'!$B$11,Paramètres!$A$1:$I$89,3,0)*0.475*44/12</f>
        <v>0.38411003935319199</v>
      </c>
      <c r="BR185" s="21">
        <f>EXP(-LN(2)/2)*BR184+(1-EXP(-LN(2)/2))/(LN(2)/2)*BL185*BO185*VLOOKUP('Données projet'!$B$11,Paramètres!$A$1:$I$89,3,0)*0.475*44/12</f>
        <v>2.3907311313201124E-23</v>
      </c>
      <c r="BS185" s="22">
        <f t="shared" si="169"/>
        <v>41.188923241572148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689</v>
      </c>
      <c r="O186" s="13">
        <f>N186*VLOOKUP('Données projet'!$B$9,Paramètres!$A$1:$I$89,3,0)*VLOOKUP('Données projet'!$B$9,Paramètres!$A$1:$I$89,5,0)</f>
        <v>412.02199999999999</v>
      </c>
      <c r="P186" s="13">
        <f t="shared" si="141"/>
        <v>94.209724877926391</v>
      </c>
      <c r="Q186" s="20">
        <f t="shared" si="162"/>
        <v>881.686920829055</v>
      </c>
      <c r="R186" s="59">
        <f t="shared" si="109"/>
        <v>1175.0202541623883</v>
      </c>
      <c r="S186" s="59">
        <f ca="1">AVERAGE(OFFSET($R$3,0,0,'Données projet'!$E$9+1,1))-AVERAGE(OFFSET($H$3,0,0,'Données projet'!$E$9+1,1))</f>
        <v>430.93760474982633</v>
      </c>
      <c r="T186" s="59">
        <f t="shared" si="142"/>
        <v>371.5387876502981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12.728216015212386</v>
      </c>
      <c r="AA186" s="21">
        <f>EXP(-LN(2)/25)*AA185+(1-EXP(-LN(2)/25))/(LN(2)/25)*Calculateur!V186*Calculateur!X186*VLOOKUP('Données projet'!$B$9,Paramètres!$A$1:$I$89,3,0)*0.475*44/12</f>
        <v>0.84656165319172683</v>
      </c>
      <c r="AB186" s="21">
        <f>EXP(-LN(2)/2)*AB185+(1-EXP(-LN(2)/2))/(LN(2)/2)*V186*Y186*VLOOKUP('Données projet'!$B$9,Paramètres!$A$1:$I$89,3,0)*0.475*44/12</f>
        <v>4.9005533678615353E-25</v>
      </c>
      <c r="AC186" s="22">
        <f t="shared" si="163"/>
        <v>13.574777668404113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304</v>
      </c>
      <c r="AJ186" s="13">
        <f>AI186*VLOOKUP('Données projet'!$B$10,Paramètres!$A$1:$I$89,3,0)*VLOOKUP('Données projet'!$B$10,Paramètres!$A$1:$I$89,5,0)</f>
        <v>189.696</v>
      </c>
      <c r="AK186" s="13">
        <f t="shared" si="164"/>
        <v>47.472736505152469</v>
      </c>
      <c r="AL186" s="20">
        <f t="shared" si="165"/>
        <v>413.06888274647389</v>
      </c>
      <c r="AM186" s="59">
        <f t="shared" si="113"/>
        <v>706.4022160798072</v>
      </c>
      <c r="AN186" s="59">
        <f ca="1">AVERAGE(OFFSET($AM$3,0,0,'Données projet'!$E$10+1,1))-AVERAGE(OFFSET($H$3,0,0,'Données projet'!$E$10+1,1))</f>
        <v>179.44051550872138</v>
      </c>
      <c r="AO186" s="59">
        <f t="shared" si="144"/>
        <v>272.9500808380069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5.942174756978722</v>
      </c>
      <c r="AV186" s="21">
        <f>EXP(-LN(2)/25)*AV185+(1-EXP(-LN(2)/25))/(LN(2)/25)*Calculateur!AQ186*Calculateur!AS186*VLOOKUP('Données projet'!$B$10,Paramètres!$A$1:$I$89,3,0)*0.475*44/12</f>
        <v>0.69574134058438908</v>
      </c>
      <c r="AW186" s="21">
        <f>EXP(-LN(2)/2)*AW185+(1-EXP(-LN(2)/2))/(LN(2)/2)*AQ186*AT186*VLOOKUP('Données projet'!$B$10,Paramètres!$A$1:$I$89,3,0)*0.475*44/12</f>
        <v>2.0662148678647239E-24</v>
      </c>
      <c r="AX186" s="21">
        <f t="shared" si="166"/>
        <v>6.6379160975631111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0.79999999999995453</v>
      </c>
      <c r="BE186" s="13">
        <f>BD186*VLOOKUP('Données projet'!$B$11,Paramètres!$A$1:$I$89,3,0)*VLOOKUP('Données projet'!$B$11,Paramètres!$A$1:$I$89,5,0)</f>
        <v>0.44719999999997456</v>
      </c>
      <c r="BF186" s="13">
        <f t="shared" si="167"/>
        <v>0.22632652264063857</v>
      </c>
      <c r="BG186" s="20">
        <f t="shared" si="168"/>
        <v>1.1730586935990679</v>
      </c>
      <c r="BH186" s="59">
        <f t="shared" si="116"/>
        <v>294.50639202693236</v>
      </c>
      <c r="BI186" s="59">
        <f ca="1">AVERAGE(OFFSET($BH$3,0,0,'Données projet'!$E$11+1,1))-AVERAGE(OFFSET($H$3,0,0,'Données projet'!$E$11+1,1))</f>
        <v>321.85808080442411</v>
      </c>
      <c r="BJ186" s="59">
        <f t="shared" si="146"/>
        <v>285.95942591879702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40.004655703801966</v>
      </c>
      <c r="BQ186" s="21">
        <f>EXP(-LN(2)/25)*BQ185+(1-EXP(-LN(2)/25))/(LN(2)/25)*Calculateur!BL186*Calculateur!BN186*VLOOKUP('Données projet'!$B$11,Paramètres!$A$1:$I$89,3,0)*0.475*44/12</f>
        <v>0.37360653012760986</v>
      </c>
      <c r="BR186" s="21">
        <f>EXP(-LN(2)/2)*BR185+(1-EXP(-LN(2)/2))/(LN(2)/2)*BL186*BO186*VLOOKUP('Données projet'!$B$11,Paramètres!$A$1:$I$89,3,0)*0.475*44/12</f>
        <v>1.6905021949502379E-23</v>
      </c>
      <c r="BS186" s="22">
        <f t="shared" si="169"/>
        <v>40.378262233929576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689</v>
      </c>
      <c r="O187" s="13">
        <f>N187*VLOOKUP('Données projet'!$B$9,Paramètres!$A$1:$I$89,3,0)*VLOOKUP('Données projet'!$B$9,Paramètres!$A$1:$I$89,5,0)</f>
        <v>412.02199999999999</v>
      </c>
      <c r="P187" s="13">
        <f t="shared" si="141"/>
        <v>94.209724877926391</v>
      </c>
      <c r="Q187" s="20">
        <f t="shared" si="162"/>
        <v>881.686920829055</v>
      </c>
      <c r="R187" s="59">
        <f t="shared" si="109"/>
        <v>1175.0202541623883</v>
      </c>
      <c r="S187" s="59">
        <f ca="1">AVERAGE(OFFSET($R$3,0,0,'Données projet'!$E$9+1,1))-AVERAGE(OFFSET($H$3,0,0,'Données projet'!$E$9+1,1))</f>
        <v>430.93760474982633</v>
      </c>
      <c r="T187" s="59">
        <f t="shared" si="142"/>
        <v>371.5387876502981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12.478623462599264</v>
      </c>
      <c r="AA187" s="21">
        <f>EXP(-LN(2)/25)*AA186+(1-EXP(-LN(2)/25))/(LN(2)/25)*Calculateur!V187*Calculateur!X187*VLOOKUP('Données projet'!$B$9,Paramètres!$A$1:$I$89,3,0)*0.475*44/12</f>
        <v>0.82341238026645658</v>
      </c>
      <c r="AB187" s="21">
        <f>EXP(-LN(2)/2)*AB186+(1-EXP(-LN(2)/2))/(LN(2)/2)*V187*Y187*VLOOKUP('Données projet'!$B$9,Paramètres!$A$1:$I$89,3,0)*0.475*44/12</f>
        <v>3.4652145179814653E-25</v>
      </c>
      <c r="AC187" s="22">
        <f t="shared" si="163"/>
        <v>13.30203584286572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304</v>
      </c>
      <c r="AJ187" s="13">
        <f>AI187*VLOOKUP('Données projet'!$B$10,Paramètres!$A$1:$I$89,3,0)*VLOOKUP('Données projet'!$B$10,Paramètres!$A$1:$I$89,5,0)</f>
        <v>189.696</v>
      </c>
      <c r="AK187" s="13">
        <f t="shared" si="164"/>
        <v>47.472736505152469</v>
      </c>
      <c r="AL187" s="20">
        <f t="shared" si="165"/>
        <v>413.06888274647389</v>
      </c>
      <c r="AM187" s="59">
        <f t="shared" si="113"/>
        <v>706.4022160798072</v>
      </c>
      <c r="AN187" s="59">
        <f ca="1">AVERAGE(OFFSET($AM$3,0,0,'Données projet'!$E$10+1,1))-AVERAGE(OFFSET($H$3,0,0,'Données projet'!$E$10+1,1))</f>
        <v>179.44051550872138</v>
      </c>
      <c r="AO187" s="59">
        <f t="shared" si="144"/>
        <v>272.9500808380069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5.8256523343630944</v>
      </c>
      <c r="AV187" s="21">
        <f>EXP(-LN(2)/25)*AV186+(1-EXP(-LN(2)/25))/(LN(2)/25)*Calculateur!AQ187*Calculateur!AS187*VLOOKUP('Données projet'!$B$10,Paramètres!$A$1:$I$89,3,0)*0.475*44/12</f>
        <v>0.67671625703866201</v>
      </c>
      <c r="AW187" s="21">
        <f>EXP(-LN(2)/2)*AW186+(1-EXP(-LN(2)/2))/(LN(2)/2)*AQ187*AT187*VLOOKUP('Données projet'!$B$10,Paramètres!$A$1:$I$89,3,0)*0.475*44/12</f>
        <v>1.4610345444556126E-24</v>
      </c>
      <c r="AX187" s="21">
        <f t="shared" si="166"/>
        <v>6.5023685914017566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0.79999999999995453</v>
      </c>
      <c r="BE187" s="13">
        <f>BD187*VLOOKUP('Données projet'!$B$11,Paramètres!$A$1:$I$89,3,0)*VLOOKUP('Données projet'!$B$11,Paramètres!$A$1:$I$89,5,0)</f>
        <v>0.44719999999997456</v>
      </c>
      <c r="BF187" s="13">
        <f t="shared" si="167"/>
        <v>0.22632652264063857</v>
      </c>
      <c r="BG187" s="20">
        <f t="shared" si="168"/>
        <v>1.1730586935990679</v>
      </c>
      <c r="BH187" s="59">
        <f t="shared" si="116"/>
        <v>294.50639202693236</v>
      </c>
      <c r="BI187" s="59">
        <f ca="1">AVERAGE(OFFSET($BH$3,0,0,'Données projet'!$E$11+1,1))-AVERAGE(OFFSET($H$3,0,0,'Données projet'!$E$11+1,1))</f>
        <v>321.85808080442411</v>
      </c>
      <c r="BJ187" s="59">
        <f t="shared" si="146"/>
        <v>285.95942591879702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39.220188805881044</v>
      </c>
      <c r="BQ187" s="21">
        <f>EXP(-LN(2)/25)*BQ186+(1-EXP(-LN(2)/25))/(LN(2)/25)*Calculateur!BL187*Calculateur!BN187*VLOOKUP('Données projet'!$B$11,Paramètres!$A$1:$I$89,3,0)*0.475*44/12</f>
        <v>0.36339023991415687</v>
      </c>
      <c r="BR187" s="21">
        <f>EXP(-LN(2)/2)*BR186+(1-EXP(-LN(2)/2))/(LN(2)/2)*BL187*BO187*VLOOKUP('Données projet'!$B$11,Paramètres!$A$1:$I$89,3,0)*0.475*44/12</f>
        <v>1.1953655656600562E-23</v>
      </c>
      <c r="BS187" s="22">
        <f t="shared" si="169"/>
        <v>39.583579045795204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689</v>
      </c>
      <c r="O188" s="13">
        <f>N188*VLOOKUP('Données projet'!$B$9,Paramètres!$A$1:$I$89,3,0)*VLOOKUP('Données projet'!$B$9,Paramètres!$A$1:$I$89,5,0)</f>
        <v>412.02199999999999</v>
      </c>
      <c r="P188" s="13">
        <f t="shared" si="141"/>
        <v>94.209724877926391</v>
      </c>
      <c r="Q188" s="20">
        <f t="shared" si="162"/>
        <v>881.686920829055</v>
      </c>
      <c r="R188" s="59">
        <f t="shared" si="109"/>
        <v>1175.0202541623883</v>
      </c>
      <c r="S188" s="59">
        <f ca="1">AVERAGE(OFFSET($R$3,0,0,'Données projet'!$E$9+1,1))-AVERAGE(OFFSET($H$3,0,0,'Données projet'!$E$9+1,1))</f>
        <v>430.93760474982633</v>
      </c>
      <c r="T188" s="59">
        <f t="shared" si="142"/>
        <v>371.5387876502981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12.233925267706461</v>
      </c>
      <c r="AA188" s="21">
        <f>EXP(-LN(2)/25)*AA187+(1-EXP(-LN(2)/25))/(LN(2)/25)*Calculateur!V188*Calculateur!X188*VLOOKUP('Données projet'!$B$9,Paramètres!$A$1:$I$89,3,0)*0.475*44/12</f>
        <v>0.80089612542669519</v>
      </c>
      <c r="AB188" s="21">
        <f>EXP(-LN(2)/2)*AB187+(1-EXP(-LN(2)/2))/(LN(2)/2)*V188*Y188*VLOOKUP('Données projet'!$B$9,Paramètres!$A$1:$I$89,3,0)*0.475*44/12</f>
        <v>2.4502766839307677E-25</v>
      </c>
      <c r="AC188" s="22">
        <f t="shared" si="163"/>
        <v>13.034821393133155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304</v>
      </c>
      <c r="AJ188" s="13">
        <f>AI188*VLOOKUP('Données projet'!$B$10,Paramètres!$A$1:$I$89,3,0)*VLOOKUP('Données projet'!$B$10,Paramètres!$A$1:$I$89,5,0)</f>
        <v>189.696</v>
      </c>
      <c r="AK188" s="13">
        <f t="shared" si="164"/>
        <v>47.472736505152469</v>
      </c>
      <c r="AL188" s="20">
        <f t="shared" si="165"/>
        <v>413.06888274647389</v>
      </c>
      <c r="AM188" s="59">
        <f t="shared" si="113"/>
        <v>706.4022160798072</v>
      </c>
      <c r="AN188" s="59">
        <f ca="1">AVERAGE(OFFSET($AM$3,0,0,'Données projet'!$E$10+1,1))-AVERAGE(OFFSET($H$3,0,0,'Données projet'!$E$10+1,1))</f>
        <v>179.44051550872138</v>
      </c>
      <c r="AO188" s="59">
        <f t="shared" si="144"/>
        <v>272.9500808380069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5.7114148453832989</v>
      </c>
      <c r="AV188" s="21">
        <f>EXP(-LN(2)/25)*AV187+(1-EXP(-LN(2)/25))/(LN(2)/25)*Calculateur!AQ188*Calculateur!AS188*VLOOKUP('Données projet'!$B$10,Paramètres!$A$1:$I$89,3,0)*0.475*44/12</f>
        <v>0.65821141540297845</v>
      </c>
      <c r="AW188" s="21">
        <f>EXP(-LN(2)/2)*AW187+(1-EXP(-LN(2)/2))/(LN(2)/2)*AQ188*AT188*VLOOKUP('Données projet'!$B$10,Paramètres!$A$1:$I$89,3,0)*0.475*44/12</f>
        <v>1.033107433932362E-24</v>
      </c>
      <c r="AX188" s="21">
        <f t="shared" si="166"/>
        <v>6.3696262607862772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0.79999999999995453</v>
      </c>
      <c r="BE188" s="13">
        <f>BD188*VLOOKUP('Données projet'!$B$11,Paramètres!$A$1:$I$89,3,0)*VLOOKUP('Données projet'!$B$11,Paramètres!$A$1:$I$89,5,0)</f>
        <v>0.44719999999997456</v>
      </c>
      <c r="BF188" s="13">
        <f t="shared" si="167"/>
        <v>0.22632652264063857</v>
      </c>
      <c r="BG188" s="20">
        <f t="shared" si="168"/>
        <v>1.1730586935990679</v>
      </c>
      <c r="BH188" s="59">
        <f t="shared" si="116"/>
        <v>294.50639202693236</v>
      </c>
      <c r="BI188" s="59">
        <f ca="1">AVERAGE(OFFSET($BH$3,0,0,'Données projet'!$E$11+1,1))-AVERAGE(OFFSET($H$3,0,0,'Données projet'!$E$11+1,1))</f>
        <v>321.85808080442411</v>
      </c>
      <c r="BJ188" s="59">
        <f t="shared" si="146"/>
        <v>285.95942591879702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38.451104825350789</v>
      </c>
      <c r="BQ188" s="21">
        <f>EXP(-LN(2)/25)*BQ187+(1-EXP(-LN(2)/25))/(LN(2)/25)*Calculateur!BL188*Calculateur!BN188*VLOOKUP('Données projet'!$B$11,Paramètres!$A$1:$I$89,3,0)*0.475*44/12</f>
        <v>0.35345331469384206</v>
      </c>
      <c r="BR188" s="21">
        <f>EXP(-LN(2)/2)*BR187+(1-EXP(-LN(2)/2))/(LN(2)/2)*BL188*BO188*VLOOKUP('Données projet'!$B$11,Paramètres!$A$1:$I$89,3,0)*0.475*44/12</f>
        <v>8.4525109747511895E-24</v>
      </c>
      <c r="BS188" s="22">
        <f t="shared" si="169"/>
        <v>38.804558140044634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689</v>
      </c>
      <c r="O189" s="13">
        <f>N189*VLOOKUP('Données projet'!$B$9,Paramètres!$A$1:$I$89,3,0)*VLOOKUP('Données projet'!$B$9,Paramètres!$A$1:$I$89,5,0)</f>
        <v>412.02199999999999</v>
      </c>
      <c r="P189" s="13">
        <f t="shared" si="141"/>
        <v>94.209724877926391</v>
      </c>
      <c r="Q189" s="20">
        <f t="shared" si="162"/>
        <v>881.686920829055</v>
      </c>
      <c r="R189" s="59">
        <f t="shared" si="109"/>
        <v>1175.0202541623883</v>
      </c>
      <c r="S189" s="59">
        <f ca="1">AVERAGE(OFFSET($R$3,0,0,'Données projet'!$E$9+1,1))-AVERAGE(OFFSET($H$3,0,0,'Données projet'!$E$9+1,1))</f>
        <v>430.93760474982633</v>
      </c>
      <c r="T189" s="59">
        <f t="shared" si="142"/>
        <v>371.5387876502981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11.994025455164342</v>
      </c>
      <c r="AA189" s="21">
        <f>EXP(-LN(2)/25)*AA188+(1-EXP(-LN(2)/25))/(LN(2)/25)*Calculateur!V189*Calculateur!X189*VLOOKUP('Données projet'!$B$9,Paramètres!$A$1:$I$89,3,0)*0.475*44/12</f>
        <v>0.77899557875960546</v>
      </c>
      <c r="AB189" s="21">
        <f>EXP(-LN(2)/2)*AB188+(1-EXP(-LN(2)/2))/(LN(2)/2)*V189*Y189*VLOOKUP('Données projet'!$B$9,Paramètres!$A$1:$I$89,3,0)*0.475*44/12</f>
        <v>1.7326072589907326E-25</v>
      </c>
      <c r="AC189" s="22">
        <f t="shared" si="163"/>
        <v>12.773021033923948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304</v>
      </c>
      <c r="AJ189" s="13">
        <f>AI189*VLOOKUP('Données projet'!$B$10,Paramètres!$A$1:$I$89,3,0)*VLOOKUP('Données projet'!$B$10,Paramètres!$A$1:$I$89,5,0)</f>
        <v>189.696</v>
      </c>
      <c r="AK189" s="13">
        <f t="shared" si="164"/>
        <v>47.472736505152469</v>
      </c>
      <c r="AL189" s="20">
        <f t="shared" si="165"/>
        <v>413.06888274647389</v>
      </c>
      <c r="AM189" s="59">
        <f t="shared" si="113"/>
        <v>706.4022160798072</v>
      </c>
      <c r="AN189" s="59">
        <f ca="1">AVERAGE(OFFSET($AM$3,0,0,'Données projet'!$E$10+1,1))-AVERAGE(OFFSET($H$3,0,0,'Données projet'!$E$10+1,1))</f>
        <v>179.44051550872138</v>
      </c>
      <c r="AO189" s="59">
        <f t="shared" si="144"/>
        <v>272.9500808380069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5.5994174838844089</v>
      </c>
      <c r="AV189" s="21">
        <f>EXP(-LN(2)/25)*AV188+(1-EXP(-LN(2)/25))/(LN(2)/25)*Calculateur!AQ189*Calculateur!AS189*VLOOKUP('Données projet'!$B$10,Paramètres!$A$1:$I$89,3,0)*0.475*44/12</f>
        <v>0.64021258963494998</v>
      </c>
      <c r="AW189" s="21">
        <f>EXP(-LN(2)/2)*AW188+(1-EXP(-LN(2)/2))/(LN(2)/2)*AQ189*AT189*VLOOKUP('Données projet'!$B$10,Paramètres!$A$1:$I$89,3,0)*0.475*44/12</f>
        <v>7.3051727222780629E-25</v>
      </c>
      <c r="AX189" s="21">
        <f t="shared" si="166"/>
        <v>6.2396300735193586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0.79999999999995453</v>
      </c>
      <c r="BE189" s="13">
        <f>BD189*VLOOKUP('Données projet'!$B$11,Paramètres!$A$1:$I$89,3,0)*VLOOKUP('Données projet'!$B$11,Paramètres!$A$1:$I$89,5,0)</f>
        <v>0.44719999999997456</v>
      </c>
      <c r="BF189" s="13">
        <f t="shared" si="167"/>
        <v>0.22632652264063857</v>
      </c>
      <c r="BG189" s="20">
        <f t="shared" si="168"/>
        <v>1.1730586935990679</v>
      </c>
      <c r="BH189" s="59">
        <f t="shared" si="116"/>
        <v>294.50639202693236</v>
      </c>
      <c r="BI189" s="59">
        <f ca="1">AVERAGE(OFFSET($BH$3,0,0,'Données projet'!$E$11+1,1))-AVERAGE(OFFSET($H$3,0,0,'Données projet'!$E$11+1,1))</f>
        <v>321.85808080442411</v>
      </c>
      <c r="BJ189" s="59">
        <f t="shared" si="146"/>
        <v>285.95942591879702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37.697102112583828</v>
      </c>
      <c r="BQ189" s="21">
        <f>EXP(-LN(2)/25)*BQ188+(1-EXP(-LN(2)/25))/(LN(2)/25)*Calculateur!BL189*Calculateur!BN189*VLOOKUP('Données projet'!$B$11,Paramètres!$A$1:$I$89,3,0)*0.475*44/12</f>
        <v>0.34378811521623698</v>
      </c>
      <c r="BR189" s="21">
        <f>EXP(-LN(2)/2)*BR188+(1-EXP(-LN(2)/2))/(LN(2)/2)*BL189*BO189*VLOOKUP('Données projet'!$B$11,Paramètres!$A$1:$I$89,3,0)*0.475*44/12</f>
        <v>5.976827828300281E-24</v>
      </c>
      <c r="BS189" s="22">
        <f t="shared" si="169"/>
        <v>38.040890227800062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689</v>
      </c>
      <c r="O190" s="13">
        <f>N190*VLOOKUP('Données projet'!$B$9,Paramètres!$A$1:$I$89,3,0)*VLOOKUP('Données projet'!$B$9,Paramètres!$A$1:$I$89,5,0)</f>
        <v>412.02199999999999</v>
      </c>
      <c r="P190" s="13">
        <f t="shared" si="141"/>
        <v>94.209724877926391</v>
      </c>
      <c r="Q190" s="20">
        <f t="shared" si="162"/>
        <v>881.686920829055</v>
      </c>
      <c r="R190" s="59">
        <f t="shared" si="109"/>
        <v>1175.0202541623883</v>
      </c>
      <c r="S190" s="59">
        <f ca="1">AVERAGE(OFFSET($R$3,0,0,'Données projet'!$E$9+1,1))-AVERAGE(OFFSET($H$3,0,0,'Données projet'!$E$9+1,1))</f>
        <v>430.93760474982633</v>
      </c>
      <c r="T190" s="59">
        <f t="shared" si="142"/>
        <v>371.5387876502981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11.758829931621738</v>
      </c>
      <c r="AA190" s="21">
        <f>EXP(-LN(2)/25)*AA189+(1-EXP(-LN(2)/25))/(LN(2)/25)*Calculateur!V190*Calculateur!X190*VLOOKUP('Données projet'!$B$9,Paramètres!$A$1:$I$89,3,0)*0.475*44/12</f>
        <v>0.75769390369282696</v>
      </c>
      <c r="AB190" s="21">
        <f>EXP(-LN(2)/2)*AB189+(1-EXP(-LN(2)/2))/(LN(2)/2)*V190*Y190*VLOOKUP('Données projet'!$B$9,Paramètres!$A$1:$I$89,3,0)*0.475*44/12</f>
        <v>1.2251383419653838E-25</v>
      </c>
      <c r="AC190" s="22">
        <f t="shared" si="163"/>
        <v>12.516523835314565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304</v>
      </c>
      <c r="AJ190" s="13">
        <f>AI190*VLOOKUP('Données projet'!$B$10,Paramètres!$A$1:$I$89,3,0)*VLOOKUP('Données projet'!$B$10,Paramètres!$A$1:$I$89,5,0)</f>
        <v>189.696</v>
      </c>
      <c r="AK190" s="13">
        <f t="shared" si="164"/>
        <v>47.472736505152469</v>
      </c>
      <c r="AL190" s="20">
        <f t="shared" si="165"/>
        <v>413.06888274647389</v>
      </c>
      <c r="AM190" s="59">
        <f t="shared" si="113"/>
        <v>706.4022160798072</v>
      </c>
      <c r="AN190" s="59">
        <f ca="1">AVERAGE(OFFSET($AM$3,0,0,'Données projet'!$E$10+1,1))-AVERAGE(OFFSET($H$3,0,0,'Données projet'!$E$10+1,1))</f>
        <v>179.44051550872138</v>
      </c>
      <c r="AO190" s="59">
        <f t="shared" si="144"/>
        <v>272.9500808380069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5.4896163223328669</v>
      </c>
      <c r="AV190" s="21">
        <f>EXP(-LN(2)/25)*AV189+(1-EXP(-LN(2)/25))/(LN(2)/25)*Calculateur!AQ190*Calculateur!AS190*VLOOKUP('Données projet'!$B$10,Paramètres!$A$1:$I$89,3,0)*0.475*44/12</f>
        <v>0.62270594270406543</v>
      </c>
      <c r="AW190" s="21">
        <f>EXP(-LN(2)/2)*AW189+(1-EXP(-LN(2)/2))/(LN(2)/2)*AQ190*AT190*VLOOKUP('Données projet'!$B$10,Paramètres!$A$1:$I$89,3,0)*0.475*44/12</f>
        <v>5.1655371696618098E-25</v>
      </c>
      <c r="AX190" s="21">
        <f t="shared" si="166"/>
        <v>6.1123222650369327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0.79999999999995453</v>
      </c>
      <c r="BE190" s="13">
        <f>BD190*VLOOKUP('Données projet'!$B$11,Paramètres!$A$1:$I$89,3,0)*VLOOKUP('Données projet'!$B$11,Paramètres!$A$1:$I$89,5,0)</f>
        <v>0.44719999999997456</v>
      </c>
      <c r="BF190" s="13">
        <f t="shared" si="167"/>
        <v>0.22632652264063857</v>
      </c>
      <c r="BG190" s="20">
        <f t="shared" si="168"/>
        <v>1.1730586935990679</v>
      </c>
      <c r="BH190" s="59">
        <f t="shared" si="116"/>
        <v>294.50639202693236</v>
      </c>
      <c r="BI190" s="59">
        <f ca="1">AVERAGE(OFFSET($BH$3,0,0,'Données projet'!$E$11+1,1))-AVERAGE(OFFSET($H$3,0,0,'Données projet'!$E$11+1,1))</f>
        <v>321.85808080442411</v>
      </c>
      <c r="BJ190" s="59">
        <f t="shared" si="146"/>
        <v>285.95942591879702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36.957884933117981</v>
      </c>
      <c r="BQ190" s="21">
        <f>EXP(-LN(2)/25)*BQ189+(1-EXP(-LN(2)/25))/(LN(2)/25)*Calculateur!BL190*Calculateur!BN190*VLOOKUP('Données projet'!$B$11,Paramètres!$A$1:$I$89,3,0)*0.475*44/12</f>
        <v>0.33438721112661773</v>
      </c>
      <c r="BR190" s="21">
        <f>EXP(-LN(2)/2)*BR189+(1-EXP(-LN(2)/2))/(LN(2)/2)*BL190*BO190*VLOOKUP('Données projet'!$B$11,Paramètres!$A$1:$I$89,3,0)*0.475*44/12</f>
        <v>4.2262554873755948E-24</v>
      </c>
      <c r="BS190" s="22">
        <f t="shared" si="169"/>
        <v>37.292272144244599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689</v>
      </c>
      <c r="O191" s="13">
        <f>N191*VLOOKUP('Données projet'!$B$9,Paramètres!$A$1:$I$89,3,0)*VLOOKUP('Données projet'!$B$9,Paramètres!$A$1:$I$89,5,0)</f>
        <v>412.02199999999999</v>
      </c>
      <c r="P191" s="13">
        <f t="shared" si="141"/>
        <v>94.209724877926391</v>
      </c>
      <c r="Q191" s="20">
        <f t="shared" si="162"/>
        <v>881.686920829055</v>
      </c>
      <c r="R191" s="59">
        <f t="shared" si="109"/>
        <v>1175.0202541623883</v>
      </c>
      <c r="S191" s="59">
        <f ca="1">AVERAGE(OFFSET($R$3,0,0,'Données projet'!$E$9+1,1))-AVERAGE(OFFSET($H$3,0,0,'Données projet'!$E$9+1,1))</f>
        <v>430.93760474982633</v>
      </c>
      <c r="T191" s="59">
        <f t="shared" si="142"/>
        <v>371.5387876502981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11.528246448840701</v>
      </c>
      <c r="AA191" s="21">
        <f>EXP(-LN(2)/25)*AA190+(1-EXP(-LN(2)/25))/(LN(2)/25)*Calculateur!V191*Calculateur!X191*VLOOKUP('Données projet'!$B$9,Paramètres!$A$1:$I$89,3,0)*0.475*44/12</f>
        <v>0.73697472405095599</v>
      </c>
      <c r="AB191" s="21">
        <f>EXP(-LN(2)/2)*AB190+(1-EXP(-LN(2)/2))/(LN(2)/2)*V191*Y191*VLOOKUP('Données projet'!$B$9,Paramètres!$A$1:$I$89,3,0)*0.475*44/12</f>
        <v>8.6630362949536631E-26</v>
      </c>
      <c r="AC191" s="22">
        <f t="shared" si="163"/>
        <v>12.265221172891657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304</v>
      </c>
      <c r="AJ191" s="13">
        <f>AI191*VLOOKUP('Données projet'!$B$10,Paramètres!$A$1:$I$89,3,0)*VLOOKUP('Données projet'!$B$10,Paramètres!$A$1:$I$89,5,0)</f>
        <v>189.696</v>
      </c>
      <c r="AK191" s="13">
        <f t="shared" si="164"/>
        <v>47.472736505152469</v>
      </c>
      <c r="AL191" s="20">
        <f t="shared" si="165"/>
        <v>413.06888274647389</v>
      </c>
      <c r="AM191" s="59">
        <f t="shared" si="113"/>
        <v>706.4022160798072</v>
      </c>
      <c r="AN191" s="59">
        <f ca="1">AVERAGE(OFFSET($AM$3,0,0,'Données projet'!$E$10+1,1))-AVERAGE(OFFSET($H$3,0,0,'Données projet'!$E$10+1,1))</f>
        <v>179.44051550872138</v>
      </c>
      <c r="AO191" s="59">
        <f t="shared" si="144"/>
        <v>272.9500808380069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5.3819682945872556</v>
      </c>
      <c r="AV191" s="21">
        <f>EXP(-LN(2)/25)*AV190+(1-EXP(-LN(2)/25))/(LN(2)/25)*Calculateur!AQ191*Calculateur!AS191*VLOOKUP('Données projet'!$B$10,Paramètres!$A$1:$I$89,3,0)*0.475*44/12</f>
        <v>0.60567801595414039</v>
      </c>
      <c r="AW191" s="21">
        <f>EXP(-LN(2)/2)*AW190+(1-EXP(-LN(2)/2))/(LN(2)/2)*AQ191*AT191*VLOOKUP('Données projet'!$B$10,Paramètres!$A$1:$I$89,3,0)*0.475*44/12</f>
        <v>3.6525863611390314E-25</v>
      </c>
      <c r="AX191" s="21">
        <f t="shared" si="166"/>
        <v>5.987646310541396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0.79999999999995453</v>
      </c>
      <c r="BE191" s="13">
        <f>BD191*VLOOKUP('Données projet'!$B$11,Paramètres!$A$1:$I$89,3,0)*VLOOKUP('Données projet'!$B$11,Paramètres!$A$1:$I$89,5,0)</f>
        <v>0.44719999999997456</v>
      </c>
      <c r="BF191" s="13">
        <f t="shared" si="167"/>
        <v>0.22632652264063857</v>
      </c>
      <c r="BG191" s="20">
        <f t="shared" si="168"/>
        <v>1.1730586935990679</v>
      </c>
      <c r="BH191" s="59">
        <f t="shared" si="116"/>
        <v>294.50639202693236</v>
      </c>
      <c r="BI191" s="59">
        <f ca="1">AVERAGE(OFFSET($BH$3,0,0,'Données projet'!$E$11+1,1))-AVERAGE(OFFSET($H$3,0,0,'Données projet'!$E$11+1,1))</f>
        <v>321.85808080442411</v>
      </c>
      <c r="BJ191" s="59">
        <f t="shared" si="146"/>
        <v>285.95942591879702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36.233163351663499</v>
      </c>
      <c r="BQ191" s="21">
        <f>EXP(-LN(2)/25)*BQ190+(1-EXP(-LN(2)/25))/(LN(2)/25)*Calculateur!BL191*Calculateur!BN191*VLOOKUP('Données projet'!$B$11,Paramètres!$A$1:$I$89,3,0)*0.475*44/12</f>
        <v>0.32524337525370117</v>
      </c>
      <c r="BR191" s="21">
        <f>EXP(-LN(2)/2)*BR190+(1-EXP(-LN(2)/2))/(LN(2)/2)*BL191*BO191*VLOOKUP('Données projet'!$B$11,Paramètres!$A$1:$I$89,3,0)*0.475*44/12</f>
        <v>2.9884139141501405E-24</v>
      </c>
      <c r="BS191" s="22">
        <f t="shared" si="169"/>
        <v>36.558406726917198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689</v>
      </c>
      <c r="O192" s="13">
        <f>N192*VLOOKUP('Données projet'!$B$9,Paramètres!$A$1:$I$89,3,0)*VLOOKUP('Données projet'!$B$9,Paramètres!$A$1:$I$89,5,0)</f>
        <v>412.02199999999999</v>
      </c>
      <c r="P192" s="13">
        <f t="shared" si="141"/>
        <v>94.209724877926391</v>
      </c>
      <c r="Q192" s="20">
        <f t="shared" si="162"/>
        <v>881.686920829055</v>
      </c>
      <c r="R192" s="59">
        <f t="shared" si="109"/>
        <v>1175.0202541623883</v>
      </c>
      <c r="S192" s="59">
        <f ca="1">AVERAGE(OFFSET($R$3,0,0,'Données projet'!$E$9+1,1))-AVERAGE(OFFSET($H$3,0,0,'Données projet'!$E$9+1,1))</f>
        <v>430.93760474982633</v>
      </c>
      <c r="T192" s="59">
        <f t="shared" si="142"/>
        <v>371.5387876502981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11.302184567514962</v>
      </c>
      <c r="AA192" s="21">
        <f>EXP(-LN(2)/25)*AA191+(1-EXP(-LN(2)/25))/(LN(2)/25)*Calculateur!V192*Calculateur!X192*VLOOKUP('Données projet'!$B$9,Paramètres!$A$1:$I$89,3,0)*0.475*44/12</f>
        <v>0.71682211146596619</v>
      </c>
      <c r="AB192" s="21">
        <f>EXP(-LN(2)/2)*AB191+(1-EXP(-LN(2)/2))/(LN(2)/2)*V192*Y192*VLOOKUP('Données projet'!$B$9,Paramètres!$A$1:$I$89,3,0)*0.475*44/12</f>
        <v>6.1256917098269191E-26</v>
      </c>
      <c r="AC192" s="22">
        <f t="shared" si="163"/>
        <v>12.019006678980928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304</v>
      </c>
      <c r="AJ192" s="13">
        <f>AI192*VLOOKUP('Données projet'!$B$10,Paramètres!$A$1:$I$89,3,0)*VLOOKUP('Données projet'!$B$10,Paramètres!$A$1:$I$89,5,0)</f>
        <v>189.696</v>
      </c>
      <c r="AK192" s="13">
        <f t="shared" si="164"/>
        <v>47.472736505152469</v>
      </c>
      <c r="AL192" s="20">
        <f t="shared" si="165"/>
        <v>413.06888274647389</v>
      </c>
      <c r="AM192" s="59">
        <f t="shared" si="113"/>
        <v>706.4022160798072</v>
      </c>
      <c r="AN192" s="59">
        <f ca="1">AVERAGE(OFFSET($AM$3,0,0,'Données projet'!$E$10+1,1))-AVERAGE(OFFSET($H$3,0,0,'Données projet'!$E$10+1,1))</f>
        <v>179.44051550872138</v>
      </c>
      <c r="AO192" s="59">
        <f t="shared" si="144"/>
        <v>272.9500808380069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5.2764311790069218</v>
      </c>
      <c r="AV192" s="21">
        <f>EXP(-LN(2)/25)*AV191+(1-EXP(-LN(2)/25))/(LN(2)/25)*Calculateur!AQ192*Calculateur!AS192*VLOOKUP('Données projet'!$B$10,Paramètres!$A$1:$I$89,3,0)*0.475*44/12</f>
        <v>0.58911571875665181</v>
      </c>
      <c r="AW192" s="21">
        <f>EXP(-LN(2)/2)*AW191+(1-EXP(-LN(2)/2))/(LN(2)/2)*AQ192*AT192*VLOOKUP('Données projet'!$B$10,Paramètres!$A$1:$I$89,3,0)*0.475*44/12</f>
        <v>2.5827685848309049E-25</v>
      </c>
      <c r="AX192" s="21">
        <f t="shared" si="166"/>
        <v>5.8655468977635739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0.79999999999995453</v>
      </c>
      <c r="BE192" s="13">
        <f>BD192*VLOOKUP('Données projet'!$B$11,Paramètres!$A$1:$I$89,3,0)*VLOOKUP('Données projet'!$B$11,Paramètres!$A$1:$I$89,5,0)</f>
        <v>0.44719999999997456</v>
      </c>
      <c r="BF192" s="13">
        <f t="shared" si="167"/>
        <v>0.22632652264063857</v>
      </c>
      <c r="BG192" s="20">
        <f t="shared" si="168"/>
        <v>1.1730586935990679</v>
      </c>
      <c r="BH192" s="59">
        <f t="shared" si="116"/>
        <v>294.50639202693236</v>
      </c>
      <c r="BI192" s="59">
        <f ca="1">AVERAGE(OFFSET($BH$3,0,0,'Données projet'!$E$11+1,1))-AVERAGE(OFFSET($H$3,0,0,'Données projet'!$E$11+1,1))</f>
        <v>321.85808080442411</v>
      </c>
      <c r="BJ192" s="59">
        <f t="shared" si="146"/>
        <v>285.95942591879702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35.522653118384824</v>
      </c>
      <c r="BQ192" s="21">
        <f>EXP(-LN(2)/25)*BQ191+(1-EXP(-LN(2)/25))/(LN(2)/25)*Calculateur!BL192*Calculateur!BN192*VLOOKUP('Données projet'!$B$11,Paramètres!$A$1:$I$89,3,0)*0.475*44/12</f>
        <v>0.31634957805358294</v>
      </c>
      <c r="BR192" s="21">
        <f>EXP(-LN(2)/2)*BR191+(1-EXP(-LN(2)/2))/(LN(2)/2)*BL192*BO192*VLOOKUP('Données projet'!$B$11,Paramètres!$A$1:$I$89,3,0)*0.475*44/12</f>
        <v>2.1131277436877974E-24</v>
      </c>
      <c r="BS192" s="22">
        <f t="shared" si="169"/>
        <v>35.839002696438406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689</v>
      </c>
      <c r="O193" s="13">
        <f>N193*VLOOKUP('Données projet'!$B$9,Paramètres!$A$1:$I$89,3,0)*VLOOKUP('Données projet'!$B$9,Paramètres!$A$1:$I$89,5,0)</f>
        <v>412.02199999999999</v>
      </c>
      <c r="P193" s="13">
        <f t="shared" si="141"/>
        <v>94.209724877926391</v>
      </c>
      <c r="Q193" s="20">
        <f t="shared" si="162"/>
        <v>881.686920829055</v>
      </c>
      <c r="R193" s="59">
        <f t="shared" si="109"/>
        <v>1175.0202541623883</v>
      </c>
      <c r="S193" s="59">
        <f ca="1">AVERAGE(OFFSET($R$3,0,0,'Données projet'!$E$9+1,1))-AVERAGE(OFFSET($H$3,0,0,'Données projet'!$E$9+1,1))</f>
        <v>430.93760474982633</v>
      </c>
      <c r="T193" s="59">
        <f t="shared" si="142"/>
        <v>371.5387876502981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11.080555621797888</v>
      </c>
      <c r="AA193" s="21">
        <f>EXP(-LN(2)/25)*AA192+(1-EXP(-LN(2)/25))/(LN(2)/25)*Calculateur!V193*Calculateur!X193*VLOOKUP('Données projet'!$B$9,Paramètres!$A$1:$I$89,3,0)*0.475*44/12</f>
        <v>0.69722057313189278</v>
      </c>
      <c r="AB193" s="21">
        <f>EXP(-LN(2)/2)*AB192+(1-EXP(-LN(2)/2))/(LN(2)/2)*V193*Y193*VLOOKUP('Données projet'!$B$9,Paramètres!$A$1:$I$89,3,0)*0.475*44/12</f>
        <v>4.3315181474768316E-26</v>
      </c>
      <c r="AC193" s="22">
        <f t="shared" si="163"/>
        <v>11.777776194929782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304</v>
      </c>
      <c r="AJ193" s="13">
        <f>AI193*VLOOKUP('Données projet'!$B$10,Paramètres!$A$1:$I$89,3,0)*VLOOKUP('Données projet'!$B$10,Paramètres!$A$1:$I$89,5,0)</f>
        <v>189.696</v>
      </c>
      <c r="AK193" s="13">
        <f t="shared" si="164"/>
        <v>47.472736505152469</v>
      </c>
      <c r="AL193" s="20">
        <f t="shared" si="165"/>
        <v>413.06888274647389</v>
      </c>
      <c r="AM193" s="59">
        <f t="shared" si="113"/>
        <v>706.4022160798072</v>
      </c>
      <c r="AN193" s="59">
        <f ca="1">AVERAGE(OFFSET($AM$3,0,0,'Données projet'!$E$10+1,1))-AVERAGE(OFFSET($H$3,0,0,'Données projet'!$E$10+1,1))</f>
        <v>179.44051550872138</v>
      </c>
      <c r="AO193" s="59">
        <f t="shared" si="144"/>
        <v>272.9500808380069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5.1729635818918345</v>
      </c>
      <c r="AV193" s="21">
        <f>EXP(-LN(2)/25)*AV192+(1-EXP(-LN(2)/25))/(LN(2)/25)*Calculateur!AQ193*Calculateur!AS193*VLOOKUP('Données projet'!$B$10,Paramètres!$A$1:$I$89,3,0)*0.475*44/12</f>
        <v>0.57300631844700201</v>
      </c>
      <c r="AW193" s="21">
        <f>EXP(-LN(2)/2)*AW192+(1-EXP(-LN(2)/2))/(LN(2)/2)*AQ193*AT193*VLOOKUP('Données projet'!$B$10,Paramètres!$A$1:$I$89,3,0)*0.475*44/12</f>
        <v>1.8262931805695157E-25</v>
      </c>
      <c r="AX193" s="21">
        <f t="shared" si="166"/>
        <v>5.7459699003388369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0.79999999999995453</v>
      </c>
      <c r="BE193" s="13">
        <f>BD193*VLOOKUP('Données projet'!$B$11,Paramètres!$A$1:$I$89,3,0)*VLOOKUP('Données projet'!$B$11,Paramètres!$A$1:$I$89,5,0)</f>
        <v>0.44719999999997456</v>
      </c>
      <c r="BF193" s="13">
        <f t="shared" si="167"/>
        <v>0.22632652264063857</v>
      </c>
      <c r="BG193" s="20">
        <f t="shared" si="168"/>
        <v>1.1730586935990679</v>
      </c>
      <c r="BH193" s="59">
        <f t="shared" si="116"/>
        <v>294.50639202693236</v>
      </c>
      <c r="BI193" s="59">
        <f ca="1">AVERAGE(OFFSET($BH$3,0,0,'Données projet'!$E$11+1,1))-AVERAGE(OFFSET($H$3,0,0,'Données projet'!$E$11+1,1))</f>
        <v>321.85808080442411</v>
      </c>
      <c r="BJ193" s="59">
        <f t="shared" si="146"/>
        <v>285.95942591879702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34.826075557412295</v>
      </c>
      <c r="BQ193" s="21">
        <f>EXP(-LN(2)/25)*BQ192+(1-EXP(-LN(2)/25))/(LN(2)/25)*Calculateur!BL193*Calculateur!BN193*VLOOKUP('Données projet'!$B$11,Paramètres!$A$1:$I$89,3,0)*0.475*44/12</f>
        <v>0.30769898220560643</v>
      </c>
      <c r="BR193" s="21">
        <f>EXP(-LN(2)/2)*BR192+(1-EXP(-LN(2)/2))/(LN(2)/2)*BL193*BO193*VLOOKUP('Données projet'!$B$11,Paramètres!$A$1:$I$89,3,0)*0.475*44/12</f>
        <v>1.4942069570750702E-24</v>
      </c>
      <c r="BS193" s="22">
        <f t="shared" si="169"/>
        <v>35.133774539617903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689</v>
      </c>
      <c r="O194" s="13">
        <f>N194*VLOOKUP('Données projet'!$B$9,Paramètres!$A$1:$I$89,3,0)*VLOOKUP('Données projet'!$B$9,Paramètres!$A$1:$I$89,5,0)</f>
        <v>412.02199999999999</v>
      </c>
      <c r="P194" s="13">
        <f t="shared" si="141"/>
        <v>94.209724877926391</v>
      </c>
      <c r="Q194" s="20">
        <f t="shared" si="162"/>
        <v>881.686920829055</v>
      </c>
      <c r="R194" s="59">
        <f t="shared" si="109"/>
        <v>1175.0202541623883</v>
      </c>
      <c r="S194" s="59">
        <f ca="1">AVERAGE(OFFSET($R$3,0,0,'Données projet'!$E$9+1,1))-AVERAGE(OFFSET($H$3,0,0,'Données projet'!$E$9+1,1))</f>
        <v>430.93760474982633</v>
      </c>
      <c r="T194" s="59">
        <f t="shared" si="142"/>
        <v>371.5387876502981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10.863272684526017</v>
      </c>
      <c r="AA194" s="21">
        <f>EXP(-LN(2)/25)*AA193+(1-EXP(-LN(2)/25))/(LN(2)/25)*Calculateur!V194*Calculateur!X194*VLOOKUP('Données projet'!$B$9,Paramètres!$A$1:$I$89,3,0)*0.475*44/12</f>
        <v>0.67815503989436476</v>
      </c>
      <c r="AB194" s="21">
        <f>EXP(-LN(2)/2)*AB193+(1-EXP(-LN(2)/2))/(LN(2)/2)*V194*Y194*VLOOKUP('Données projet'!$B$9,Paramètres!$A$1:$I$89,3,0)*0.475*44/12</f>
        <v>3.0628458549134596E-26</v>
      </c>
      <c r="AC194" s="22">
        <f t="shared" si="163"/>
        <v>11.541427724420382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304</v>
      </c>
      <c r="AJ194" s="13">
        <f>AI194*VLOOKUP('Données projet'!$B$10,Paramètres!$A$1:$I$89,3,0)*VLOOKUP('Données projet'!$B$10,Paramètres!$A$1:$I$89,5,0)</f>
        <v>189.696</v>
      </c>
      <c r="AK194" s="13">
        <f t="shared" si="164"/>
        <v>47.472736505152469</v>
      </c>
      <c r="AL194" s="20">
        <f t="shared" si="165"/>
        <v>413.06888274647389</v>
      </c>
      <c r="AM194" s="59">
        <f t="shared" si="113"/>
        <v>706.4022160798072</v>
      </c>
      <c r="AN194" s="59">
        <f ca="1">AVERAGE(OFFSET($AM$3,0,0,'Données projet'!$E$10+1,1))-AVERAGE(OFFSET($H$3,0,0,'Données projet'!$E$10+1,1))</f>
        <v>179.44051550872138</v>
      </c>
      <c r="AO194" s="59">
        <f t="shared" si="144"/>
        <v>272.9500808380069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5.0715249212471711</v>
      </c>
      <c r="AV194" s="21">
        <f>EXP(-LN(2)/25)*AV193+(1-EXP(-LN(2)/25))/(LN(2)/25)*Calculateur!AQ194*Calculateur!AS194*VLOOKUP('Données projet'!$B$10,Paramètres!$A$1:$I$89,3,0)*0.475*44/12</f>
        <v>0.55733743053597606</v>
      </c>
      <c r="AW194" s="21">
        <f>EXP(-LN(2)/2)*AW193+(1-EXP(-LN(2)/2))/(LN(2)/2)*AQ194*AT194*VLOOKUP('Données projet'!$B$10,Paramètres!$A$1:$I$89,3,0)*0.475*44/12</f>
        <v>1.2913842924154525E-25</v>
      </c>
      <c r="AX194" s="21">
        <f t="shared" si="166"/>
        <v>5.6288623517831473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0.79999999999995453</v>
      </c>
      <c r="BE194" s="13">
        <f>BD194*VLOOKUP('Données projet'!$B$11,Paramètres!$A$1:$I$89,3,0)*VLOOKUP('Données projet'!$B$11,Paramètres!$A$1:$I$89,5,0)</f>
        <v>0.44719999999997456</v>
      </c>
      <c r="BF194" s="13">
        <f t="shared" si="167"/>
        <v>0.22632652264063857</v>
      </c>
      <c r="BG194" s="20">
        <f t="shared" si="168"/>
        <v>1.1730586935990679</v>
      </c>
      <c r="BH194" s="59">
        <f t="shared" si="116"/>
        <v>294.50639202693236</v>
      </c>
      <c r="BI194" s="59">
        <f ca="1">AVERAGE(OFFSET($BH$3,0,0,'Données projet'!$E$11+1,1))-AVERAGE(OFFSET($H$3,0,0,'Données projet'!$E$11+1,1))</f>
        <v>321.85808080442411</v>
      </c>
      <c r="BJ194" s="59">
        <f t="shared" si="146"/>
        <v>285.95942591879702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34.143157457540077</v>
      </c>
      <c r="BQ194" s="21">
        <f>EXP(-LN(2)/25)*BQ193+(1-EXP(-LN(2)/25))/(LN(2)/25)*Calculateur!BL194*Calculateur!BN194*VLOOKUP('Données projet'!$B$11,Paramètres!$A$1:$I$89,3,0)*0.475*44/12</f>
        <v>0.29928493735600792</v>
      </c>
      <c r="BR194" s="21">
        <f>EXP(-LN(2)/2)*BR193+(1-EXP(-LN(2)/2))/(LN(2)/2)*BL194*BO194*VLOOKUP('Données projet'!$B$11,Paramètres!$A$1:$I$89,3,0)*0.475*44/12</f>
        <v>1.0565638718438987E-24</v>
      </c>
      <c r="BS194" s="22">
        <f t="shared" si="169"/>
        <v>34.442442394896084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689</v>
      </c>
      <c r="O195" s="13">
        <f>N195*VLOOKUP('Données projet'!$B$9,Paramètres!$A$1:$I$89,3,0)*VLOOKUP('Données projet'!$B$9,Paramètres!$A$1:$I$89,5,0)</f>
        <v>412.02199999999999</v>
      </c>
      <c r="P195" s="13">
        <f t="shared" si="141"/>
        <v>94.209724877926391</v>
      </c>
      <c r="Q195" s="20">
        <f t="shared" si="162"/>
        <v>881.686920829055</v>
      </c>
      <c r="R195" s="59">
        <f t="shared" ref="R195:R203" si="191">Q195+(I195+J195)*44/12</f>
        <v>1175.0202541623883</v>
      </c>
      <c r="S195" s="59">
        <f ca="1">AVERAGE(OFFSET($R$3,0,0,'Données projet'!$E$9+1,1))-AVERAGE(OFFSET($H$3,0,0,'Données projet'!$E$9+1,1))</f>
        <v>430.93760474982633</v>
      </c>
      <c r="T195" s="59">
        <f t="shared" si="142"/>
        <v>371.5387876502981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10.650250533124542</v>
      </c>
      <c r="AA195" s="21">
        <f>EXP(-LN(2)/25)*AA194+(1-EXP(-LN(2)/25))/(LN(2)/25)*Calculateur!V195*Calculateur!X195*VLOOKUP('Données projet'!$B$9,Paramètres!$A$1:$I$89,3,0)*0.475*44/12</f>
        <v>0.6596108546658298</v>
      </c>
      <c r="AB195" s="21">
        <f>EXP(-LN(2)/2)*AB194+(1-EXP(-LN(2)/2))/(LN(2)/2)*V195*Y195*VLOOKUP('Données projet'!$B$9,Paramètres!$A$1:$I$89,3,0)*0.475*44/12</f>
        <v>2.1657590737384158E-26</v>
      </c>
      <c r="AC195" s="22">
        <f t="shared" si="163"/>
        <v>11.309861387790372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304</v>
      </c>
      <c r="AJ195" s="13">
        <f>AI195*VLOOKUP('Données projet'!$B$10,Paramètres!$A$1:$I$89,3,0)*VLOOKUP('Données projet'!$B$10,Paramètres!$A$1:$I$89,5,0)</f>
        <v>189.696</v>
      </c>
      <c r="AK195" s="13">
        <f t="shared" si="164"/>
        <v>47.472736505152469</v>
      </c>
      <c r="AL195" s="20">
        <f t="shared" si="165"/>
        <v>413.06888274647389</v>
      </c>
      <c r="AM195" s="59">
        <f t="shared" si="113"/>
        <v>706.4022160798072</v>
      </c>
      <c r="AN195" s="59">
        <f ca="1">AVERAGE(OFFSET($AM$3,0,0,'Données projet'!$E$10+1,1))-AVERAGE(OFFSET($H$3,0,0,'Données projet'!$E$10+1,1))</f>
        <v>179.44051550872138</v>
      </c>
      <c r="AO195" s="59">
        <f t="shared" si="144"/>
        <v>272.9500808380069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4.9720754108662755</v>
      </c>
      <c r="AV195" s="21">
        <f>EXP(-LN(2)/25)*AV194+(1-EXP(-LN(2)/25))/(LN(2)/25)*Calculateur!AQ195*Calculateur!AS195*VLOOKUP('Données projet'!$B$10,Paramètres!$A$1:$I$89,3,0)*0.475*44/12</f>
        <v>0.54209700918886816</v>
      </c>
      <c r="AW195" s="21">
        <f>EXP(-LN(2)/2)*AW194+(1-EXP(-LN(2)/2))/(LN(2)/2)*AQ195*AT195*VLOOKUP('Données projet'!$B$10,Paramètres!$A$1:$I$89,3,0)*0.475*44/12</f>
        <v>9.1314659028475786E-26</v>
      </c>
      <c r="AX195" s="21">
        <f t="shared" si="166"/>
        <v>5.5141724200551439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0.79999999999995453</v>
      </c>
      <c r="BE195" s="13">
        <f>BD195*VLOOKUP('Données projet'!$B$11,Paramètres!$A$1:$I$89,3,0)*VLOOKUP('Données projet'!$B$11,Paramètres!$A$1:$I$89,5,0)</f>
        <v>0.44719999999997456</v>
      </c>
      <c r="BF195" s="13">
        <f t="shared" si="167"/>
        <v>0.22632652264063857</v>
      </c>
      <c r="BG195" s="20">
        <f t="shared" si="168"/>
        <v>1.1730586935990679</v>
      </c>
      <c r="BH195" s="59">
        <f t="shared" si="116"/>
        <v>294.50639202693236</v>
      </c>
      <c r="BI195" s="59">
        <f ca="1">AVERAGE(OFFSET($BH$3,0,0,'Données projet'!$E$11+1,1))-AVERAGE(OFFSET($H$3,0,0,'Données projet'!$E$11+1,1))</f>
        <v>321.85808080442411</v>
      </c>
      <c r="BJ195" s="59">
        <f t="shared" si="146"/>
        <v>285.95942591879702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33.473630965067443</v>
      </c>
      <c r="BQ195" s="21">
        <f>EXP(-LN(2)/25)*BQ194+(1-EXP(-LN(2)/25))/(LN(2)/25)*Calculateur!BL195*Calculateur!BN195*VLOOKUP('Données projet'!$B$11,Paramètres!$A$1:$I$89,3,0)*0.475*44/12</f>
        <v>0.29110097500529702</v>
      </c>
      <c r="BR195" s="21">
        <f>EXP(-LN(2)/2)*BR194+(1-EXP(-LN(2)/2))/(LN(2)/2)*BL195*BO195*VLOOKUP('Données projet'!$B$11,Paramètres!$A$1:$I$89,3,0)*0.475*44/12</f>
        <v>7.4710347853753512E-25</v>
      </c>
      <c r="BS195" s="22">
        <f t="shared" si="169"/>
        <v>33.764731940072743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689</v>
      </c>
      <c r="O196" s="13">
        <f>N196*VLOOKUP('Données projet'!$B$9,Paramètres!$A$1:$I$89,3,0)*VLOOKUP('Données projet'!$B$9,Paramètres!$A$1:$I$89,5,0)</f>
        <v>412.02199999999999</v>
      </c>
      <c r="P196" s="13">
        <f t="shared" si="141"/>
        <v>94.209724877926391</v>
      </c>
      <c r="Q196" s="20">
        <f t="shared" si="162"/>
        <v>881.686920829055</v>
      </c>
      <c r="R196" s="59">
        <f t="shared" si="191"/>
        <v>1175.0202541623883</v>
      </c>
      <c r="S196" s="59">
        <f ca="1">AVERAGE(OFFSET($R$3,0,0,'Données projet'!$E$9+1,1))-AVERAGE(OFFSET($H$3,0,0,'Données projet'!$E$9+1,1))</f>
        <v>430.93760474982633</v>
      </c>
      <c r="T196" s="59">
        <f t="shared" si="142"/>
        <v>371.5387876502981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10.441405616181367</v>
      </c>
      <c r="AA196" s="21">
        <f>EXP(-LN(2)/25)*AA195+(1-EXP(-LN(2)/25))/(LN(2)/25)*Calculateur!V196*Calculateur!X196*VLOOKUP('Données projet'!$B$9,Paramètres!$A$1:$I$89,3,0)*0.475*44/12</f>
        <v>0.64157376115756537</v>
      </c>
      <c r="AB196" s="21">
        <f>EXP(-LN(2)/2)*AB195+(1-EXP(-LN(2)/2))/(LN(2)/2)*V196*Y196*VLOOKUP('Données projet'!$B$9,Paramètres!$A$1:$I$89,3,0)*0.475*44/12</f>
        <v>1.5314229274567298E-26</v>
      </c>
      <c r="AC196" s="22">
        <f t="shared" si="163"/>
        <v>11.082979377338932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304</v>
      </c>
      <c r="AJ196" s="13">
        <f>AI196*VLOOKUP('Données projet'!$B$10,Paramètres!$A$1:$I$89,3,0)*VLOOKUP('Données projet'!$B$10,Paramètres!$A$1:$I$89,5,0)</f>
        <v>189.696</v>
      </c>
      <c r="AK196" s="13">
        <f t="shared" si="164"/>
        <v>47.472736505152469</v>
      </c>
      <c r="AL196" s="20">
        <f t="shared" si="165"/>
        <v>413.06888274647389</v>
      </c>
      <c r="AM196" s="59">
        <f t="shared" ref="AM196:AM203" si="193">AL196+(AD196+AE196)*44/12</f>
        <v>706.4022160798072</v>
      </c>
      <c r="AN196" s="59">
        <f ca="1">AVERAGE(OFFSET($AM$3,0,0,'Données projet'!$E$10+1,1))-AVERAGE(OFFSET($H$3,0,0,'Données projet'!$E$10+1,1))</f>
        <v>179.44051550872138</v>
      </c>
      <c r="AO196" s="59">
        <f t="shared" si="144"/>
        <v>272.9500808380069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4.8745760447257371</v>
      </c>
      <c r="AV196" s="21">
        <f>EXP(-LN(2)/25)*AV195+(1-EXP(-LN(2)/25))/(LN(2)/25)*Calculateur!AQ196*Calculateur!AS196*VLOOKUP('Données projet'!$B$10,Paramètres!$A$1:$I$89,3,0)*0.475*44/12</f>
        <v>0.52727333796495579</v>
      </c>
      <c r="AW196" s="21">
        <f>EXP(-LN(2)/2)*AW195+(1-EXP(-LN(2)/2))/(LN(2)/2)*AQ196*AT196*VLOOKUP('Données projet'!$B$10,Paramètres!$A$1:$I$89,3,0)*0.475*44/12</f>
        <v>6.4569214620772623E-26</v>
      </c>
      <c r="AX196" s="21">
        <f t="shared" si="166"/>
        <v>5.4018493826906928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0.79999999999995453</v>
      </c>
      <c r="BE196" s="13">
        <f>BD196*VLOOKUP('Données projet'!$B$11,Paramètres!$A$1:$I$89,3,0)*VLOOKUP('Données projet'!$B$11,Paramètres!$A$1:$I$89,5,0)</f>
        <v>0.44719999999997456</v>
      </c>
      <c r="BF196" s="13">
        <f t="shared" si="167"/>
        <v>0.22632652264063857</v>
      </c>
      <c r="BG196" s="20">
        <f t="shared" si="168"/>
        <v>1.1730586935990679</v>
      </c>
      <c r="BH196" s="59">
        <f t="shared" ref="BH196:BH203" si="194">BG196+(AY196+AZ196)*44/12</f>
        <v>294.50639202693236</v>
      </c>
      <c r="BI196" s="59">
        <f ca="1">AVERAGE(OFFSET($BH$3,0,0,'Données projet'!$E$11+1,1))-AVERAGE(OFFSET($H$3,0,0,'Données projet'!$E$11+1,1))</f>
        <v>321.85808080442411</v>
      </c>
      <c r="BJ196" s="59">
        <f t="shared" si="146"/>
        <v>285.95942591879702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32.817233478741358</v>
      </c>
      <c r="BQ196" s="21">
        <f>EXP(-LN(2)/25)*BQ195+(1-EXP(-LN(2)/25))/(LN(2)/25)*Calculateur!BL196*Calculateur!BN196*VLOOKUP('Données projet'!$B$11,Paramètres!$A$1:$I$89,3,0)*0.475*44/12</f>
        <v>0.28314080353544224</v>
      </c>
      <c r="BR196" s="21">
        <f>EXP(-LN(2)/2)*BR195+(1-EXP(-LN(2)/2))/(LN(2)/2)*BL196*BO196*VLOOKUP('Données projet'!$B$11,Paramètres!$A$1:$I$89,3,0)*0.475*44/12</f>
        <v>5.2828193592194934E-25</v>
      </c>
      <c r="BS196" s="22">
        <f t="shared" si="169"/>
        <v>33.100374282276803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689</v>
      </c>
      <c r="O197" s="13">
        <f>N197*VLOOKUP('Données projet'!$B$9,Paramètres!$A$1:$I$89,3,0)*VLOOKUP('Données projet'!$B$9,Paramètres!$A$1:$I$89,5,0)</f>
        <v>412.02199999999999</v>
      </c>
      <c r="P197" s="13">
        <f t="shared" ref="P197:P203" si="203">EXP(-1.0587+0.8836*LN(O197)+0.284)</f>
        <v>94.209724877926391</v>
      </c>
      <c r="Q197" s="20">
        <f t="shared" si="162"/>
        <v>881.686920829055</v>
      </c>
      <c r="R197" s="59">
        <f t="shared" si="191"/>
        <v>1175.0202541623883</v>
      </c>
      <c r="S197" s="59">
        <f ca="1">AVERAGE(OFFSET($R$3,0,0,'Données projet'!$E$9+1,1))-AVERAGE(OFFSET($H$3,0,0,'Données projet'!$E$9+1,1))</f>
        <v>430.93760474982633</v>
      </c>
      <c r="T197" s="59">
        <f t="shared" ref="T197:T203" si="204">$T$3</f>
        <v>371.5387876502981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10.236656020676627</v>
      </c>
      <c r="AA197" s="21">
        <f>EXP(-LN(2)/25)*AA196+(1-EXP(-LN(2)/25))/(LN(2)/25)*Calculateur!V197*Calculateur!X197*VLOOKUP('Données projet'!$B$9,Paramètres!$A$1:$I$89,3,0)*0.475*44/12</f>
        <v>0.62402989291981403</v>
      </c>
      <c r="AB197" s="21">
        <f>EXP(-LN(2)/2)*AB196+(1-EXP(-LN(2)/2))/(LN(2)/2)*V197*Y197*VLOOKUP('Données projet'!$B$9,Paramètres!$A$1:$I$89,3,0)*0.475*44/12</f>
        <v>1.0828795368692079E-26</v>
      </c>
      <c r="AC197" s="22">
        <f t="shared" si="163"/>
        <v>10.860685913596441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304</v>
      </c>
      <c r="AJ197" s="13">
        <f>AI197*VLOOKUP('Données projet'!$B$10,Paramètres!$A$1:$I$89,3,0)*VLOOKUP('Données projet'!$B$10,Paramètres!$A$1:$I$89,5,0)</f>
        <v>189.696</v>
      </c>
      <c r="AK197" s="13">
        <f t="shared" si="164"/>
        <v>47.472736505152469</v>
      </c>
      <c r="AL197" s="20">
        <f t="shared" si="165"/>
        <v>413.06888274647389</v>
      </c>
      <c r="AM197" s="59">
        <f t="shared" si="193"/>
        <v>706.4022160798072</v>
      </c>
      <c r="AN197" s="59">
        <f ca="1">AVERAGE(OFFSET($AM$3,0,0,'Données projet'!$E$10+1,1))-AVERAGE(OFFSET($H$3,0,0,'Données projet'!$E$10+1,1))</f>
        <v>179.44051550872138</v>
      </c>
      <c r="AO197" s="59">
        <f t="shared" ref="AO197:AO203" si="205">$AO$3</f>
        <v>272.9500808380069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4.7789885816864741</v>
      </c>
      <c r="AV197" s="21">
        <f>EXP(-LN(2)/25)*AV196+(1-EXP(-LN(2)/25))/(LN(2)/25)*Calculateur!AQ197*Calculateur!AS197*VLOOKUP('Données projet'!$B$10,Paramètres!$A$1:$I$89,3,0)*0.475*44/12</f>
        <v>0.51285502081020429</v>
      </c>
      <c r="AW197" s="21">
        <f>EXP(-LN(2)/2)*AW196+(1-EXP(-LN(2)/2))/(LN(2)/2)*AQ197*AT197*VLOOKUP('Données projet'!$B$10,Paramètres!$A$1:$I$89,3,0)*0.475*44/12</f>
        <v>4.5657329514237893E-26</v>
      </c>
      <c r="AX197" s="21">
        <f t="shared" si="166"/>
        <v>5.2918436024966784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0.79999999999995453</v>
      </c>
      <c r="BE197" s="13">
        <f>BD197*VLOOKUP('Données projet'!$B$11,Paramètres!$A$1:$I$89,3,0)*VLOOKUP('Données projet'!$B$11,Paramètres!$A$1:$I$89,5,0)</f>
        <v>0.44719999999997456</v>
      </c>
      <c r="BF197" s="13">
        <f t="shared" si="167"/>
        <v>0.22632652264063857</v>
      </c>
      <c r="BG197" s="20">
        <f t="shared" si="168"/>
        <v>1.1730586935990679</v>
      </c>
      <c r="BH197" s="59">
        <f t="shared" si="194"/>
        <v>294.50639202693236</v>
      </c>
      <c r="BI197" s="59">
        <f ca="1">AVERAGE(OFFSET($BH$3,0,0,'Données projet'!$E$11+1,1))-AVERAGE(OFFSET($H$3,0,0,'Données projet'!$E$11+1,1))</f>
        <v>321.85808080442411</v>
      </c>
      <c r="BJ197" s="59">
        <f t="shared" ref="BJ197:BJ203" si="206">$BJ$3</f>
        <v>285.95942591879702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32.173707546759189</v>
      </c>
      <c r="BQ197" s="21">
        <f>EXP(-LN(2)/25)*BQ196+(1-EXP(-LN(2)/25))/(LN(2)/25)*Calculateur!BL197*Calculateur!BN197*VLOOKUP('Données projet'!$B$11,Paramètres!$A$1:$I$89,3,0)*0.475*44/12</f>
        <v>0.27539830337303783</v>
      </c>
      <c r="BR197" s="21">
        <f>EXP(-LN(2)/2)*BR196+(1-EXP(-LN(2)/2))/(LN(2)/2)*BL197*BO197*VLOOKUP('Données projet'!$B$11,Paramètres!$A$1:$I$89,3,0)*0.475*44/12</f>
        <v>3.7355173926876756E-25</v>
      </c>
      <c r="BS197" s="22">
        <f t="shared" si="169"/>
        <v>32.449105850132227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689</v>
      </c>
      <c r="O198" s="13">
        <f>N198*VLOOKUP('Données projet'!$B$9,Paramètres!$A$1:$I$89,3,0)*VLOOKUP('Données projet'!$B$9,Paramètres!$A$1:$I$89,5,0)</f>
        <v>412.02199999999999</v>
      </c>
      <c r="P198" s="13">
        <f t="shared" si="203"/>
        <v>94.209724877926391</v>
      </c>
      <c r="Q198" s="20">
        <f t="shared" si="162"/>
        <v>881.686920829055</v>
      </c>
      <c r="R198" s="59">
        <f t="shared" si="191"/>
        <v>1175.0202541623883</v>
      </c>
      <c r="S198" s="59">
        <f ca="1">AVERAGE(OFFSET($R$3,0,0,'Données projet'!$E$9+1,1))-AVERAGE(OFFSET($H$3,0,0,'Données projet'!$E$9+1,1))</f>
        <v>430.93760474982633</v>
      </c>
      <c r="T198" s="59">
        <f t="shared" si="204"/>
        <v>371.5387876502981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10.035921439854812</v>
      </c>
      <c r="AA198" s="21">
        <f>EXP(-LN(2)/25)*AA197+(1-EXP(-LN(2)/25))/(LN(2)/25)*Calculateur!V198*Calculateur!X198*VLOOKUP('Données projet'!$B$9,Paramètres!$A$1:$I$89,3,0)*0.475*44/12</f>
        <v>0.60696576268161584</v>
      </c>
      <c r="AB198" s="21">
        <f>EXP(-LN(2)/2)*AB197+(1-EXP(-LN(2)/2))/(LN(2)/2)*V198*Y198*VLOOKUP('Données projet'!$B$9,Paramètres!$A$1:$I$89,3,0)*0.475*44/12</f>
        <v>7.6571146372836489E-27</v>
      </c>
      <c r="AC198" s="22">
        <f t="shared" si="163"/>
        <v>10.642887202536429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304</v>
      </c>
      <c r="AJ198" s="13">
        <f>AI198*VLOOKUP('Données projet'!$B$10,Paramètres!$A$1:$I$89,3,0)*VLOOKUP('Données projet'!$B$10,Paramètres!$A$1:$I$89,5,0)</f>
        <v>189.696</v>
      </c>
      <c r="AK198" s="13">
        <f t="shared" si="164"/>
        <v>47.472736505152469</v>
      </c>
      <c r="AL198" s="20">
        <f t="shared" si="165"/>
        <v>413.06888274647389</v>
      </c>
      <c r="AM198" s="59">
        <f t="shared" si="193"/>
        <v>706.4022160798072</v>
      </c>
      <c r="AN198" s="59">
        <f ca="1">AVERAGE(OFFSET($AM$3,0,0,'Données projet'!$E$10+1,1))-AVERAGE(OFFSET($H$3,0,0,'Données projet'!$E$10+1,1))</f>
        <v>179.44051550872138</v>
      </c>
      <c r="AO198" s="59">
        <f t="shared" si="205"/>
        <v>272.9500808380069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4.685275530494815</v>
      </c>
      <c r="AV198" s="21">
        <f>EXP(-LN(2)/25)*AV197+(1-EXP(-LN(2)/25))/(LN(2)/25)*Calculateur!AQ198*Calculateur!AS198*VLOOKUP('Données projet'!$B$10,Paramètres!$A$1:$I$89,3,0)*0.475*44/12</f>
        <v>0.49883097329627585</v>
      </c>
      <c r="AW198" s="21">
        <f>EXP(-LN(2)/2)*AW197+(1-EXP(-LN(2)/2))/(LN(2)/2)*AQ198*AT198*VLOOKUP('Données projet'!$B$10,Paramètres!$A$1:$I$89,3,0)*0.475*44/12</f>
        <v>3.2284607310386312E-26</v>
      </c>
      <c r="AX198" s="21">
        <f t="shared" si="166"/>
        <v>5.1841065037910905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0.79999999999995453</v>
      </c>
      <c r="BE198" s="13">
        <f>BD198*VLOOKUP('Données projet'!$B$11,Paramètres!$A$1:$I$89,3,0)*VLOOKUP('Données projet'!$B$11,Paramètres!$A$1:$I$89,5,0)</f>
        <v>0.44719999999997456</v>
      </c>
      <c r="BF198" s="13">
        <f t="shared" si="167"/>
        <v>0.22632652264063857</v>
      </c>
      <c r="BG198" s="20">
        <f t="shared" si="168"/>
        <v>1.1730586935990679</v>
      </c>
      <c r="BH198" s="59">
        <f t="shared" si="194"/>
        <v>294.50639202693236</v>
      </c>
      <c r="BI198" s="59">
        <f ca="1">AVERAGE(OFFSET($BH$3,0,0,'Données projet'!$E$11+1,1))-AVERAGE(OFFSET($H$3,0,0,'Données projet'!$E$11+1,1))</f>
        <v>321.85808080442411</v>
      </c>
      <c r="BJ198" s="59">
        <f t="shared" si="206"/>
        <v>285.95942591879702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31.542800765791135</v>
      </c>
      <c r="BQ198" s="21">
        <f>EXP(-LN(2)/25)*BQ197+(1-EXP(-LN(2)/25))/(LN(2)/25)*Calculateur!BL198*Calculateur!BN198*VLOOKUP('Données projet'!$B$11,Paramètres!$A$1:$I$89,3,0)*0.475*44/12</f>
        <v>0.26786752228473476</v>
      </c>
      <c r="BR198" s="21">
        <f>EXP(-LN(2)/2)*BR197+(1-EXP(-LN(2)/2))/(LN(2)/2)*BL198*BO198*VLOOKUP('Données projet'!$B$11,Paramètres!$A$1:$I$89,3,0)*0.475*44/12</f>
        <v>2.6414096796097467E-25</v>
      </c>
      <c r="BS198" s="22">
        <f t="shared" si="169"/>
        <v>31.81066828807587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689</v>
      </c>
      <c r="O199" s="13">
        <f>N199*VLOOKUP('Données projet'!$B$9,Paramètres!$A$1:$I$89,3,0)*VLOOKUP('Données projet'!$B$9,Paramètres!$A$1:$I$89,5,0)</f>
        <v>412.02199999999999</v>
      </c>
      <c r="P199" s="13">
        <f t="shared" si="203"/>
        <v>94.209724877926391</v>
      </c>
      <c r="Q199" s="20">
        <f t="shared" si="162"/>
        <v>881.686920829055</v>
      </c>
      <c r="R199" s="59">
        <f t="shared" si="191"/>
        <v>1175.0202541623883</v>
      </c>
      <c r="S199" s="59">
        <f ca="1">AVERAGE(OFFSET($R$3,0,0,'Données projet'!$E$9+1,1))-AVERAGE(OFFSET($H$3,0,0,'Données projet'!$E$9+1,1))</f>
        <v>430.93760474982633</v>
      </c>
      <c r="T199" s="59">
        <f t="shared" si="204"/>
        <v>371.5387876502981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9.8391231417269083</v>
      </c>
      <c r="AA199" s="21">
        <f>EXP(-LN(2)/25)*AA198+(1-EXP(-LN(2)/25))/(LN(2)/25)*Calculateur!V199*Calculateur!X199*VLOOKUP('Données projet'!$B$9,Paramètres!$A$1:$I$89,3,0)*0.475*44/12</f>
        <v>0.59036825198214482</v>
      </c>
      <c r="AB199" s="21">
        <f>EXP(-LN(2)/2)*AB198+(1-EXP(-LN(2)/2))/(LN(2)/2)*V199*Y199*VLOOKUP('Données projet'!$B$9,Paramètres!$A$1:$I$89,3,0)*0.475*44/12</f>
        <v>5.4143976843460395E-27</v>
      </c>
      <c r="AC199" s="22">
        <f t="shared" si="163"/>
        <v>10.429491393709053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304</v>
      </c>
      <c r="AJ199" s="13">
        <f>AI199*VLOOKUP('Données projet'!$B$10,Paramètres!$A$1:$I$89,3,0)*VLOOKUP('Données projet'!$B$10,Paramètres!$A$1:$I$89,5,0)</f>
        <v>189.696</v>
      </c>
      <c r="AK199" s="13">
        <f t="shared" si="164"/>
        <v>47.472736505152469</v>
      </c>
      <c r="AL199" s="20">
        <f t="shared" si="165"/>
        <v>413.06888274647389</v>
      </c>
      <c r="AM199" s="59">
        <f t="shared" si="193"/>
        <v>706.4022160798072</v>
      </c>
      <c r="AN199" s="59">
        <f ca="1">AVERAGE(OFFSET($AM$3,0,0,'Données projet'!$E$10+1,1))-AVERAGE(OFFSET($H$3,0,0,'Données projet'!$E$10+1,1))</f>
        <v>179.44051550872138</v>
      </c>
      <c r="AO199" s="59">
        <f t="shared" si="205"/>
        <v>272.9500808380069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4.5934001350777072</v>
      </c>
      <c r="AV199" s="21">
        <f>EXP(-LN(2)/25)*AV198+(1-EXP(-LN(2)/25))/(LN(2)/25)*Calculateur!AQ199*Calculateur!AS199*VLOOKUP('Données projet'!$B$10,Paramètres!$A$1:$I$89,3,0)*0.475*44/12</f>
        <v>0.4851904140991084</v>
      </c>
      <c r="AW199" s="21">
        <f>EXP(-LN(2)/2)*AW198+(1-EXP(-LN(2)/2))/(LN(2)/2)*AQ199*AT199*VLOOKUP('Données projet'!$B$10,Paramètres!$A$1:$I$89,3,0)*0.475*44/12</f>
        <v>2.2828664757118946E-26</v>
      </c>
      <c r="AX199" s="21">
        <f t="shared" si="166"/>
        <v>5.0785905491768153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0.79999999999995453</v>
      </c>
      <c r="BE199" s="13">
        <f>BD199*VLOOKUP('Données projet'!$B$11,Paramètres!$A$1:$I$89,3,0)*VLOOKUP('Données projet'!$B$11,Paramètres!$A$1:$I$89,5,0)</f>
        <v>0.44719999999997456</v>
      </c>
      <c r="BF199" s="13">
        <f t="shared" si="167"/>
        <v>0.22632652264063857</v>
      </c>
      <c r="BG199" s="20">
        <f t="shared" si="168"/>
        <v>1.1730586935990679</v>
      </c>
      <c r="BH199" s="59">
        <f t="shared" si="194"/>
        <v>294.50639202693236</v>
      </c>
      <c r="BI199" s="59">
        <f ca="1">AVERAGE(OFFSET($BH$3,0,0,'Données projet'!$E$11+1,1))-AVERAGE(OFFSET($H$3,0,0,'Données projet'!$E$11+1,1))</f>
        <v>321.85808080442411</v>
      </c>
      <c r="BJ199" s="59">
        <f t="shared" si="206"/>
        <v>285.95942591879702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30.924265681982725</v>
      </c>
      <c r="BQ199" s="21">
        <f>EXP(-LN(2)/25)*BQ198+(1-EXP(-LN(2)/25))/(LN(2)/25)*Calculateur!BL199*Calculateur!BN199*VLOOKUP('Données projet'!$B$11,Paramètres!$A$1:$I$89,3,0)*0.475*44/12</f>
        <v>0.26054267080131793</v>
      </c>
      <c r="BR199" s="21">
        <f>EXP(-LN(2)/2)*BR198+(1-EXP(-LN(2)/2))/(LN(2)/2)*BL199*BO199*VLOOKUP('Données projet'!$B$11,Paramètres!$A$1:$I$89,3,0)*0.475*44/12</f>
        <v>1.8677586963438378E-25</v>
      </c>
      <c r="BS199" s="22">
        <f t="shared" si="169"/>
        <v>31.184808352784042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689</v>
      </c>
      <c r="O200" s="13">
        <f>N200*VLOOKUP('Données projet'!$B$9,Paramètres!$A$1:$I$89,3,0)*VLOOKUP('Données projet'!$B$9,Paramètres!$A$1:$I$89,5,0)</f>
        <v>412.02199999999999</v>
      </c>
      <c r="P200" s="13">
        <f t="shared" si="203"/>
        <v>94.209724877926391</v>
      </c>
      <c r="Q200" s="20">
        <f t="shared" si="162"/>
        <v>881.686920829055</v>
      </c>
      <c r="R200" s="59">
        <f t="shared" si="191"/>
        <v>1175.0202541623883</v>
      </c>
      <c r="S200" s="59">
        <f ca="1">AVERAGE(OFFSET($R$3,0,0,'Données projet'!$E$9+1,1))-AVERAGE(OFFSET($H$3,0,0,'Données projet'!$E$9+1,1))</f>
        <v>430.93760474982633</v>
      </c>
      <c r="T200" s="59">
        <f t="shared" si="204"/>
        <v>371.5387876502981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9.6461839381901839</v>
      </c>
      <c r="AA200" s="21">
        <f>EXP(-LN(2)/25)*AA199+(1-EXP(-LN(2)/25))/(LN(2)/25)*Calculateur!V200*Calculateur!X200*VLOOKUP('Données projet'!$B$9,Paramètres!$A$1:$I$89,3,0)*0.475*44/12</f>
        <v>0.57422460108557605</v>
      </c>
      <c r="AB200" s="21">
        <f>EXP(-LN(2)/2)*AB199+(1-EXP(-LN(2)/2))/(LN(2)/2)*V200*Y200*VLOOKUP('Données projet'!$B$9,Paramètres!$A$1:$I$89,3,0)*0.475*44/12</f>
        <v>3.8285573186418245E-27</v>
      </c>
      <c r="AC200" s="22">
        <f t="shared" si="163"/>
        <v>10.220408539275759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304</v>
      </c>
      <c r="AJ200" s="13">
        <f>AI200*VLOOKUP('Données projet'!$B$10,Paramètres!$A$1:$I$89,3,0)*VLOOKUP('Données projet'!$B$10,Paramètres!$A$1:$I$89,5,0)</f>
        <v>189.696</v>
      </c>
      <c r="AK200" s="13">
        <f t="shared" si="164"/>
        <v>47.472736505152469</v>
      </c>
      <c r="AL200" s="20">
        <f t="shared" si="165"/>
        <v>413.06888274647389</v>
      </c>
      <c r="AM200" s="59">
        <f t="shared" si="193"/>
        <v>706.4022160798072</v>
      </c>
      <c r="AN200" s="59">
        <f ca="1">AVERAGE(OFFSET($AM$3,0,0,'Données projet'!$E$10+1,1))-AVERAGE(OFFSET($H$3,0,0,'Données projet'!$E$10+1,1))</f>
        <v>179.44051550872138</v>
      </c>
      <c r="AO200" s="59">
        <f t="shared" si="205"/>
        <v>272.9500808380069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4.5033263601262714</v>
      </c>
      <c r="AV200" s="21">
        <f>EXP(-LN(2)/25)*AV199+(1-EXP(-LN(2)/25))/(LN(2)/25)*Calculateur!AQ200*Calculateur!AS200*VLOOKUP('Données projet'!$B$10,Paramètres!$A$1:$I$89,3,0)*0.475*44/12</f>
        <v>0.47192285671051332</v>
      </c>
      <c r="AW200" s="21">
        <f>EXP(-LN(2)/2)*AW199+(1-EXP(-LN(2)/2))/(LN(2)/2)*AQ200*AT200*VLOOKUP('Données projet'!$B$10,Paramètres!$A$1:$I$89,3,0)*0.475*44/12</f>
        <v>1.6142303655193156E-26</v>
      </c>
      <c r="AX200" s="21">
        <f t="shared" si="166"/>
        <v>4.9752492168367848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0.79999999999995453</v>
      </c>
      <c r="BE200" s="13">
        <f>BD200*VLOOKUP('Données projet'!$B$11,Paramètres!$A$1:$I$89,3,0)*VLOOKUP('Données projet'!$B$11,Paramètres!$A$1:$I$89,5,0)</f>
        <v>0.44719999999997456</v>
      </c>
      <c r="BF200" s="13">
        <f t="shared" si="167"/>
        <v>0.22632652264063857</v>
      </c>
      <c r="BG200" s="20">
        <f t="shared" si="168"/>
        <v>1.1730586935990679</v>
      </c>
      <c r="BH200" s="59">
        <f t="shared" si="194"/>
        <v>294.50639202693236</v>
      </c>
      <c r="BI200" s="59">
        <f ca="1">AVERAGE(OFFSET($BH$3,0,0,'Données projet'!$E$11+1,1))-AVERAGE(OFFSET($H$3,0,0,'Données projet'!$E$11+1,1))</f>
        <v>321.85808080442411</v>
      </c>
      <c r="BJ200" s="59">
        <f t="shared" si="206"/>
        <v>285.95942591879702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30.317859693898647</v>
      </c>
      <c r="BQ200" s="21">
        <f>EXP(-LN(2)/25)*BQ199+(1-EXP(-LN(2)/25))/(LN(2)/25)*Calculateur!BL200*Calculateur!BN200*VLOOKUP('Données projet'!$B$11,Paramètres!$A$1:$I$89,3,0)*0.475*44/12</f>
        <v>0.25341811776691231</v>
      </c>
      <c r="BR200" s="21">
        <f>EXP(-LN(2)/2)*BR199+(1-EXP(-LN(2)/2))/(LN(2)/2)*BL200*BO200*VLOOKUP('Données projet'!$B$11,Paramètres!$A$1:$I$89,3,0)*0.475*44/12</f>
        <v>1.3207048398048734E-25</v>
      </c>
      <c r="BS200" s="22">
        <f t="shared" si="169"/>
        <v>30.57127781166556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689</v>
      </c>
      <c r="O201" s="13">
        <f>N201*VLOOKUP('Données projet'!$B$9,Paramètres!$A$1:$I$89,3,0)*VLOOKUP('Données projet'!$B$9,Paramètres!$A$1:$I$89,5,0)</f>
        <v>412.02199999999999</v>
      </c>
      <c r="P201" s="13">
        <f t="shared" si="203"/>
        <v>94.209724877926391</v>
      </c>
      <c r="Q201" s="20">
        <f t="shared" si="162"/>
        <v>881.686920829055</v>
      </c>
      <c r="R201" s="59">
        <f t="shared" si="191"/>
        <v>1175.0202541623883</v>
      </c>
      <c r="S201" s="59">
        <f ca="1">AVERAGE(OFFSET($R$3,0,0,'Données projet'!$E$9+1,1))-AVERAGE(OFFSET($H$3,0,0,'Données projet'!$E$9+1,1))</f>
        <v>430.93760474982633</v>
      </c>
      <c r="T201" s="59">
        <f t="shared" si="204"/>
        <v>371.5387876502981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9.4570281547535195</v>
      </c>
      <c r="AA201" s="21">
        <f>EXP(-LN(2)/25)*AA200+(1-EXP(-LN(2)/25))/(LN(2)/25)*Calculateur!V201*Calculateur!X201*VLOOKUP('Données projet'!$B$9,Paramètres!$A$1:$I$89,3,0)*0.475*44/12</f>
        <v>0.55852239917173163</v>
      </c>
      <c r="AB201" s="21">
        <f>EXP(-LN(2)/2)*AB200+(1-EXP(-LN(2)/2))/(LN(2)/2)*V201*Y201*VLOOKUP('Données projet'!$B$9,Paramètres!$A$1:$I$89,3,0)*0.475*44/12</f>
        <v>2.7071988421730197E-27</v>
      </c>
      <c r="AC201" s="22">
        <f t="shared" si="163"/>
        <v>10.015550553925252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304</v>
      </c>
      <c r="AJ201" s="13">
        <f>AI201*VLOOKUP('Données projet'!$B$10,Paramètres!$A$1:$I$89,3,0)*VLOOKUP('Données projet'!$B$10,Paramètres!$A$1:$I$89,5,0)</f>
        <v>189.696</v>
      </c>
      <c r="AK201" s="13">
        <f t="shared" si="164"/>
        <v>47.472736505152469</v>
      </c>
      <c r="AL201" s="20">
        <f t="shared" si="165"/>
        <v>413.06888274647389</v>
      </c>
      <c r="AM201" s="59">
        <f t="shared" si="193"/>
        <v>706.4022160798072</v>
      </c>
      <c r="AN201" s="59">
        <f ca="1">AVERAGE(OFFSET($AM$3,0,0,'Données projet'!$E$10+1,1))-AVERAGE(OFFSET($H$3,0,0,'Données projet'!$E$10+1,1))</f>
        <v>179.44051550872138</v>
      </c>
      <c r="AO201" s="59">
        <f t="shared" si="205"/>
        <v>272.9500808380069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4.4150188769620549</v>
      </c>
      <c r="AV201" s="21">
        <f>EXP(-LN(2)/25)*AV200+(1-EXP(-LN(2)/25))/(LN(2)/25)*Calculateur!AQ201*Calculateur!AS201*VLOOKUP('Données projet'!$B$10,Paramètres!$A$1:$I$89,3,0)*0.475*44/12</f>
        <v>0.45901810137641991</v>
      </c>
      <c r="AW201" s="21">
        <f>EXP(-LN(2)/2)*AW200+(1-EXP(-LN(2)/2))/(LN(2)/2)*AQ201*AT201*VLOOKUP('Données projet'!$B$10,Paramètres!$A$1:$I$89,3,0)*0.475*44/12</f>
        <v>1.1414332378559473E-26</v>
      </c>
      <c r="AX201" s="21">
        <f t="shared" si="166"/>
        <v>4.8740369783384745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0.79999999999995453</v>
      </c>
      <c r="BE201" s="13">
        <f>BD201*VLOOKUP('Données projet'!$B$11,Paramètres!$A$1:$I$89,3,0)*VLOOKUP('Données projet'!$B$11,Paramètres!$A$1:$I$89,5,0)</f>
        <v>0.44719999999997456</v>
      </c>
      <c r="BF201" s="13">
        <f t="shared" si="167"/>
        <v>0.22632652264063857</v>
      </c>
      <c r="BG201" s="20">
        <f t="shared" si="168"/>
        <v>1.1730586935990679</v>
      </c>
      <c r="BH201" s="59">
        <f t="shared" si="194"/>
        <v>294.50639202693236</v>
      </c>
      <c r="BI201" s="59">
        <f ca="1">AVERAGE(OFFSET($BH$3,0,0,'Données projet'!$E$11+1,1))-AVERAGE(OFFSET($H$3,0,0,'Données projet'!$E$11+1,1))</f>
        <v>321.85808080442411</v>
      </c>
      <c r="BJ201" s="59">
        <f t="shared" si="206"/>
        <v>285.95942591879702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29.723344957369768</v>
      </c>
      <c r="BQ201" s="21">
        <f>EXP(-LN(2)/25)*BQ200+(1-EXP(-LN(2)/25))/(LN(2)/25)*Calculateur!BL201*Calculateur!BN201*VLOOKUP('Données projet'!$B$11,Paramètres!$A$1:$I$89,3,0)*0.475*44/12</f>
        <v>0.24648838600989648</v>
      </c>
      <c r="BR201" s="21">
        <f>EXP(-LN(2)/2)*BR200+(1-EXP(-LN(2)/2))/(LN(2)/2)*BL201*BO201*VLOOKUP('Données projet'!$B$11,Paramètres!$A$1:$I$89,3,0)*0.475*44/12</f>
        <v>9.338793481719189E-26</v>
      </c>
      <c r="BS201" s="22">
        <f t="shared" si="169"/>
        <v>29.969833343379666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689</v>
      </c>
      <c r="O202" s="13">
        <f>N202*VLOOKUP('Données projet'!$B$9,Paramètres!$A$1:$I$89,3,0)*VLOOKUP('Données projet'!$B$9,Paramètres!$A$1:$I$89,5,0)</f>
        <v>412.02199999999999</v>
      </c>
      <c r="P202" s="13">
        <f t="shared" si="203"/>
        <v>94.209724877926391</v>
      </c>
      <c r="Q202" s="20">
        <f t="shared" si="162"/>
        <v>881.686920829055</v>
      </c>
      <c r="R202" s="59">
        <f t="shared" si="191"/>
        <v>1175.0202541623883</v>
      </c>
      <c r="S202" s="59">
        <f ca="1">AVERAGE(OFFSET($R$3,0,0,'Données projet'!$E$9+1,1))-AVERAGE(OFFSET($H$3,0,0,'Données projet'!$E$9+1,1))</f>
        <v>430.93760474982633</v>
      </c>
      <c r="T202" s="59">
        <f t="shared" si="204"/>
        <v>371.5387876502981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9.2715816008564129</v>
      </c>
      <c r="AA202" s="21">
        <f>EXP(-LN(2)/25)*AA201+(1-EXP(-LN(2)/25))/(LN(2)/25)*Calculateur!V202*Calculateur!X202*VLOOKUP('Données projet'!$B$9,Paramètres!$A$1:$I$89,3,0)*0.475*44/12</f>
        <v>0.54324957479496416</v>
      </c>
      <c r="AB202" s="21">
        <f>EXP(-LN(2)/2)*AB201+(1-EXP(-LN(2)/2))/(LN(2)/2)*V202*Y202*VLOOKUP('Données projet'!$B$9,Paramètres!$A$1:$I$89,3,0)*0.475*44/12</f>
        <v>1.9142786593209122E-27</v>
      </c>
      <c r="AC202" s="22">
        <f t="shared" si="163"/>
        <v>9.8148311756513777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304</v>
      </c>
      <c r="AJ202" s="13">
        <f>AI202*VLOOKUP('Données projet'!$B$10,Paramètres!$A$1:$I$89,3,0)*VLOOKUP('Données projet'!$B$10,Paramètres!$A$1:$I$89,5,0)</f>
        <v>189.696</v>
      </c>
      <c r="AK202" s="13">
        <f t="shared" si="164"/>
        <v>47.472736505152469</v>
      </c>
      <c r="AL202" s="20">
        <f t="shared" si="165"/>
        <v>413.06888274647389</v>
      </c>
      <c r="AM202" s="59">
        <f t="shared" si="193"/>
        <v>706.4022160798072</v>
      </c>
      <c r="AN202" s="59">
        <f ca="1">AVERAGE(OFFSET($AM$3,0,0,'Données projet'!$E$10+1,1))-AVERAGE(OFFSET($H$3,0,0,'Données projet'!$E$10+1,1))</f>
        <v>179.44051550872138</v>
      </c>
      <c r="AO202" s="59">
        <f t="shared" si="205"/>
        <v>272.9500808380069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4.3284430496804429</v>
      </c>
      <c r="AV202" s="21">
        <f>EXP(-LN(2)/25)*AV201+(1-EXP(-LN(2)/25))/(LN(2)/25)*Calculateur!AQ202*Calculateur!AS202*VLOOKUP('Données projet'!$B$10,Paramètres!$A$1:$I$89,3,0)*0.475*44/12</f>
        <v>0.44646622725556884</v>
      </c>
      <c r="AW202" s="21">
        <f>EXP(-LN(2)/2)*AW201+(1-EXP(-LN(2)/2))/(LN(2)/2)*AQ202*AT202*VLOOKUP('Données projet'!$B$10,Paramètres!$A$1:$I$89,3,0)*0.475*44/12</f>
        <v>8.0711518275965779E-27</v>
      </c>
      <c r="AX202" s="21">
        <f t="shared" si="166"/>
        <v>4.774909276936012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0.79999999999995453</v>
      </c>
      <c r="BE202" s="13">
        <f>BD202*VLOOKUP('Données projet'!$B$11,Paramètres!$A$1:$I$89,3,0)*VLOOKUP('Données projet'!$B$11,Paramètres!$A$1:$I$89,5,0)</f>
        <v>0.44719999999997456</v>
      </c>
      <c r="BF202" s="13">
        <f t="shared" si="167"/>
        <v>0.22632652264063857</v>
      </c>
      <c r="BG202" s="20">
        <f t="shared" si="168"/>
        <v>1.1730586935990679</v>
      </c>
      <c r="BH202" s="59">
        <f t="shared" si="194"/>
        <v>294.50639202693236</v>
      </c>
      <c r="BI202" s="59">
        <f ca="1">AVERAGE(OFFSET($BH$3,0,0,'Données projet'!$E$11+1,1))-AVERAGE(OFFSET($H$3,0,0,'Données projet'!$E$11+1,1))</f>
        <v>321.85808080442411</v>
      </c>
      <c r="BJ202" s="59">
        <f t="shared" si="206"/>
        <v>285.95942591879702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29.140488292206037</v>
      </c>
      <c r="BQ202" s="21">
        <f>EXP(-LN(2)/25)*BQ201+(1-EXP(-LN(2)/25))/(LN(2)/25)*Calculateur!BL202*Calculateur!BN202*VLOOKUP('Données projet'!$B$11,Paramètres!$A$1:$I$89,3,0)*0.475*44/12</f>
        <v>0.239748148132195</v>
      </c>
      <c r="BR202" s="21">
        <f>EXP(-LN(2)/2)*BR201+(1-EXP(-LN(2)/2))/(LN(2)/2)*BL202*BO202*VLOOKUP('Données projet'!$B$11,Paramètres!$A$1:$I$89,3,0)*0.475*44/12</f>
        <v>6.6035241990243668E-26</v>
      </c>
      <c r="BS202" s="22">
        <f t="shared" si="169"/>
        <v>29.38023644033823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689</v>
      </c>
      <c r="O203" s="13">
        <f>N203*VLOOKUP('Données projet'!$B$9,Paramètres!$A$1:$I$89,3,0)*VLOOKUP('Données projet'!$B$9,Paramètres!$A$1:$I$89,5,0)</f>
        <v>412.02199999999999</v>
      </c>
      <c r="P203" s="13">
        <f t="shared" si="203"/>
        <v>94.209724877926391</v>
      </c>
      <c r="Q203" s="20">
        <f t="shared" si="162"/>
        <v>881.686920829055</v>
      </c>
      <c r="R203" s="59">
        <f t="shared" si="191"/>
        <v>1175.0202541623883</v>
      </c>
      <c r="S203" s="59">
        <f ca="1">AVERAGE(OFFSET($R$3,0,0,'Données projet'!$E$9+1,1))-AVERAGE(OFFSET($H$3,0,0,'Données projet'!$E$9+1,1))</f>
        <v>430.93760474982633</v>
      </c>
      <c r="T203" s="59">
        <f t="shared" si="204"/>
        <v>371.5387876502981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9.0897715407700002</v>
      </c>
      <c r="AA203" s="21">
        <f>EXP(-LN(2)/25)*AA202+(1-EXP(-LN(2)/25))/(LN(2)/25)*Calculateur!V203*Calculateur!X203*VLOOKUP('Données projet'!$B$9,Paramètres!$A$1:$I$89,3,0)*0.475*44/12</f>
        <v>0.52839438660394233</v>
      </c>
      <c r="AB203" s="21">
        <f>EXP(-LN(2)/2)*AB202+(1-EXP(-LN(2)/2))/(LN(2)/2)*V203*Y203*VLOOKUP('Données projet'!$B$9,Paramètres!$A$1:$I$89,3,0)*0.475*44/12</f>
        <v>1.3535994210865099E-27</v>
      </c>
      <c r="AC203" s="22">
        <f t="shared" si="163"/>
        <v>9.6181659273739424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304</v>
      </c>
      <c r="AJ203" s="13">
        <f>AI203*VLOOKUP('Données projet'!$B$10,Paramètres!$A$1:$I$89,3,0)*VLOOKUP('Données projet'!$B$10,Paramètres!$A$1:$I$89,5,0)</f>
        <v>189.696</v>
      </c>
      <c r="AK203" s="13">
        <f t="shared" si="164"/>
        <v>47.472736505152469</v>
      </c>
      <c r="AL203" s="20">
        <f t="shared" si="165"/>
        <v>413.06888274647389</v>
      </c>
      <c r="AM203" s="59">
        <f t="shared" si="193"/>
        <v>706.4022160798072</v>
      </c>
      <c r="AN203" s="59">
        <f ca="1">AVERAGE(OFFSET($AM$3,0,0,'Données projet'!$E$10+1,1))-AVERAGE(OFFSET($H$3,0,0,'Données projet'!$E$10+1,1))</f>
        <v>179.44051550872138</v>
      </c>
      <c r="AO203" s="59">
        <f t="shared" si="205"/>
        <v>272.9500808380069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4.2435649215657829</v>
      </c>
      <c r="AV203" s="21">
        <f>EXP(-LN(2)/25)*AV202+(1-EXP(-LN(2)/25))/(LN(2)/25)*Calculateur!AQ203*Calculateur!AS203*VLOOKUP('Données projet'!$B$10,Paramètres!$A$1:$I$89,3,0)*0.475*44/12</f>
        <v>0.43425758479262683</v>
      </c>
      <c r="AW203" s="21">
        <f>EXP(-LN(2)/2)*AW202+(1-EXP(-LN(2)/2))/(LN(2)/2)*AQ203*AT203*VLOOKUP('Données projet'!$B$10,Paramètres!$A$1:$I$89,3,0)*0.475*44/12</f>
        <v>5.7071661892797366E-27</v>
      </c>
      <c r="AX203" s="21">
        <f t="shared" si="166"/>
        <v>4.6778225063584093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0.79999999999995453</v>
      </c>
      <c r="BE203" s="13">
        <f>BD203*VLOOKUP('Données projet'!$B$11,Paramètres!$A$1:$I$89,3,0)*VLOOKUP('Données projet'!$B$11,Paramètres!$A$1:$I$89,5,0)</f>
        <v>0.44719999999997456</v>
      </c>
      <c r="BF203" s="13">
        <f t="shared" si="167"/>
        <v>0.22632652264063857</v>
      </c>
      <c r="BG203" s="20">
        <f t="shared" si="168"/>
        <v>1.1730586935990679</v>
      </c>
      <c r="BH203" s="59">
        <f t="shared" si="194"/>
        <v>294.50639202693236</v>
      </c>
      <c r="BI203" s="59">
        <f ca="1">AVERAGE(OFFSET($BH$3,0,0,'Données projet'!$E$11+1,1))-AVERAGE(OFFSET($H$3,0,0,'Données projet'!$E$11+1,1))</f>
        <v>321.85808080442411</v>
      </c>
      <c r="BJ203" s="59">
        <f t="shared" si="206"/>
        <v>285.95942591879702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28.569061090738703</v>
      </c>
      <c r="BQ203" s="21">
        <f>EXP(-LN(2)/25)*BQ202+(1-EXP(-LN(2)/25))/(LN(2)/25)*Calculateur!BL203*Calculateur!BN203*VLOOKUP('Données projet'!$B$11,Paramètres!$A$1:$I$89,3,0)*0.475*44/12</f>
        <v>0.23319222241371296</v>
      </c>
      <c r="BR203" s="21">
        <f>EXP(-LN(2)/2)*BR202+(1-EXP(-LN(2)/2))/(LN(2)/2)*BL203*BO203*VLOOKUP('Données projet'!$B$11,Paramètres!$A$1:$I$89,3,0)*0.475*44/12</f>
        <v>4.6693967408595945E-26</v>
      </c>
      <c r="BS203" s="22">
        <f t="shared" si="169"/>
        <v>28.802253313152416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1.3680212568593273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1.2997069632623315</v>
      </c>
      <c r="BA205" s="81">
        <f>EXP(LN('Données projet'!B88)/'Données projet'!A88)</f>
        <v>1.3038361874339111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laricio</v>
      </c>
      <c r="B6" s="144">
        <f>'Données projet'!D9</f>
        <v>1.31925465855</v>
      </c>
      <c r="C6" s="145">
        <f ca="1">IF(OR('Données projet'!B9="",'Données projet'!C9="",'Données projet'!C9=0%),0,Calculateur!S3)</f>
        <v>430.93760474982633</v>
      </c>
      <c r="D6" s="145">
        <f>IF(OR('Données projet'!B9="",'Données projet'!C9="",'Données projet'!C9=0%),0,Calculateur!T3)</f>
        <v>371.5387876502981</v>
      </c>
      <c r="E6" s="145">
        <f ca="1">MIN(C6,D6)</f>
        <v>371.5387876502981</v>
      </c>
      <c r="F6" s="145">
        <f ca="1">E6*B6</f>
        <v>490.15427643967502</v>
      </c>
      <c r="G6" s="145">
        <f ca="1">F6*(100%-'Données projet'!$C$24)*(100%-'Données projet'!$C$25)*(100%-'Données projet'!$C$26)*(100%-'Données projet'!$C$27)</f>
        <v>441.13884879570753</v>
      </c>
      <c r="H6" s="146">
        <f>IF(OR('Données projet'!B9="",'Données projet'!C9="",'Données projet'!C9=0%),0,AVERAGE(Calculateur!$AC$3:$AC$33)*B6)</f>
        <v>16.832164371137985</v>
      </c>
      <c r="I6" s="147">
        <f>H6*(100%-'Données projet'!$C$24)*(100%-'Données projet'!$C$25)*(100%-'Données projet'!$C$26)*(100%-'Données projet'!$C$27)</f>
        <v>15.148947934024187</v>
      </c>
      <c r="J6" s="148">
        <f>IF(OR('Données projet'!B9="",'Données projet'!C9="",'Données projet'!C9=0%),0,SUM(Calculateur!$V$3:$V$33)*VLOOKUP('Données projet'!$B$9,Paramètres!$A$1:$I$89,9,0)*B6)</f>
        <v>115.15773914482949</v>
      </c>
      <c r="K6" s="149">
        <f>J6*(100%-'Données projet'!$C$24)*(100%-'Données projet'!$C$25)*(100%-'Données projet'!$C$26)*(100%-'Données projet'!$C$27)</f>
        <v>103.64196523034654</v>
      </c>
      <c r="L6" s="150">
        <f ca="1">G6+I6+K6</f>
        <v>559.92976196007828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d'Europe</v>
      </c>
      <c r="B7" s="152">
        <f>'Données projet'!D10</f>
        <v>1.5391304346800001</v>
      </c>
      <c r="C7" s="145">
        <f ca="1">IF(OR('Données projet'!B10="",'Données projet'!C10="",'Données projet'!C10=0%),0,Calculateur!AN3)</f>
        <v>179.44051550872138</v>
      </c>
      <c r="D7" s="145">
        <f>IF(OR('Données projet'!B10="",'Données projet'!C10="",'Données projet'!C10=0%),0,Calculateur!AO3)</f>
        <v>272.9500808380069</v>
      </c>
      <c r="E7" s="145">
        <f t="shared" ref="E7:E15" ca="1" si="0">MIN(C7,D7)</f>
        <v>179.44051550872138</v>
      </c>
      <c r="F7" s="145">
        <f t="shared" ref="F7:F15" ca="1" si="1">E7*B7</f>
        <v>276.18235863414162</v>
      </c>
      <c r="G7" s="145">
        <f ca="1">F7*(100%-'Données projet'!$C$24)*(100%-'Données projet'!$C$25)*(100%-'Données projet'!$C$26)*(100%-'Données projet'!$C$27)</f>
        <v>248.56412277072747</v>
      </c>
      <c r="H7" s="153">
        <f>IF(OR('Données projet'!B10="",'Données projet'!C10="",'Données projet'!C10=0%),0,AVERAGE(Calculateur!$AX$3:$AX$33)*B7)</f>
        <v>13.920745557857931</v>
      </c>
      <c r="I7" s="147">
        <f>H7*(100%-'Données projet'!$C$24)*(100%-'Données projet'!$C$25)*(100%-'Données projet'!$C$26)*(100%-'Données projet'!$C$27)</f>
        <v>12.528671002072137</v>
      </c>
      <c r="J7" s="148">
        <f>IF(OR('Données projet'!B10="",'Données projet'!C10="",'Données projet'!C10=0%),0,SUM(Calculateur!$AQ$3:$AQ$33)*VLOOKUP('Données projet'!$B$10,Paramètres!$A$1:$I$89,9,0)*B7)</f>
        <v>84.71373912478721</v>
      </c>
      <c r="K7" s="149">
        <f>J7*(100%-'Données projet'!$C$24)*(100%-'Données projet'!$C$25)*(100%-'Données projet'!$C$26)*(100%-'Données projet'!$C$27)</f>
        <v>76.242365212308485</v>
      </c>
      <c r="L7" s="150">
        <f t="shared" ref="L7:L15" ca="1" si="2">G7+I7+K7</f>
        <v>337.33515898510808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Douglas</v>
      </c>
      <c r="B8" s="152">
        <f>'Données projet'!D11</f>
        <v>3.04161490677</v>
      </c>
      <c r="C8" s="145">
        <f ca="1">IF(OR('Données projet'!B11="",'Données projet'!C11="",'Données projet'!C11=0%),0,Calculateur!BI3)</f>
        <v>321.85808080442411</v>
      </c>
      <c r="D8" s="145">
        <f>IF(OR('Données projet'!B11="",'Données projet'!C11="",'Données projet'!C11=0%),0,Calculateur!BJ3)</f>
        <v>285.95942591879702</v>
      </c>
      <c r="E8" s="145">
        <f t="shared" ca="1" si="0"/>
        <v>285.95942591879702</v>
      </c>
      <c r="F8" s="145">
        <f t="shared" ca="1" si="1"/>
        <v>869.77845260600452</v>
      </c>
      <c r="G8" s="145">
        <f ca="1">F8*(100%-'Données projet'!$C$24)*(100%-'Données projet'!$C$25)*(100%-'Données projet'!$C$26)*(100%-'Données projet'!$C$27)</f>
        <v>782.80060734540405</v>
      </c>
      <c r="H8" s="153">
        <f>IF(OR('Données projet'!B11="",'Données projet'!C11="",'Données projet'!C11=0%),0,AVERAGE(Calculateur!$BS$3:$BS$33)*B8)</f>
        <v>21.130126999094909</v>
      </c>
      <c r="I8" s="147">
        <f>H8*(100%-'Données projet'!$C$24)*(100%-'Données projet'!$C$25)*(100%-'Données projet'!$C$26)*(100%-'Données projet'!$C$27)</f>
        <v>19.017114299185419</v>
      </c>
      <c r="J8" s="148">
        <f>IF(OR('Données projet'!B11="",'Données projet'!C11="",'Données projet'!C11=0%),0,SUM(Calculateur!$BL$3:$BL$33)*VLOOKUP('Données projet'!$B$11,Paramètres!$A$1:$I$89,9,0)*B8)</f>
        <v>172.89056204614829</v>
      </c>
      <c r="K8" s="149">
        <f>J8*(100%-'Données projet'!$C$24)*(100%-'Données projet'!$C$25)*(100%-'Données projet'!$C$26)*(100%-'Données projet'!$C$27)</f>
        <v>155.60150584153345</v>
      </c>
      <c r="L8" s="150">
        <f t="shared" ca="1" si="2"/>
        <v>957.41922748612296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1636.115087679821</v>
      </c>
      <c r="G16" s="164">
        <f t="shared" ca="1" si="3"/>
        <v>1472.5035789118392</v>
      </c>
      <c r="H16" s="165">
        <f t="shared" si="3"/>
        <v>51.883036928090824</v>
      </c>
      <c r="I16" s="165">
        <f t="shared" si="3"/>
        <v>46.694733235281745</v>
      </c>
      <c r="J16" s="166">
        <f t="shared" si="3"/>
        <v>372.76204031576503</v>
      </c>
      <c r="K16" s="166">
        <f t="shared" si="3"/>
        <v>335.48583628418851</v>
      </c>
      <c r="L16" s="167">
        <f t="shared" ca="1" si="3"/>
        <v>1854.6841484313093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N17" sqref="N1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laricio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-1250.1677015959913</v>
      </c>
      <c r="U10" s="176">
        <f>'Données projet'!D9</f>
        <v>1.31925465855</v>
      </c>
      <c r="V10" s="175">
        <f>U10*T10</f>
        <v>-1649.2895642992578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d'Europe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-3267.871821377259</v>
      </c>
      <c r="U11" s="176">
        <f>'Données projet'!D10</f>
        <v>1.5391304346800001</v>
      </c>
      <c r="V11" s="175">
        <f t="shared" ref="V11" si="0">U11*T11</f>
        <v>-5029.680976914904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Douglas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-2975.447471545162</v>
      </c>
      <c r="U12" s="176">
        <f>'Données projet'!D11</f>
        <v>3.04161490677</v>
      </c>
      <c r="V12" s="175">
        <f t="shared" ref="V12:V19" si="1">U12*T12</f>
        <v>-9050.165383762871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laricio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50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2672.96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30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1500.0000000000016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2814.96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14</v>
      </c>
      <c r="C23" s="191">
        <v>20</v>
      </c>
      <c r="D23" s="180">
        <f>B23*C23</f>
        <v>280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-32337.399924977035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63</v>
      </c>
      <c r="C24" s="191">
        <v>20</v>
      </c>
      <c r="D24" s="180">
        <f t="shared" ref="D24:D42" si="2">B24*C24</f>
        <v>1260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979.78040219602258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63</v>
      </c>
      <c r="C25" s="191">
        <v>20</v>
      </c>
      <c r="D25" s="180">
        <f t="shared" si="2"/>
        <v>1260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-33317.180327173061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63</v>
      </c>
      <c r="C26" s="191">
        <v>20</v>
      </c>
      <c r="D26" s="180">
        <f t="shared" si="2"/>
        <v>1260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63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63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60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53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45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39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34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31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30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29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d'Europe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3933.68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18</v>
      </c>
      <c r="B54" s="179">
        <f>'Données projet'!D62</f>
        <v>20</v>
      </c>
      <c r="C54" s="189">
        <v>20</v>
      </c>
      <c r="D54" s="177">
        <f>B54*C54</f>
        <v>400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21</v>
      </c>
      <c r="B55" s="179">
        <f>'Données projet'!D63</f>
        <v>26</v>
      </c>
      <c r="C55" s="189">
        <v>20</v>
      </c>
      <c r="D55" s="177">
        <f t="shared" ref="D55:D73" si="4">B55*C55</f>
        <v>520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24</v>
      </c>
      <c r="B56" s="179">
        <f>'Données projet'!D64</f>
        <v>29</v>
      </c>
      <c r="C56" s="189">
        <v>20</v>
      </c>
      <c r="D56" s="177">
        <f t="shared" si="4"/>
        <v>580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53</v>
      </c>
      <c r="C57" s="189">
        <v>20</v>
      </c>
      <c r="D57" s="177">
        <f t="shared" si="4"/>
        <v>1060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36</v>
      </c>
      <c r="B58" s="179">
        <f>'Données projet'!D66</f>
        <v>62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42</v>
      </c>
      <c r="B59" s="179">
        <f>'Données projet'!D67</f>
        <v>67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48</v>
      </c>
      <c r="B60" s="179">
        <f>'Données projet'!D68</f>
        <v>65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60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Douglas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3882.2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19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21</v>
      </c>
      <c r="B86" s="179">
        <f>'Données projet'!D89</f>
        <v>64.58</v>
      </c>
      <c r="C86" s="189">
        <v>20</v>
      </c>
      <c r="D86" s="177">
        <f t="shared" ref="D86:D104" si="6">B86*C86</f>
        <v>1291.5999999999999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28</v>
      </c>
      <c r="B87" s="179">
        <f>'Données projet'!D90</f>
        <v>67.61</v>
      </c>
      <c r="C87" s="189">
        <v>20</v>
      </c>
      <c r="D87" s="177">
        <f t="shared" si="6"/>
        <v>1352.2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86.68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42</v>
      </c>
      <c r="B89" s="179">
        <f>'Données projet'!D92</f>
        <v>99.98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49</v>
      </c>
      <c r="B90" s="179">
        <f>'Données projet'!D93</f>
        <v>112.61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56</v>
      </c>
      <c r="B91" s="179">
        <f>'Données projet'!D94</f>
        <v>94.57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63</v>
      </c>
      <c r="B92" s="179">
        <f>'Données projet'!D95</f>
        <v>99.49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70</v>
      </c>
      <c r="B93" s="179">
        <f>'Données projet'!D96</f>
        <v>586.05999999999995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2024-07-25T08:01:00Z</dcterms:modified>
</cp:coreProperties>
</file>