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codeName="ThisWorkbook"/>
  <mc:AlternateContent xmlns:mc="http://schemas.openxmlformats.org/markup-compatibility/2006">
    <mc:Choice Requires="x15">
      <x15ac:absPath xmlns:x15ac="http://schemas.microsoft.com/office/spreadsheetml/2010/11/ac" url="\\alliance.local\data\Services\7.Qualité Sécurité Environnement\Partage\1.Saisies partagées agences\6.LBC\2. Dossiers agences\Forestarn\ESPERAUSSES (81) - Pons Jean-Jacques\Dossier déposé 28032024\"/>
    </mc:Choice>
  </mc:AlternateContent>
  <xr:revisionPtr revIDLastSave="0" documentId="13_ncr:1_{A8FBE4ED-1CE2-4ECB-9018-BECE5C802BB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166" i="2" a="1"/>
  <c r="AH166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90" i="2" l="1" a="1"/>
  <c r="AH90" i="2" s="1"/>
  <c r="AH151" i="2" a="1"/>
  <c r="AH151" i="2" s="1"/>
  <c r="AH199" i="2" a="1"/>
  <c r="AH199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<sst xmlns="http://schemas.openxmlformats.org/spreadsheetml/2006/main" count="1170" uniqueCount="324">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</sst>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" fillId="20" borderId="1" xfId="1" applyNumberFormat="1" applyFont="1" applyFill="1" applyBorder="1" applyAlignment="1" applyProtection="1">
      <alignment horizontal="center"/>
      <protection locked="0" hidden="1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1.5393896938194491</c:v>
                </c:pt>
                <c:pt idx="2">
                  <c:v>1.9340929760579824</c:v>
                </c:pt>
                <c:pt idx="3">
                  <c:v>2.4304041826975693</c:v>
                </c:pt>
                <c:pt idx="4">
                  <c:v>3.0545787484439804</c:v>
                </c:pt>
                <c:pt idx="5">
                  <c:v>3.839680427957596</c:v>
                </c:pt>
                <c:pt idx="6">
                  <c:v>4.8273525502098815</c:v>
                </c:pt>
                <c:pt idx="7">
                  <c:v>6.0700514754683512</c:v>
                </c:pt>
                <c:pt idx="8">
                  <c:v>7.6338631993393991</c:v>
                </c:pt>
                <c:pt idx="9">
                  <c:v>9.6020557757857823</c:v>
                </c:pt>
                <c:pt idx="10">
                  <c:v>12.079560300720253</c:v>
                </c:pt>
                <c:pt idx="11">
                  <c:v>15.198623807640407</c:v>
                </c:pt>
                <c:pt idx="12">
                  <c:v>19.125941354992019</c:v>
                </c:pt>
                <c:pt idx="13">
                  <c:v>24.071655343316234</c:v>
                </c:pt>
                <c:pt idx="14">
                  <c:v>30.300712128179242</c:v>
                </c:pt>
                <c:pt idx="15">
                  <c:v>38.147194904899251</c:v>
                </c:pt>
                <c:pt idx="16">
                  <c:v>48.03241472919786</c:v>
                </c:pt>
                <c:pt idx="17">
                  <c:v>60.487747376389791</c:v>
                </c:pt>
                <c:pt idx="18">
                  <c:v>76.183463875958196</c:v>
                </c:pt>
                <c:pt idx="19">
                  <c:v>95.96513133539338</c:v>
                </c:pt>
                <c:pt idx="20">
                  <c:v>120.89957623101225</c:v>
                </c:pt>
                <c:pt idx="21">
                  <c:v>127.54994966375402</c:v>
                </c:pt>
                <c:pt idx="22">
                  <c:v>134.19192451868898</c:v>
                </c:pt>
                <c:pt idx="23">
                  <c:v>140.82597594357114</c:v>
                </c:pt>
                <c:pt idx="24">
                  <c:v>147.45253056632168</c:v>
                </c:pt>
                <c:pt idx="25">
                  <c:v>154.0719734572057</c:v>
                </c:pt>
                <c:pt idx="26">
                  <c:v>160.68465382913149</c:v>
                </c:pt>
                <c:pt idx="27">
                  <c:v>167.2908897484331</c:v>
                </c:pt>
                <c:pt idx="28">
                  <c:v>173.89097206104813</c:v>
                </c:pt>
                <c:pt idx="29">
                  <c:v>180.48516769023783</c:v>
                </c:pt>
                <c:pt idx="30">
                  <c:v>187.07372242622981</c:v>
                </c:pt>
                <c:pt idx="31">
                  <c:v>194.16304064471555</c:v>
                </c:pt>
                <c:pt idx="32">
                  <c:v>201.24634176616689</c:v>
                </c:pt>
                <c:pt idx="33">
                  <c:v>208.32386777264207</c:v>
                </c:pt>
                <c:pt idx="34">
                  <c:v>215.39584283593408</c:v>
                </c:pt>
                <c:pt idx="35">
                  <c:v>222.46247518327695</c:v>
                </c:pt>
                <c:pt idx="36">
                  <c:v>229.52395871325157</c:v>
                </c:pt>
                <c:pt idx="37">
                  <c:v>236.58047440215805</c:v>
                </c:pt>
                <c:pt idx="38">
                  <c:v>243.63219153359822</c:v>
                </c:pt>
                <c:pt idx="39">
                  <c:v>250.67926877807722</c:v>
                </c:pt>
                <c:pt idx="40">
                  <c:v>257.72185514470988</c:v>
                </c:pt>
                <c:pt idx="41">
                  <c:v>201.24634176616689</c:v>
                </c:pt>
                <c:pt idx="42">
                  <c:v>208.32386777264207</c:v>
                </c:pt>
                <c:pt idx="43">
                  <c:v>215.39584283593408</c:v>
                </c:pt>
                <c:pt idx="44">
                  <c:v>222.46247518327695</c:v>
                </c:pt>
                <c:pt idx="45">
                  <c:v>229.52395871325157</c:v>
                </c:pt>
                <c:pt idx="46">
                  <c:v>236.58047440215805</c:v>
                </c:pt>
                <c:pt idx="47">
                  <c:v>243.63219153359822</c:v>
                </c:pt>
                <c:pt idx="48">
                  <c:v>250.67926877807722</c:v>
                </c:pt>
                <c:pt idx="49">
                  <c:v>257.72185514470988</c:v>
                </c:pt>
                <c:pt idx="50">
                  <c:v>264.76009082333889</c:v>
                </c:pt>
                <c:pt idx="51">
                  <c:v>272.79863050588671</c:v>
                </c:pt>
                <c:pt idx="52">
                  <c:v>280.83184541341694</c:v>
                </c:pt>
                <c:pt idx="53">
                  <c:v>288.85990949975201</c:v>
                </c:pt>
                <c:pt idx="54">
                  <c:v>296.88298625047742</c:v>
                </c:pt>
                <c:pt idx="55">
                  <c:v>304.90122958502047</c:v>
                </c:pt>
                <c:pt idx="56">
                  <c:v>312.91478465880101</c:v>
                </c:pt>
                <c:pt idx="57">
                  <c:v>320.9237885788545</c:v>
                </c:pt>
                <c:pt idx="58">
                  <c:v>328.92837104423444</c:v>
                </c:pt>
                <c:pt idx="59">
                  <c:v>336.92865492077652</c:v>
                </c:pt>
                <c:pt idx="60">
                  <c:v>344.92475675838381</c:v>
                </c:pt>
                <c:pt idx="61">
                  <c:v>285.34825454721067</c:v>
                </c:pt>
                <c:pt idx="62">
                  <c:v>292.8720614577478</c:v>
                </c:pt>
                <c:pt idx="63">
                  <c:v>300.39155369431421</c:v>
                </c:pt>
                <c:pt idx="64">
                  <c:v>307.90685461043864</c:v>
                </c:pt>
                <c:pt idx="65">
                  <c:v>315.41808104045475</c:v>
                </c:pt>
                <c:pt idx="66">
                  <c:v>322.92534379451826</c:v>
                </c:pt>
                <c:pt idx="67">
                  <c:v>330.4287481051519</c:v>
                </c:pt>
                <c:pt idx="68">
                  <c:v>337.92839403108081</c:v>
                </c:pt>
                <c:pt idx="69">
                  <c:v>345.42437682332138</c:v>
                </c:pt>
                <c:pt idx="70">
                  <c:v>352.9167872578102</c:v>
                </c:pt>
                <c:pt idx="71">
                  <c:v>291.56824760988326</c:v>
                </c:pt>
                <c:pt idx="72">
                  <c:v>299.28895999218292</c:v>
                </c:pt>
                <c:pt idx="73">
                  <c:v>307.00523587874881</c:v>
                </c:pt>
                <c:pt idx="74">
                  <c:v>314.71720261424775</c:v>
                </c:pt>
                <c:pt idx="75">
                  <c:v>322.42498078691864</c:v>
                </c:pt>
                <c:pt idx="76">
                  <c:v>330.12868474355952</c:v>
                </c:pt>
                <c:pt idx="77">
                  <c:v>337.82842305389983</c:v>
                </c:pt>
                <c:pt idx="78">
                  <c:v>345.52429893039567</c:v>
                </c:pt>
                <c:pt idx="79">
                  <c:v>353.21641060864749</c:v>
                </c:pt>
                <c:pt idx="80">
                  <c:v>360.90485169292765</c:v>
                </c:pt>
                <c:pt idx="81">
                  <c:v>298.18627576151783</c:v>
                </c:pt>
                <c:pt idx="82">
                  <c:v>306.50431116158171</c:v>
                </c:pt>
                <c:pt idx="83">
                  <c:v>314.81733022074974</c:v>
                </c:pt>
                <c:pt idx="84">
                  <c:v>323.12548419477213</c:v>
                </c:pt>
                <c:pt idx="85">
                  <c:v>331.42891591987274</c:v>
                </c:pt>
                <c:pt idx="86">
                  <c:v>339.72776048524321</c:v>
                </c:pt>
                <c:pt idx="87">
                  <c:v>348.02214583635424</c:v>
                </c:pt>
                <c:pt idx="88">
                  <c:v>356.31219331771285</c:v>
                </c:pt>
                <c:pt idx="89">
                  <c:v>364.59801816244266</c:v>
                </c:pt>
                <c:pt idx="90">
                  <c:v>372.87972993501268</c:v>
                </c:pt>
                <c:pt idx="91">
                  <c:v>308.20738114119689</c:v>
                </c:pt>
                <c:pt idx="92">
                  <c:v>316.51939170560036</c:v>
                </c:pt>
                <c:pt idx="93">
                  <c:v>324.82656710302007</c:v>
                </c:pt>
                <c:pt idx="94">
                  <c:v>333.1290485305754</c:v>
                </c:pt>
                <c:pt idx="95">
                  <c:v>341.42696956725422</c:v>
                </c:pt>
                <c:pt idx="96">
                  <c:v>349.7204567641636</c:v>
                </c:pt>
                <c:pt idx="97">
                  <c:v>358.00963017583189</c:v>
                </c:pt>
                <c:pt idx="98">
                  <c:v>366.29460383970871</c:v>
                </c:pt>
                <c:pt idx="99">
                  <c:v>374.57548620999506</c:v>
                </c:pt>
                <c:pt idx="100">
                  <c:v>382.85238055108965</c:v>
                </c:pt>
                <c:pt idx="101">
                  <c:v>1.590873277977066E-12</c:v>
                </c:pt>
                <c:pt idx="102">
                  <c:v>1.590873277977066E-12</c:v>
                </c:pt>
                <c:pt idx="103">
                  <c:v>1.590873277977066E-12</c:v>
                </c:pt>
                <c:pt idx="104">
                  <c:v>1.590873277977066E-12</c:v>
                </c:pt>
                <c:pt idx="105">
                  <c:v>1.590873277977066E-12</c:v>
                </c:pt>
                <c:pt idx="106">
                  <c:v>1.590873277977066E-12</c:v>
                </c:pt>
                <c:pt idx="107">
                  <c:v>1.590873277977066E-12</c:v>
                </c:pt>
                <c:pt idx="108">
                  <c:v>1.590873277977066E-12</c:v>
                </c:pt>
                <c:pt idx="109">
                  <c:v>1.590873277977066E-12</c:v>
                </c:pt>
                <c:pt idx="110">
                  <c:v>1.590873277977066E-12</c:v>
                </c:pt>
                <c:pt idx="111">
                  <c:v>1.590873277977066E-12</c:v>
                </c:pt>
                <c:pt idx="112">
                  <c:v>1.590873277977066E-12</c:v>
                </c:pt>
                <c:pt idx="113">
                  <c:v>1.590873277977066E-12</c:v>
                </c:pt>
                <c:pt idx="114">
                  <c:v>1.590873277977066E-12</c:v>
                </c:pt>
                <c:pt idx="115">
                  <c:v>1.590873277977066E-12</c:v>
                </c:pt>
                <c:pt idx="116">
                  <c:v>1.590873277977066E-12</c:v>
                </c:pt>
                <c:pt idx="117">
                  <c:v>1.590873277977066E-12</c:v>
                </c:pt>
                <c:pt idx="118">
                  <c:v>1.590873277977066E-12</c:v>
                </c:pt>
                <c:pt idx="119">
                  <c:v>1.590873277977066E-12</c:v>
                </c:pt>
                <c:pt idx="120">
                  <c:v>1.590873277977066E-12</c:v>
                </c:pt>
                <c:pt idx="121">
                  <c:v>1.590873277977066E-12</c:v>
                </c:pt>
                <c:pt idx="122">
                  <c:v>1.590873277977066E-12</c:v>
                </c:pt>
                <c:pt idx="123">
                  <c:v>1.590873277977066E-12</c:v>
                </c:pt>
                <c:pt idx="124">
                  <c:v>1.590873277977066E-12</c:v>
                </c:pt>
                <c:pt idx="125">
                  <c:v>1.590873277977066E-12</c:v>
                </c:pt>
                <c:pt idx="126">
                  <c:v>1.590873277977066E-12</c:v>
                </c:pt>
                <c:pt idx="127">
                  <c:v>1.590873277977066E-12</c:v>
                </c:pt>
                <c:pt idx="128">
                  <c:v>1.590873277977066E-12</c:v>
                </c:pt>
                <c:pt idx="129">
                  <c:v>1.590873277977066E-12</c:v>
                </c:pt>
                <c:pt idx="130">
                  <c:v>1.590873277977066E-12</c:v>
                </c:pt>
                <c:pt idx="131">
                  <c:v>1.590873277977066E-12</c:v>
                </c:pt>
                <c:pt idx="132">
                  <c:v>1.590873277977066E-12</c:v>
                </c:pt>
                <c:pt idx="133">
                  <c:v>1.590873277977066E-12</c:v>
                </c:pt>
                <c:pt idx="134">
                  <c:v>1.590873277977066E-12</c:v>
                </c:pt>
                <c:pt idx="135">
                  <c:v>1.590873277977066E-12</c:v>
                </c:pt>
                <c:pt idx="136">
                  <c:v>1.590873277977066E-12</c:v>
                </c:pt>
                <c:pt idx="137">
                  <c:v>1.590873277977066E-12</c:v>
                </c:pt>
                <c:pt idx="138">
                  <c:v>1.590873277977066E-12</c:v>
                </c:pt>
                <c:pt idx="139">
                  <c:v>1.590873277977066E-12</c:v>
                </c:pt>
                <c:pt idx="140">
                  <c:v>1.590873277977066E-12</c:v>
                </c:pt>
                <c:pt idx="141">
                  <c:v>1.590873277977066E-12</c:v>
                </c:pt>
                <c:pt idx="142">
                  <c:v>1.590873277977066E-12</c:v>
                </c:pt>
                <c:pt idx="143">
                  <c:v>1.590873277977066E-12</c:v>
                </c:pt>
                <c:pt idx="144">
                  <c:v>1.590873277977066E-12</c:v>
                </c:pt>
                <c:pt idx="145">
                  <c:v>1.590873277977066E-12</c:v>
                </c:pt>
                <c:pt idx="146">
                  <c:v>1.590873277977066E-12</c:v>
                </c:pt>
                <c:pt idx="147">
                  <c:v>1.590873277977066E-12</c:v>
                </c:pt>
                <c:pt idx="148">
                  <c:v>1.590873277977066E-12</c:v>
                </c:pt>
                <c:pt idx="149">
                  <c:v>1.590873277977066E-12</c:v>
                </c:pt>
                <c:pt idx="150">
                  <c:v>1.590873277977066E-12</c:v>
                </c:pt>
                <c:pt idx="151">
                  <c:v>1.590873277977066E-12</c:v>
                </c:pt>
                <c:pt idx="152">
                  <c:v>1.590873277977066E-12</c:v>
                </c:pt>
                <c:pt idx="153">
                  <c:v>1.590873277977066E-12</c:v>
                </c:pt>
                <c:pt idx="154">
                  <c:v>1.590873277977066E-12</c:v>
                </c:pt>
                <c:pt idx="155">
                  <c:v>1.590873277977066E-12</c:v>
                </c:pt>
                <c:pt idx="156">
                  <c:v>1.590873277977066E-12</c:v>
                </c:pt>
                <c:pt idx="157">
                  <c:v>1.590873277977066E-12</c:v>
                </c:pt>
                <c:pt idx="158">
                  <c:v>1.590873277977066E-12</c:v>
                </c:pt>
                <c:pt idx="159">
                  <c:v>1.590873277977066E-12</c:v>
                </c:pt>
                <c:pt idx="160">
                  <c:v>1.590873277977066E-12</c:v>
                </c:pt>
                <c:pt idx="161">
                  <c:v>1.590873277977066E-12</c:v>
                </c:pt>
                <c:pt idx="162">
                  <c:v>1.590873277977066E-12</c:v>
                </c:pt>
                <c:pt idx="163">
                  <c:v>1.590873277977066E-12</c:v>
                </c:pt>
                <c:pt idx="164">
                  <c:v>1.590873277977066E-12</c:v>
                </c:pt>
                <c:pt idx="165">
                  <c:v>1.590873277977066E-12</c:v>
                </c:pt>
                <c:pt idx="166">
                  <c:v>1.590873277977066E-12</c:v>
                </c:pt>
                <c:pt idx="167">
                  <c:v>1.590873277977066E-12</c:v>
                </c:pt>
                <c:pt idx="168">
                  <c:v>1.590873277977066E-12</c:v>
                </c:pt>
                <c:pt idx="169">
                  <c:v>1.590873277977066E-12</c:v>
                </c:pt>
                <c:pt idx="170">
                  <c:v>1.590873277977066E-12</c:v>
                </c:pt>
                <c:pt idx="171">
                  <c:v>1.590873277977066E-12</c:v>
                </c:pt>
                <c:pt idx="172">
                  <c:v>1.590873277977066E-12</c:v>
                </c:pt>
                <c:pt idx="173">
                  <c:v>1.590873277977066E-12</c:v>
                </c:pt>
                <c:pt idx="174">
                  <c:v>1.590873277977066E-12</c:v>
                </c:pt>
                <c:pt idx="175">
                  <c:v>1.590873277977066E-12</c:v>
                </c:pt>
                <c:pt idx="176">
                  <c:v>1.590873277977066E-12</c:v>
                </c:pt>
                <c:pt idx="177">
                  <c:v>1.590873277977066E-12</c:v>
                </c:pt>
                <c:pt idx="178">
                  <c:v>1.590873277977066E-12</c:v>
                </c:pt>
                <c:pt idx="179">
                  <c:v>1.590873277977066E-12</c:v>
                </c:pt>
                <c:pt idx="180">
                  <c:v>1.590873277977066E-12</c:v>
                </c:pt>
                <c:pt idx="181">
                  <c:v>1.590873277977066E-12</c:v>
                </c:pt>
                <c:pt idx="182">
                  <c:v>1.590873277977066E-12</c:v>
                </c:pt>
                <c:pt idx="183">
                  <c:v>1.590873277977066E-12</c:v>
                </c:pt>
                <c:pt idx="184">
                  <c:v>1.590873277977066E-12</c:v>
                </c:pt>
                <c:pt idx="185">
                  <c:v>1.590873277977066E-12</c:v>
                </c:pt>
                <c:pt idx="186">
                  <c:v>1.590873277977066E-12</c:v>
                </c:pt>
                <c:pt idx="187">
                  <c:v>1.590873277977066E-12</c:v>
                </c:pt>
                <c:pt idx="188">
                  <c:v>1.590873277977066E-12</c:v>
                </c:pt>
                <c:pt idx="189">
                  <c:v>1.590873277977066E-12</c:v>
                </c:pt>
                <c:pt idx="190">
                  <c:v>1.590873277977066E-12</c:v>
                </c:pt>
                <c:pt idx="191">
                  <c:v>1.590873277977066E-12</c:v>
                </c:pt>
                <c:pt idx="192">
                  <c:v>1.590873277977066E-12</c:v>
                </c:pt>
                <c:pt idx="193">
                  <c:v>1.590873277977066E-12</c:v>
                </c:pt>
                <c:pt idx="194">
                  <c:v>1.590873277977066E-12</c:v>
                </c:pt>
                <c:pt idx="195">
                  <c:v>1.590873277977066E-12</c:v>
                </c:pt>
                <c:pt idx="196">
                  <c:v>1.590873277977066E-12</c:v>
                </c:pt>
                <c:pt idx="197">
                  <c:v>1.590873277977066E-12</c:v>
                </c:pt>
                <c:pt idx="198">
                  <c:v>1.590873277977066E-12</c:v>
                </c:pt>
                <c:pt idx="199">
                  <c:v>1.590873277977066E-12</c:v>
                </c:pt>
                <c:pt idx="200">
                  <c:v>1.590873277977066E-12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4" t="s">
        <v>291</v>
      </c>
      <c r="C12" s="294"/>
      <c r="D12" s="294"/>
      <c r="E12" s="294"/>
      <c r="F12" s="294"/>
      <c r="G12" s="294"/>
      <c r="H12" s="294"/>
      <c r="I12" s="294"/>
      <c r="J12" s="294"/>
      <c r="K12" s="294"/>
      <c r="L12" s="294"/>
      <c r="M12" s="294"/>
    </row>
    <row r="13" spans="2:13" ht="15" customHeight="1" x14ac:dyDescent="0.25">
      <c r="B13" s="294"/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</row>
    <row r="14" spans="2:13" ht="15" customHeight="1" x14ac:dyDescent="0.25">
      <c r="B14" s="294"/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</row>
    <row r="15" spans="2:13" ht="18.75" customHeight="1" x14ac:dyDescent="0.25">
      <c r="B15" s="294"/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</row>
    <row r="16" spans="2:13" ht="18.75" customHeight="1" x14ac:dyDescent="0.25">
      <c r="B16" s="294"/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</row>
    <row r="18" spans="2:13" ht="12" customHeight="1" x14ac:dyDescent="0.25">
      <c r="B18" s="294" t="s">
        <v>292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</row>
    <row r="19" spans="2:13" ht="12" customHeight="1" x14ac:dyDescent="0.25"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2:13" ht="12" customHeight="1" x14ac:dyDescent="0.25"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1" spans="2:13" ht="12" customHeight="1" x14ac:dyDescent="0.25"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</row>
    <row r="22" spans="2:13" ht="12" customHeight="1" x14ac:dyDescent="0.25"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2:13" ht="12" customHeight="1" x14ac:dyDescent="0.25"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2:13" ht="12" customHeight="1" x14ac:dyDescent="0.25">
      <c r="B24" s="294"/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</row>
    <row r="25" spans="2:13" ht="12" customHeight="1" x14ac:dyDescent="0.25">
      <c r="B25" s="294"/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</row>
    <row r="26" spans="2:13" ht="12" customHeight="1" x14ac:dyDescent="0.25">
      <c r="B26" s="294"/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</row>
    <row r="27" spans="2:13" ht="12" customHeight="1" x14ac:dyDescent="0.25">
      <c r="B27" s="294"/>
      <c r="C27" s="294"/>
      <c r="D27" s="294"/>
      <c r="E27" s="294"/>
      <c r="F27" s="294"/>
      <c r="G27" s="294"/>
      <c r="H27" s="294"/>
      <c r="I27" s="294"/>
      <c r="J27" s="294"/>
      <c r="K27" s="294"/>
      <c r="L27" s="294"/>
      <c r="M27" s="294"/>
    </row>
    <row r="28" spans="2:13" ht="12" customHeight="1" x14ac:dyDescent="0.25">
      <c r="B28" s="294"/>
      <c r="C28" s="294"/>
      <c r="D28" s="294"/>
      <c r="E28" s="294"/>
      <c r="F28" s="294"/>
      <c r="G28" s="294"/>
      <c r="H28" s="294"/>
      <c r="I28" s="294"/>
      <c r="J28" s="294"/>
      <c r="K28" s="294"/>
      <c r="L28" s="294"/>
      <c r="M28" s="294"/>
    </row>
    <row r="29" spans="2:13" ht="12" customHeight="1" x14ac:dyDescent="0.25">
      <c r="B29" s="294"/>
      <c r="C29" s="294"/>
      <c r="D29" s="294"/>
      <c r="E29" s="294"/>
      <c r="F29" s="294"/>
      <c r="G29" s="294"/>
      <c r="H29" s="294"/>
      <c r="I29" s="294"/>
      <c r="J29" s="294"/>
      <c r="K29" s="294"/>
      <c r="L29" s="294"/>
      <c r="M29" s="294"/>
    </row>
    <row r="30" spans="2:13" ht="12" customHeight="1" x14ac:dyDescent="0.25"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</row>
    <row r="31" spans="2:13" ht="12" customHeight="1" x14ac:dyDescent="0.25"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70" sqref="E7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5" t="s">
        <v>190</v>
      </c>
      <c r="D1" s="295"/>
      <c r="E1" s="29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300" t="s">
        <v>192</v>
      </c>
      <c r="C3" s="301"/>
      <c r="D3" s="301"/>
      <c r="E3" s="301"/>
      <c r="F3" s="302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6" t="s">
        <v>231</v>
      </c>
      <c r="B5" s="306"/>
      <c r="C5" s="26">
        <v>2.93</v>
      </c>
      <c r="D5" s="307" t="s">
        <v>229</v>
      </c>
      <c r="E5" s="308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4" t="s">
        <v>226</v>
      </c>
      <c r="B7" s="304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0.36199999999999999</v>
      </c>
      <c r="D9" s="36">
        <f t="shared" ref="D9:D18" si="0">C9*$C$5</f>
        <v>1.0606599999999999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0.63700000000000001</v>
      </c>
      <c r="D10" s="36">
        <f t="shared" si="0"/>
        <v>1.8664100000000001</v>
      </c>
      <c r="E10" s="37">
        <v>100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</v>
      </c>
      <c r="D19" s="41">
        <f>SUM(D9:D18)</f>
        <v>2.9270700000000001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3" t="s">
        <v>232</v>
      </c>
      <c r="B22" s="303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5" t="s">
        <v>227</v>
      </c>
      <c r="B30" s="305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/>
      <c r="F37" s="54"/>
      <c r="G37" s="54">
        <v>1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/>
      <c r="F38" s="54">
        <v>0.5</v>
      </c>
      <c r="G38" s="54">
        <v>0.5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306</v>
      </c>
      <c r="C41" s="63">
        <v>6</v>
      </c>
      <c r="D41" s="63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340</v>
      </c>
      <c r="C42" s="63">
        <v>7</v>
      </c>
      <c r="D42" s="63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428</v>
      </c>
      <c r="C43" s="63">
        <v>8</v>
      </c>
      <c r="D43" s="63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483</v>
      </c>
      <c r="C44" s="63">
        <v>9</v>
      </c>
      <c r="D44" s="63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521</v>
      </c>
      <c r="C45" s="63">
        <v>10</v>
      </c>
      <c r="D45" s="63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115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5.75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180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6.5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250</v>
      </c>
      <c r="C64" s="63">
        <v>3</v>
      </c>
      <c r="D64" s="63">
        <v>63</v>
      </c>
      <c r="E64" s="54"/>
      <c r="F64" s="54"/>
      <c r="G64" s="54"/>
      <c r="H64" s="54"/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257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7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337</v>
      </c>
      <c r="C66" s="63">
        <v>5</v>
      </c>
      <c r="D66" s="63">
        <v>67</v>
      </c>
      <c r="E66" s="54"/>
      <c r="F66" s="54"/>
      <c r="G66" s="54"/>
      <c r="H66" s="54"/>
      <c r="I66" s="52">
        <f t="shared" ref="I66:I81" si="2">IF(A66&lt;&gt;0,(B66-(B65-D65))/(A66-A65),"")</f>
        <v>8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70</v>
      </c>
      <c r="B67" s="63">
        <v>345</v>
      </c>
      <c r="C67" s="63">
        <v>6</v>
      </c>
      <c r="D67" s="63">
        <v>69</v>
      </c>
      <c r="E67" s="54"/>
      <c r="F67" s="54"/>
      <c r="G67" s="54"/>
      <c r="H67" s="54"/>
      <c r="I67" s="52">
        <f t="shared" si="2"/>
        <v>7.5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80</v>
      </c>
      <c r="B68" s="63">
        <v>353</v>
      </c>
      <c r="C68" s="63">
        <v>7</v>
      </c>
      <c r="D68" s="63">
        <v>71</v>
      </c>
      <c r="E68" s="54"/>
      <c r="F68" s="54"/>
      <c r="G68" s="54"/>
      <c r="H68" s="54"/>
      <c r="I68" s="52">
        <f t="shared" si="2"/>
        <v>7.7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90</v>
      </c>
      <c r="B69" s="53">
        <v>365</v>
      </c>
      <c r="C69" s="53">
        <v>8</v>
      </c>
      <c r="D69" s="53">
        <v>73</v>
      </c>
      <c r="E69" s="54"/>
      <c r="F69" s="54"/>
      <c r="G69" s="54"/>
      <c r="H69" s="54"/>
      <c r="I69" s="52">
        <f t="shared" si="2"/>
        <v>8.3000000000000007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100</v>
      </c>
      <c r="B70" s="53">
        <v>375</v>
      </c>
      <c r="C70" s="53">
        <v>9</v>
      </c>
      <c r="D70" s="53">
        <v>375</v>
      </c>
      <c r="E70" s="54"/>
      <c r="F70" s="54"/>
      <c r="G70" s="54"/>
      <c r="H70" s="54"/>
      <c r="I70" s="52">
        <f t="shared" si="2"/>
        <v>8.3000000000000007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18" sqref="G18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10" t="s">
        <v>191</v>
      </c>
      <c r="C2" s="311"/>
      <c r="D2" s="311"/>
      <c r="E2" s="311"/>
      <c r="F2" s="311"/>
      <c r="G2" s="312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9"/>
      <c r="C4" s="309"/>
      <c r="D4" s="309"/>
      <c r="E4" s="309"/>
      <c r="F4" s="309"/>
      <c r="G4" s="309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19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6" t="s">
        <v>176</v>
      </c>
      <c r="C1" s="317"/>
      <c r="D1" s="317"/>
      <c r="E1" s="317"/>
      <c r="F1" s="317"/>
      <c r="G1" s="317"/>
      <c r="H1" s="318"/>
      <c r="I1" s="313" t="str">
        <f>IF('Données projet'!$B$9="","",'Données projet'!$B$9)</f>
        <v>Pin laricio</v>
      </c>
      <c r="J1" s="314"/>
      <c r="K1" s="314"/>
      <c r="L1" s="314"/>
      <c r="M1" s="314"/>
      <c r="N1" s="314"/>
      <c r="O1" s="314"/>
      <c r="P1" s="314"/>
      <c r="Q1" s="314"/>
      <c r="R1" s="314"/>
      <c r="S1" s="314"/>
      <c r="T1" s="314"/>
      <c r="U1" s="314"/>
      <c r="V1" s="314"/>
      <c r="W1" s="314"/>
      <c r="X1" s="314"/>
      <c r="Y1" s="314"/>
      <c r="Z1" s="314"/>
      <c r="AA1" s="314"/>
      <c r="AB1" s="314"/>
      <c r="AC1" s="315"/>
      <c r="AD1" s="314" t="str">
        <f>IF('Données projet'!$B$10="","",'Données projet'!$B$10)</f>
        <v>Cèdre de l'Atlas</v>
      </c>
      <c r="AE1" s="314"/>
      <c r="AF1" s="314"/>
      <c r="AG1" s="314"/>
      <c r="AH1" s="314"/>
      <c r="AI1" s="314"/>
      <c r="AJ1" s="314"/>
      <c r="AK1" s="314"/>
      <c r="AL1" s="314"/>
      <c r="AM1" s="314"/>
      <c r="AN1" s="314"/>
      <c r="AO1" s="314"/>
      <c r="AP1" s="314"/>
      <c r="AQ1" s="314"/>
      <c r="AR1" s="314"/>
      <c r="AS1" s="314"/>
      <c r="AT1" s="314"/>
      <c r="AU1" s="314"/>
      <c r="AV1" s="314"/>
      <c r="AW1" s="314"/>
      <c r="AX1" s="315"/>
      <c r="AY1" s="313" t="str">
        <f>IF('Données projet'!$B$11="","",'Données projet'!$B$11)</f>
        <v/>
      </c>
      <c r="AZ1" s="314"/>
      <c r="BA1" s="314"/>
      <c r="BB1" s="314"/>
      <c r="BC1" s="314"/>
      <c r="BD1" s="314"/>
      <c r="BE1" s="314"/>
      <c r="BF1" s="314"/>
      <c r="BG1" s="314"/>
      <c r="BH1" s="314"/>
      <c r="BI1" s="314"/>
      <c r="BJ1" s="314"/>
      <c r="BK1" s="314"/>
      <c r="BL1" s="314"/>
      <c r="BM1" s="314"/>
      <c r="BN1" s="314"/>
      <c r="BO1" s="314"/>
      <c r="BP1" s="314"/>
      <c r="BQ1" s="314"/>
      <c r="BR1" s="314"/>
      <c r="BS1" s="315"/>
      <c r="BT1" s="313" t="str">
        <f>IF('Données projet'!$B$12="","",'Données projet'!$B$12)</f>
        <v/>
      </c>
      <c r="BU1" s="314"/>
      <c r="BV1" s="314"/>
      <c r="BW1" s="314"/>
      <c r="BX1" s="314"/>
      <c r="BY1" s="314"/>
      <c r="BZ1" s="314"/>
      <c r="CA1" s="314"/>
      <c r="CB1" s="314"/>
      <c r="CC1" s="314"/>
      <c r="CD1" s="314"/>
      <c r="CE1" s="314"/>
      <c r="CF1" s="314"/>
      <c r="CG1" s="314"/>
      <c r="CH1" s="314"/>
      <c r="CI1" s="314"/>
      <c r="CJ1" s="314"/>
      <c r="CK1" s="314"/>
      <c r="CL1" s="314"/>
      <c r="CM1" s="314"/>
      <c r="CN1" s="315"/>
      <c r="CO1" s="313" t="str">
        <f>IF('Données projet'!$B$13="","",'Données projet'!$B$13)</f>
        <v/>
      </c>
      <c r="CP1" s="314"/>
      <c r="CQ1" s="314"/>
      <c r="CR1" s="314"/>
      <c r="CS1" s="314"/>
      <c r="CT1" s="314"/>
      <c r="CU1" s="314"/>
      <c r="CV1" s="314"/>
      <c r="CW1" s="314"/>
      <c r="CX1" s="314"/>
      <c r="CY1" s="314"/>
      <c r="CZ1" s="314"/>
      <c r="DA1" s="314"/>
      <c r="DB1" s="314"/>
      <c r="DC1" s="314"/>
      <c r="DD1" s="314"/>
      <c r="DE1" s="314"/>
      <c r="DF1" s="314"/>
      <c r="DG1" s="314"/>
      <c r="DH1" s="314"/>
      <c r="DI1" s="315"/>
      <c r="DJ1" s="313" t="str">
        <f>IF('Données projet'!$B$14="","",'Données projet'!$B$14)</f>
        <v/>
      </c>
      <c r="DK1" s="314"/>
      <c r="DL1" s="314"/>
      <c r="DM1" s="314"/>
      <c r="DN1" s="314"/>
      <c r="DO1" s="314"/>
      <c r="DP1" s="314"/>
      <c r="DQ1" s="314"/>
      <c r="DR1" s="314"/>
      <c r="DS1" s="314"/>
      <c r="DT1" s="314"/>
      <c r="DU1" s="314"/>
      <c r="DV1" s="314"/>
      <c r="DW1" s="314"/>
      <c r="DX1" s="314"/>
      <c r="DY1" s="314"/>
      <c r="DZ1" s="314"/>
      <c r="EA1" s="314"/>
      <c r="EB1" s="314"/>
      <c r="EC1" s="314"/>
      <c r="ED1" s="315"/>
      <c r="EE1" s="313" t="str">
        <f>IF('Données projet'!$B$15="","",'Données projet'!$B$15)</f>
        <v/>
      </c>
      <c r="EF1" s="314"/>
      <c r="EG1" s="314"/>
      <c r="EH1" s="314"/>
      <c r="EI1" s="314"/>
      <c r="EJ1" s="314"/>
      <c r="EK1" s="314"/>
      <c r="EL1" s="314"/>
      <c r="EM1" s="314"/>
      <c r="EN1" s="314"/>
      <c r="EO1" s="314"/>
      <c r="EP1" s="314"/>
      <c r="EQ1" s="314"/>
      <c r="ER1" s="314"/>
      <c r="ES1" s="314"/>
      <c r="ET1" s="314"/>
      <c r="EU1" s="314"/>
      <c r="EV1" s="314"/>
      <c r="EW1" s="314"/>
      <c r="EX1" s="314"/>
      <c r="EY1" s="315"/>
      <c r="EZ1" s="313" t="str">
        <f>IF('Données projet'!$B$16="","",'Données projet'!$B$16)</f>
        <v/>
      </c>
      <c r="FA1" s="314"/>
      <c r="FB1" s="314"/>
      <c r="FC1" s="314"/>
      <c r="FD1" s="314"/>
      <c r="FE1" s="314"/>
      <c r="FF1" s="314"/>
      <c r="FG1" s="314"/>
      <c r="FH1" s="314"/>
      <c r="FI1" s="314"/>
      <c r="FJ1" s="314"/>
      <c r="FK1" s="314"/>
      <c r="FL1" s="314"/>
      <c r="FM1" s="314"/>
      <c r="FN1" s="314"/>
      <c r="FO1" s="314"/>
      <c r="FP1" s="314"/>
      <c r="FQ1" s="314"/>
      <c r="FR1" s="314"/>
      <c r="FS1" s="314"/>
      <c r="FT1" s="315"/>
      <c r="FU1" s="313" t="str">
        <f>IF('Données projet'!$B$17="","",'Données projet'!$B$17)</f>
        <v/>
      </c>
      <c r="FV1" s="314"/>
      <c r="FW1" s="314"/>
      <c r="FX1" s="314"/>
      <c r="FY1" s="314"/>
      <c r="FZ1" s="314"/>
      <c r="GA1" s="314"/>
      <c r="GB1" s="314"/>
      <c r="GC1" s="314"/>
      <c r="GD1" s="314"/>
      <c r="GE1" s="314"/>
      <c r="GF1" s="314"/>
      <c r="GG1" s="314"/>
      <c r="GH1" s="314"/>
      <c r="GI1" s="314"/>
      <c r="GJ1" s="314"/>
      <c r="GK1" s="314"/>
      <c r="GL1" s="314"/>
      <c r="GM1" s="314"/>
      <c r="GN1" s="314"/>
      <c r="GO1" s="315"/>
      <c r="GP1" s="313" t="str">
        <f>IF('Données projet'!$B$18="","",'Données projet'!$B$18)</f>
        <v/>
      </c>
      <c r="GQ1" s="314"/>
      <c r="GR1" s="314"/>
      <c r="GS1" s="314"/>
      <c r="GT1" s="314"/>
      <c r="GU1" s="314"/>
      <c r="GV1" s="314"/>
      <c r="GW1" s="314"/>
      <c r="GX1" s="314"/>
      <c r="GY1" s="314"/>
      <c r="GZ1" s="314"/>
      <c r="HA1" s="314"/>
      <c r="HB1" s="314"/>
      <c r="HC1" s="314"/>
      <c r="HD1" s="314"/>
      <c r="HE1" s="314"/>
      <c r="HF1" s="314"/>
      <c r="HG1" s="314"/>
      <c r="HH1" s="314"/>
      <c r="HI1" s="314"/>
      <c r="HJ1" s="315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287.69656598881124</v>
      </c>
      <c r="T3" s="62">
        <f>IF('Données projet'!E9&gt;30,$R$33-$H$33,LOOKUP('Données projet'!$E$9,$A$3:$A$203,R3:R203)-LOOKUP('Données projet'!$E$9,$A$3:$A$203,$H$3:$H$203))</f>
        <v>221.9773436301067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173.76802753906867</v>
      </c>
      <c r="AO3" s="62">
        <f>IF('Données projet'!E10&gt;30,$AM$33-$H$33,LOOKUP('Données projet'!$E$10,$A$3:$A$203,AM3:AM203)-LOOKUP('Données projet'!$E$10,$A$3:$A$203,$H$3:$H$203))</f>
        <v>153.4527010894717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2">
        <f>IFERROR(EXP(-1.0587+0.8836*LN(C4)+0.284),0)</f>
        <v>0.24137676049677712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70">
        <f t="shared" ref="H4:H67" si="1">(B4+E4+F4)*44/12+(C4+D4)*0.475*44/12</f>
        <v>294.5914728578652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295.24773087079586</v>
      </c>
      <c r="S4" s="62">
        <f ca="1">AVERAGE(OFFSET($R$3,0,0,'Données projet'!$E$9+1,1))-AVERAGE(OFFSET($H$3,0,0,'Données projet'!$E$9+1,1))</f>
        <v>287.69656598881124</v>
      </c>
      <c r="T4" s="62">
        <f>$T$3</f>
        <v>221.9773436301067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5.75</v>
      </c>
      <c r="AI4" s="14">
        <f>IF('Données projet'!$A$62&gt;35,AI3+AH4-AQ3,IF(A4&lt;'Données projet'!$A$62,$AF$205^A4,IF(A4='Données projet'!$A$62,'Données projet'!$B$62,AI3+AH4-AQ3)))</f>
        <v>1.2677537154322802</v>
      </c>
      <c r="AJ4" s="14">
        <f>AI4*VLOOKUP('Données projet'!$B$10,Paramètres!$A$1:$I$89,3,0)*VLOOKUP('Données projet'!$B$10,Paramètres!$A$1:$I$89,5,0)</f>
        <v>0.59330873882230706</v>
      </c>
      <c r="AK4" s="14">
        <f>EXP(-1.0587+0.8836*LN(AJ4)+0.284)</f>
        <v>0.29055137246158741</v>
      </c>
      <c r="AL4" s="22">
        <f t="shared" ref="AL4:AL67" si="4">(AJ4+AK4)*0.475*44/12</f>
        <v>1.5393896938194491</v>
      </c>
      <c r="AM4" s="62">
        <f t="shared" ref="AM4:AM67" si="5">AL4+(AD4+AE4)*44/12</f>
        <v>294.87272302715274</v>
      </c>
      <c r="AN4" s="62">
        <f ca="1">AVERAGE(OFFSET($AM$3,0,0,'Données projet'!$E$10+1,1))-AVERAGE(OFFSET($H$3,0,0,'Données projet'!$E$10+1,1))</f>
        <v>173.76802753906867</v>
      </c>
      <c r="AO4" s="62">
        <f>$AO$3</f>
        <v>153.4527010894717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2">
        <f t="shared" ref="D5:D68" si="32">IFERROR(EXP(-1.0587+0.8836*LN(C5)+0.284),0)</f>
        <v>0.4453336974617329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70">
        <f t="shared" si="1"/>
        <v>295.78443952307919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295.69646345569345</v>
      </c>
      <c r="S5" s="62">
        <f ca="1">AVERAGE(OFFSET($R$3,0,0,'Données projet'!$E$9+1,1))-AVERAGE(OFFSET($H$3,0,0,'Données projet'!$E$9+1,1))</f>
        <v>287.69656598881124</v>
      </c>
      <c r="T5" s="62">
        <f t="shared" ref="T5:T68" si="34">$T$3</f>
        <v>221.9773436301067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5.75</v>
      </c>
      <c r="AI5" s="14">
        <f>IF('Données projet'!$A$62&gt;35,AI4+AH5-AQ4,IF(A5&lt;'Données projet'!$A$62,$AF$205^A5,IF(A5='Données projet'!$A$62,'Données projet'!$B$62,AI4+AH5-AQ4)))</f>
        <v>1.6071994829923508</v>
      </c>
      <c r="AJ5" s="14">
        <f>AI5*VLOOKUP('Données projet'!$B$10,Paramètres!$A$1:$I$89,3,0)*VLOOKUP('Données projet'!$B$10,Paramètres!$A$1:$I$89,5,0)</f>
        <v>0.75216935804042018</v>
      </c>
      <c r="AK5" s="14">
        <f t="shared" ref="AK5:AK68" si="35">EXP(-1.0587+0.8836*LN(AJ5)+0.284)</f>
        <v>0.35831464735172275</v>
      </c>
      <c r="AL5" s="22">
        <f t="shared" si="4"/>
        <v>1.9340929760579824</v>
      </c>
      <c r="AM5" s="62">
        <f t="shared" si="5"/>
        <v>295.26742630939128</v>
      </c>
      <c r="AN5" s="62">
        <f ca="1">AVERAGE(OFFSET($AM$3,0,0,'Données projet'!$E$10+1,1))-AVERAGE(OFFSET($H$3,0,0,'Données projet'!$E$10+1,1))</f>
        <v>173.76802753906867</v>
      </c>
      <c r="AO5" s="62">
        <f t="shared" ref="AO5:AO68" si="36">$AO$3</f>
        <v>153.4527010894717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2">
        <f t="shared" si="32"/>
        <v>0.63720590978354918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70">
        <f t="shared" si="1"/>
        <v>296.95635862620634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296.25078815720536</v>
      </c>
      <c r="S6" s="62">
        <f ca="1">AVERAGE(OFFSET($R$3,0,0,'Données projet'!$E$9+1,1))-AVERAGE(OFFSET($H$3,0,0,'Données projet'!$E$9+1,1))</f>
        <v>287.69656598881124</v>
      </c>
      <c r="T6" s="62">
        <f t="shared" si="34"/>
        <v>221.9773436301067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5.75</v>
      </c>
      <c r="AI6" s="14">
        <f>IF('Données projet'!$A$62&gt;35,AI5+AH6-AQ5,IF(A6&lt;'Données projet'!$A$62,$AF$205^A6,IF(A6='Données projet'!$A$62,'Données projet'!$B$62,AI5+AH6-AQ5)))</f>
        <v>2.0375331160043926</v>
      </c>
      <c r="AJ6" s="14">
        <f>AI6*VLOOKUP('Données projet'!$B$10,Paramètres!$A$1:$I$89,3,0)*VLOOKUP('Données projet'!$B$10,Paramètres!$A$1:$I$89,5,0)</f>
        <v>0.95356549829005577</v>
      </c>
      <c r="AK6" s="14">
        <f t="shared" si="35"/>
        <v>0.44188187933534279</v>
      </c>
      <c r="AL6" s="22">
        <f t="shared" si="4"/>
        <v>2.4304041826975693</v>
      </c>
      <c r="AM6" s="62">
        <f t="shared" si="5"/>
        <v>295.76373751603086</v>
      </c>
      <c r="AN6" s="62">
        <f ca="1">AVERAGE(OFFSET($AM$3,0,0,'Données projet'!$E$10+1,1))-AVERAGE(OFFSET($H$3,0,0,'Données projet'!$E$10+1,1))</f>
        <v>173.76802753906867</v>
      </c>
      <c r="AO6" s="62">
        <f t="shared" si="36"/>
        <v>153.4527010894717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2">
        <f t="shared" si="32"/>
        <v>0.82162881665480925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70">
        <f t="shared" si="1"/>
        <v>298.11530352234041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296.93564317983407</v>
      </c>
      <c r="S7" s="62">
        <f ca="1">AVERAGE(OFFSET($R$3,0,0,'Données projet'!$E$9+1,1))-AVERAGE(OFFSET($H$3,0,0,'Données projet'!$E$9+1,1))</f>
        <v>287.69656598881124</v>
      </c>
      <c r="T7" s="62">
        <f t="shared" si="34"/>
        <v>221.9773436301067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5.75</v>
      </c>
      <c r="AI7" s="14">
        <f>IF('Données projet'!$A$62&gt;35,AI6+AH7-AQ6,IF(A7&lt;'Données projet'!$A$62,$AF$205^A7,IF(A7='Données projet'!$A$62,'Données projet'!$B$62,AI6+AH7-AQ6)))</f>
        <v>2.5830901781308797</v>
      </c>
      <c r="AJ7" s="14">
        <f>AI7*VLOOKUP('Données projet'!$B$10,Paramètres!$A$1:$I$89,3,0)*VLOOKUP('Données projet'!$B$10,Paramètres!$A$1:$I$89,5,0)</f>
        <v>1.2088862033652517</v>
      </c>
      <c r="AK7" s="14">
        <f t="shared" si="35"/>
        <v>0.54493891535856476</v>
      </c>
      <c r="AL7" s="22">
        <f t="shared" si="4"/>
        <v>3.0545787484439804</v>
      </c>
      <c r="AM7" s="62">
        <f t="shared" si="5"/>
        <v>296.3879120817773</v>
      </c>
      <c r="AN7" s="62">
        <f ca="1">AVERAGE(OFFSET($AM$3,0,0,'Données projet'!$E$10+1,1))-AVERAGE(OFFSET($H$3,0,0,'Données projet'!$E$10+1,1))</f>
        <v>173.76802753906867</v>
      </c>
      <c r="AO7" s="62">
        <f t="shared" si="36"/>
        <v>153.4527010894717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2">
        <f t="shared" si="32"/>
        <v>1.0007033420126812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70">
        <f t="shared" si="1"/>
        <v>299.26493332067207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297.78187669303162</v>
      </c>
      <c r="S8" s="62">
        <f ca="1">AVERAGE(OFFSET($R$3,0,0,'Données projet'!$E$9+1,1))-AVERAGE(OFFSET($H$3,0,0,'Données projet'!$E$9+1,1))</f>
        <v>287.69656598881124</v>
      </c>
      <c r="T8" s="62">
        <f t="shared" si="34"/>
        <v>221.9773436301067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5.75</v>
      </c>
      <c r="AI8" s="14">
        <f>IF('Données projet'!$A$62&gt;35,AI7+AH8-AQ7,IF(A8&lt;'Données projet'!$A$62,$AF$205^A8,IF(A8='Données projet'!$A$62,'Données projet'!$B$62,AI7+AH8-AQ7)))</f>
        <v>3.2747221706220535</v>
      </c>
      <c r="AJ8" s="14">
        <f>AI8*VLOOKUP('Données projet'!$B$10,Paramètres!$A$1:$I$89,3,0)*VLOOKUP('Données projet'!$B$10,Paramètres!$A$1:$I$89,5,0)</f>
        <v>1.5325699758511209</v>
      </c>
      <c r="AK8" s="14">
        <f t="shared" si="35"/>
        <v>0.67203122680395833</v>
      </c>
      <c r="AL8" s="22">
        <f t="shared" si="4"/>
        <v>3.839680427957596</v>
      </c>
      <c r="AM8" s="62">
        <f t="shared" si="5"/>
        <v>297.17301376129092</v>
      </c>
      <c r="AN8" s="62">
        <f ca="1">AVERAGE(OFFSET($AM$3,0,0,'Données projet'!$E$10+1,1))-AVERAGE(OFFSET($H$3,0,0,'Données projet'!$E$10+1,1))</f>
        <v>173.76802753906867</v>
      </c>
      <c r="AO8" s="62">
        <f t="shared" si="36"/>
        <v>153.4527010894717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2">
        <f t="shared" si="32"/>
        <v>1.1756279405869494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70">
        <f t="shared" si="1"/>
        <v>300.40733532985558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298.82765185669996</v>
      </c>
      <c r="S9" s="62">
        <f ca="1">AVERAGE(OFFSET($R$3,0,0,'Données projet'!$E$9+1,1))-AVERAGE(OFFSET($H$3,0,0,'Données projet'!$E$9+1,1))</f>
        <v>287.69656598881124</v>
      </c>
      <c r="T9" s="62">
        <f t="shared" si="34"/>
        <v>221.9773436301067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5.75</v>
      </c>
      <c r="AI9" s="14">
        <f>IF('Données projet'!$A$62&gt;35,AI8+AH9-AQ8,IF(A9&lt;'Données projet'!$A$62,$AF$205^A9,IF(A9='Données projet'!$A$62,'Données projet'!$B$62,AI8+AH9-AQ8)))</f>
        <v>4.1515411988145692</v>
      </c>
      <c r="AJ9" s="14">
        <f>AI9*VLOOKUP('Données projet'!$B$10,Paramètres!$A$1:$I$89,3,0)*VLOOKUP('Données projet'!$B$10,Paramètres!$A$1:$I$89,5,0)</f>
        <v>1.9429212810452183</v>
      </c>
      <c r="AK9" s="14">
        <f t="shared" si="35"/>
        <v>0.82876439371643607</v>
      </c>
      <c r="AL9" s="22">
        <f t="shared" si="4"/>
        <v>4.8273525502098815</v>
      </c>
      <c r="AM9" s="62">
        <f t="shared" si="5"/>
        <v>298.16068588354318</v>
      </c>
      <c r="AN9" s="62">
        <f ca="1">AVERAGE(OFFSET($AM$3,0,0,'Données projet'!$E$10+1,1))-AVERAGE(OFFSET($H$3,0,0,'Données projet'!$E$10+1,1))</f>
        <v>173.76802753906867</v>
      </c>
      <c r="AO9" s="62">
        <f t="shared" si="36"/>
        <v>153.4527010894717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2">
        <f t="shared" si="32"/>
        <v>1.3471752098029792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70">
        <f t="shared" si="1"/>
        <v>301.54385515707349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300.12018685543694</v>
      </c>
      <c r="S10" s="62">
        <f ca="1">AVERAGE(OFFSET($R$3,0,0,'Données projet'!$E$9+1,1))-AVERAGE(OFFSET($H$3,0,0,'Données projet'!$E$9+1,1))</f>
        <v>287.69656598881124</v>
      </c>
      <c r="T10" s="62">
        <f t="shared" si="34"/>
        <v>221.9773436301067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5.75</v>
      </c>
      <c r="AI10" s="14">
        <f>IF('Données projet'!$A$62&gt;35,AI9+AH10-AQ9,IF(A10&lt;'Données projet'!$A$62,$AF$205^A10,IF(A10='Données projet'!$A$62,'Données projet'!$B$62,AI9+AH10-AQ9)))</f>
        <v>5.2631317795673525</v>
      </c>
      <c r="AJ10" s="14">
        <f>AI10*VLOOKUP('Données projet'!$B$10,Paramètres!$A$1:$I$89,3,0)*VLOOKUP('Données projet'!$B$10,Paramètres!$A$1:$I$89,5,0)</f>
        <v>2.4631456728375212</v>
      </c>
      <c r="AK10" s="14">
        <f t="shared" si="35"/>
        <v>1.0220513465701448</v>
      </c>
      <c r="AL10" s="22">
        <f t="shared" si="4"/>
        <v>6.0700514754683512</v>
      </c>
      <c r="AM10" s="62">
        <f t="shared" si="5"/>
        <v>299.40338480880166</v>
      </c>
      <c r="AN10" s="62">
        <f ca="1">AVERAGE(OFFSET($AM$3,0,0,'Données projet'!$E$10+1,1))-AVERAGE(OFFSET($H$3,0,0,'Données projet'!$E$10+1,1))</f>
        <v>173.76802753906867</v>
      </c>
      <c r="AO10" s="62">
        <f t="shared" si="36"/>
        <v>153.4527010894717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2">
        <f t="shared" si="32"/>
        <v>1.5158832942696652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70">
        <f t="shared" si="1"/>
        <v>302.675430070853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301.71791003464585</v>
      </c>
      <c r="S11" s="62">
        <f ca="1">AVERAGE(OFFSET($R$3,0,0,'Données projet'!$E$9+1,1))-AVERAGE(OFFSET($H$3,0,0,'Données projet'!$E$9+1,1))</f>
        <v>287.69656598881124</v>
      </c>
      <c r="T11" s="62">
        <f t="shared" si="34"/>
        <v>221.9773436301067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5.75</v>
      </c>
      <c r="AI11" s="14">
        <f>IF('Données projet'!$A$62&gt;35,AI10+AH11-AQ10,IF(A11&lt;'Données projet'!$A$62,$AF$205^A11,IF(A11='Données projet'!$A$62,'Données projet'!$B$62,AI10+AH11-AQ10)))</f>
        <v>6.6723548683562202</v>
      </c>
      <c r="AJ11" s="14">
        <f>AI11*VLOOKUP('Données projet'!$B$10,Paramètres!$A$1:$I$89,3,0)*VLOOKUP('Données projet'!$B$10,Paramètres!$A$1:$I$89,5,0)</f>
        <v>3.1226620783907113</v>
      </c>
      <c r="AK11" s="14">
        <f t="shared" si="35"/>
        <v>1.2604172705122936</v>
      </c>
      <c r="AL11" s="22">
        <f t="shared" si="4"/>
        <v>7.6338631993393991</v>
      </c>
      <c r="AM11" s="62">
        <f t="shared" si="5"/>
        <v>300.96719653267269</v>
      </c>
      <c r="AN11" s="62">
        <f ca="1">AVERAGE(OFFSET($AM$3,0,0,'Données projet'!$E$10+1,1))-AVERAGE(OFFSET($H$3,0,0,'Données projet'!$E$10+1,1))</f>
        <v>173.76802753906867</v>
      </c>
      <c r="AO11" s="62">
        <f t="shared" si="36"/>
        <v>153.4527010894717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2">
        <f t="shared" si="32"/>
        <v>1.6821477371202938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70">
        <f t="shared" si="1"/>
        <v>303.80274897548452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303.69312942710241</v>
      </c>
      <c r="S12" s="62">
        <f ca="1">AVERAGE(OFFSET($R$3,0,0,'Données projet'!$E$9+1,1))-AVERAGE(OFFSET($H$3,0,0,'Données projet'!$E$9+1,1))</f>
        <v>287.69656598881124</v>
      </c>
      <c r="T12" s="62">
        <f t="shared" si="34"/>
        <v>221.9773436301067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5.75</v>
      </c>
      <c r="AI12" s="14">
        <f>IF('Données projet'!$A$62&gt;35,AI11+AH12-AQ11,IF(A12&lt;'Données projet'!$A$62,$AF$205^A12,IF(A12='Données projet'!$A$62,'Données projet'!$B$62,AI11+AH12-AQ11)))</f>
        <v>8.4589026750412604</v>
      </c>
      <c r="AJ12" s="14">
        <f>AI12*VLOOKUP('Données projet'!$B$10,Paramètres!$A$1:$I$89,3,0)*VLOOKUP('Données projet'!$B$10,Paramètres!$A$1:$I$89,5,0)</f>
        <v>3.9587664519193098</v>
      </c>
      <c r="AK12" s="14">
        <f t="shared" si="35"/>
        <v>1.5543756203021926</v>
      </c>
      <c r="AL12" s="22">
        <f t="shared" si="4"/>
        <v>9.6020557757857823</v>
      </c>
      <c r="AM12" s="62">
        <f t="shared" si="5"/>
        <v>302.93538910911911</v>
      </c>
      <c r="AN12" s="62">
        <f ca="1">AVERAGE(OFFSET($AM$3,0,0,'Données projet'!$E$10+1,1))-AVERAGE(OFFSET($H$3,0,0,'Données projet'!$E$10+1,1))</f>
        <v>173.76802753906867</v>
      </c>
      <c r="AO12" s="62">
        <f t="shared" si="36"/>
        <v>153.4527010894717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2">
        <f t="shared" si="32"/>
        <v>1.8462710264386484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70">
        <f t="shared" si="1"/>
        <v>304.92633870438061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306.13533976477066</v>
      </c>
      <c r="S13" s="62">
        <f ca="1">AVERAGE(OFFSET($R$3,0,0,'Données projet'!$E$9+1,1))-AVERAGE(OFFSET($H$3,0,0,'Données projet'!$E$9+1,1))</f>
        <v>287.69656598881124</v>
      </c>
      <c r="T13" s="62">
        <f t="shared" si="34"/>
        <v>221.9773436301067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5.75</v>
      </c>
      <c r="AI13" s="14">
        <f>IF('Données projet'!$A$62&gt;35,AI12+AH13-AQ12,IF(A13&lt;'Données projet'!$A$62,$AF$205^A13,IF(A13='Données projet'!$A$62,'Données projet'!$B$62,AI12+AH13-AQ12)))</f>
        <v>10.723805294763611</v>
      </c>
      <c r="AJ13" s="14">
        <f>AI13*VLOOKUP('Données projet'!$B$10,Paramètres!$A$1:$I$89,3,0)*VLOOKUP('Données projet'!$B$10,Paramètres!$A$1:$I$89,5,0)</f>
        <v>5.0187408779493703</v>
      </c>
      <c r="AK13" s="14">
        <f t="shared" si="35"/>
        <v>1.9168918305981435</v>
      </c>
      <c r="AL13" s="22">
        <f t="shared" si="4"/>
        <v>12.079560300720253</v>
      </c>
      <c r="AM13" s="62">
        <f t="shared" si="5"/>
        <v>305.41289363405355</v>
      </c>
      <c r="AN13" s="62">
        <f ca="1">AVERAGE(OFFSET($AM$3,0,0,'Données projet'!$E$10+1,1))-AVERAGE(OFFSET($H$3,0,0,'Données projet'!$E$10+1,1))</f>
        <v>173.76802753906867</v>
      </c>
      <c r="AO13" s="62">
        <f t="shared" si="36"/>
        <v>153.4527010894717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2">
        <f t="shared" si="32"/>
        <v>2.0084916518563651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70">
        <f t="shared" si="1"/>
        <v>306.04661462698317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309.15531959729486</v>
      </c>
      <c r="S14" s="62">
        <f ca="1">AVERAGE(OFFSET($R$3,0,0,'Données projet'!$E$9+1,1))-AVERAGE(OFFSET($H$3,0,0,'Données projet'!$E$9+1,1))</f>
        <v>287.69656598881124</v>
      </c>
      <c r="T14" s="62">
        <f t="shared" si="34"/>
        <v>221.9773436301067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5.75</v>
      </c>
      <c r="AI14" s="14">
        <f>IF('Données projet'!$A$62&gt;35,AI13+AH14-AQ13,IF(A14&lt;'Données projet'!$A$62,$AF$205^A14,IF(A14='Données projet'!$A$62,'Données projet'!$B$62,AI13+AH14-AQ13)))</f>
        <v>13.595144006008928</v>
      </c>
      <c r="AJ14" s="14">
        <f>AI14*VLOOKUP('Données projet'!$B$10,Paramètres!$A$1:$I$89,3,0)*VLOOKUP('Données projet'!$B$10,Paramètres!$A$1:$I$89,5,0)</f>
        <v>6.3625273948121777</v>
      </c>
      <c r="AK14" s="14">
        <f t="shared" si="35"/>
        <v>2.3639551741679612</v>
      </c>
      <c r="AL14" s="22">
        <f t="shared" si="4"/>
        <v>15.198623807640407</v>
      </c>
      <c r="AM14" s="62">
        <f t="shared" si="5"/>
        <v>308.5319571409737</v>
      </c>
      <c r="AN14" s="62">
        <f ca="1">AVERAGE(OFFSET($AM$3,0,0,'Données projet'!$E$10+1,1))-AVERAGE(OFFSET($H$3,0,0,'Données projet'!$E$10+1,1))</f>
        <v>173.76802753906867</v>
      </c>
      <c r="AO14" s="62">
        <f t="shared" si="36"/>
        <v>153.4527010894717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2">
        <f t="shared" si="32"/>
        <v>2.1690022541664664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70">
        <f t="shared" si="1"/>
        <v>307.1639122593399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312.8902077629582</v>
      </c>
      <c r="S15" s="62">
        <f ca="1">AVERAGE(OFFSET($R$3,0,0,'Données projet'!$E$9+1,1))-AVERAGE(OFFSET($H$3,0,0,'Données projet'!$E$9+1,1))</f>
        <v>287.69656598881124</v>
      </c>
      <c r="T15" s="62">
        <f t="shared" si="34"/>
        <v>221.9773436301067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5.75</v>
      </c>
      <c r="AI15" s="14">
        <f>IF('Données projet'!$A$62&gt;35,AI14+AH15-AQ14,IF(A15&lt;'Données projet'!$A$62,$AF$205^A15,IF(A15='Données projet'!$A$62,'Données projet'!$B$62,AI14+AH15-AQ14)))</f>
        <v>17.23529432545471</v>
      </c>
      <c r="AJ15" s="14">
        <f>AI15*VLOOKUP('Données projet'!$B$10,Paramètres!$A$1:$I$89,3,0)*VLOOKUP('Données projet'!$B$10,Paramètres!$A$1:$I$89,5,0)</f>
        <v>8.0661177443128054</v>
      </c>
      <c r="AK15" s="14">
        <f t="shared" si="35"/>
        <v>2.915283990610841</v>
      </c>
      <c r="AL15" s="22">
        <f t="shared" si="4"/>
        <v>19.125941354992019</v>
      </c>
      <c r="AM15" s="62">
        <f t="shared" si="5"/>
        <v>312.45927468832531</v>
      </c>
      <c r="AN15" s="62">
        <f ca="1">AVERAGE(OFFSET($AM$3,0,0,'Données projet'!$E$10+1,1))-AVERAGE(OFFSET($H$3,0,0,'Données projet'!$E$10+1,1))</f>
        <v>173.76802753906867</v>
      </c>
      <c r="AO15" s="62">
        <f t="shared" si="36"/>
        <v>153.4527010894717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2">
        <f t="shared" si="32"/>
        <v>2.3279615364980017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70">
        <f t="shared" si="1"/>
        <v>308.27850800940064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317.50979388947383</v>
      </c>
      <c r="S16" s="62">
        <f ca="1">AVERAGE(OFFSET($R$3,0,0,'Données projet'!$E$9+1,1))-AVERAGE(OFFSET($H$3,0,0,'Données projet'!$E$9+1,1))</f>
        <v>287.69656598881124</v>
      </c>
      <c r="T16" s="62">
        <f t="shared" si="34"/>
        <v>221.9773436301067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5.75</v>
      </c>
      <c r="AI16" s="14">
        <f>IF('Données projet'!$A$62&gt;35,AI15+AH16-AQ15,IF(A16&lt;'Données projet'!$A$62,$AF$205^A16,IF(A16='Données projet'!$A$62,'Données projet'!$B$62,AI15+AH16-AQ15)))</f>
        <v>21.850108417664106</v>
      </c>
      <c r="AJ16" s="14">
        <f>AI16*VLOOKUP('Données projet'!$B$10,Paramètres!$A$1:$I$89,3,0)*VLOOKUP('Données projet'!$B$10,Paramètres!$A$1:$I$89,5,0)</f>
        <v>10.225850739466802</v>
      </c>
      <c r="AK16" s="14">
        <f t="shared" si="35"/>
        <v>3.5951953906669201</v>
      </c>
      <c r="AL16" s="22">
        <f t="shared" si="4"/>
        <v>24.071655343316234</v>
      </c>
      <c r="AM16" s="62">
        <f t="shared" si="5"/>
        <v>317.40498867664957</v>
      </c>
      <c r="AN16" s="62">
        <f ca="1">AVERAGE(OFFSET($AM$3,0,0,'Données projet'!$E$10+1,1))-AVERAGE(OFFSET($H$3,0,0,'Données projet'!$E$10+1,1))</f>
        <v>173.76802753906867</v>
      </c>
      <c r="AO16" s="62">
        <f t="shared" si="36"/>
        <v>153.4527010894717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2">
        <f t="shared" si="32"/>
        <v>2.4855023991357164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70">
        <f t="shared" si="1"/>
        <v>309.39063334516135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323.2243139626886</v>
      </c>
      <c r="S17" s="62">
        <f ca="1">AVERAGE(OFFSET($R$3,0,0,'Données projet'!$E$9+1,1))-AVERAGE(OFFSET($H$3,0,0,'Données projet'!$E$9+1,1))</f>
        <v>287.69656598881124</v>
      </c>
      <c r="T17" s="62">
        <f t="shared" si="34"/>
        <v>221.9773436301067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5.75</v>
      </c>
      <c r="AI17" s="14">
        <f>IF('Données projet'!$A$62&gt;35,AI16+AH17-AQ16,IF(A17&lt;'Données projet'!$A$62,$AF$205^A17,IF(A17='Données projet'!$A$62,'Données projet'!$B$62,AI16+AH17-AQ16)))</f>
        <v>27.700556129091808</v>
      </c>
      <c r="AJ17" s="14">
        <f>AI17*VLOOKUP('Données projet'!$B$10,Paramètres!$A$1:$I$89,3,0)*VLOOKUP('Données projet'!$B$10,Paramètres!$A$1:$I$89,5,0)</f>
        <v>12.963860268414967</v>
      </c>
      <c r="AK17" s="14">
        <f t="shared" si="35"/>
        <v>4.4336777956113931</v>
      </c>
      <c r="AL17" s="22">
        <f t="shared" si="4"/>
        <v>30.300712128179242</v>
      </c>
      <c r="AM17" s="62">
        <f t="shared" si="5"/>
        <v>323.63404546151253</v>
      </c>
      <c r="AN17" s="62">
        <f ca="1">AVERAGE(OFFSET($AM$3,0,0,'Données projet'!$E$10+1,1))-AVERAGE(OFFSET($H$3,0,0,'Données projet'!$E$10+1,1))</f>
        <v>173.76802753906867</v>
      </c>
      <c r="AO17" s="62">
        <f t="shared" si="36"/>
        <v>153.4527010894717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2">
        <f t="shared" si="32"/>
        <v>2.6417376807869739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70">
        <f t="shared" si="1"/>
        <v>310.50048479403728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330.29411192516659</v>
      </c>
      <c r="S18" s="62">
        <f ca="1">AVERAGE(OFFSET($R$3,0,0,'Données projet'!$E$9+1,1))-AVERAGE(OFFSET($H$3,0,0,'Données projet'!$E$9+1,1))</f>
        <v>287.69656598881124</v>
      </c>
      <c r="T18" s="62">
        <f t="shared" si="34"/>
        <v>221.9773436301067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5.75</v>
      </c>
      <c r="AI18" s="14">
        <f>IF('Données projet'!$A$62&gt;35,AI17+AH18-AQ17,IF(A18&lt;'Données projet'!$A$62,$AF$205^A18,IF(A18='Données projet'!$A$62,'Données projet'!$B$62,AI17+AH18-AQ17)))</f>
        <v>35.117482952196561</v>
      </c>
      <c r="AJ18" s="14">
        <f>AI18*VLOOKUP('Données projet'!$B$10,Paramètres!$A$1:$I$89,3,0)*VLOOKUP('Données projet'!$B$10,Paramètres!$A$1:$I$89,5,0)</f>
        <v>16.434982021627992</v>
      </c>
      <c r="AK18" s="14">
        <f t="shared" si="35"/>
        <v>5.4677136175486121</v>
      </c>
      <c r="AL18" s="22">
        <f t="shared" si="4"/>
        <v>38.147194904899251</v>
      </c>
      <c r="AM18" s="62">
        <f t="shared" si="5"/>
        <v>331.48052823823258</v>
      </c>
      <c r="AN18" s="62">
        <f ca="1">AVERAGE(OFFSET($AM$3,0,0,'Données projet'!$E$10+1,1))-AVERAGE(OFFSET($H$3,0,0,'Données projet'!$E$10+1,1))</f>
        <v>173.76802753906867</v>
      </c>
      <c r="AO18" s="62">
        <f t="shared" si="36"/>
        <v>153.4527010894717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2">
        <f t="shared" si="32"/>
        <v>2.7967643238239419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70">
        <f t="shared" si="1"/>
        <v>311.60823119732669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339.04161502361472</v>
      </c>
      <c r="S19" s="62">
        <f ca="1">AVERAGE(OFFSET($R$3,0,0,'Données projet'!$E$9+1,1))-AVERAGE(OFFSET($H$3,0,0,'Données projet'!$E$9+1,1))</f>
        <v>287.69656598881124</v>
      </c>
      <c r="T19" s="62">
        <f t="shared" si="34"/>
        <v>221.9773436301067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5.75</v>
      </c>
      <c r="AI19" s="14">
        <f>IF('Données projet'!$A$62&gt;35,AI18+AH19-AQ18,IF(A19&lt;'Données projet'!$A$62,$AF$205^A19,IF(A19='Données projet'!$A$62,'Données projet'!$B$62,AI18+AH19-AQ18)))</f>
        <v>44.52031948927695</v>
      </c>
      <c r="AJ19" s="14">
        <f>AI19*VLOOKUP('Données projet'!$B$10,Paramètres!$A$1:$I$89,3,0)*VLOOKUP('Données projet'!$B$10,Paramètres!$A$1:$I$89,5,0)</f>
        <v>20.835509520981613</v>
      </c>
      <c r="AK19" s="14">
        <f t="shared" si="35"/>
        <v>6.7429104192276883</v>
      </c>
      <c r="AL19" s="22">
        <f t="shared" si="4"/>
        <v>48.03241472919786</v>
      </c>
      <c r="AM19" s="62">
        <f t="shared" si="5"/>
        <v>341.36574806253117</v>
      </c>
      <c r="AN19" s="62">
        <f ca="1">AVERAGE(OFFSET($AM$3,0,0,'Données projet'!$E$10+1,1))-AVERAGE(OFFSET($H$3,0,0,'Données projet'!$E$10+1,1))</f>
        <v>173.76802753906867</v>
      </c>
      <c r="AO19" s="62">
        <f t="shared" si="36"/>
        <v>153.4527010894717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2">
        <f t="shared" si="32"/>
        <v>2.9506664679221988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70">
        <f t="shared" si="1"/>
        <v>312.7140190982978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349.8661782737675</v>
      </c>
      <c r="S20" s="62">
        <f ca="1">AVERAGE(OFFSET($R$3,0,0,'Données projet'!$E$9+1,1))-AVERAGE(OFFSET($H$3,0,0,'Données projet'!$E$9+1,1))</f>
        <v>287.69656598881124</v>
      </c>
      <c r="T20" s="62">
        <f t="shared" si="34"/>
        <v>221.9773436301067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5.75</v>
      </c>
      <c r="AI20" s="14">
        <f>IF('Données projet'!$A$62&gt;35,AI19+AH20-AQ19,IF(A20&lt;'Données projet'!$A$62,$AF$205^A20,IF(A20='Données projet'!$A$62,'Données projet'!$B$62,AI19+AH20-AQ19)))</f>
        <v>56.440800444763006</v>
      </c>
      <c r="AJ20" s="14">
        <f>AI20*VLOOKUP('Données projet'!$B$10,Paramètres!$A$1:$I$89,3,0)*VLOOKUP('Données projet'!$B$10,Paramètres!$A$1:$I$89,5,0)</f>
        <v>26.414294608149088</v>
      </c>
      <c r="AK20" s="14">
        <f t="shared" si="35"/>
        <v>8.3155124979120405</v>
      </c>
      <c r="AL20" s="22">
        <f t="shared" si="4"/>
        <v>60.487747376389791</v>
      </c>
      <c r="AM20" s="62">
        <f t="shared" si="5"/>
        <v>353.82108070972311</v>
      </c>
      <c r="AN20" s="62">
        <f ca="1">AVERAGE(OFFSET($AM$3,0,0,'Données projet'!$E$10+1,1))-AVERAGE(OFFSET($H$3,0,0,'Données projet'!$E$10+1,1))</f>
        <v>173.76802753906867</v>
      </c>
      <c r="AO20" s="62">
        <f t="shared" si="36"/>
        <v>153.4527010894717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2">
        <f t="shared" si="32"/>
        <v>3.1035177947823605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70">
        <f t="shared" si="1"/>
        <v>313.81797682591258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363.26248699382734</v>
      </c>
      <c r="S21" s="62">
        <f ca="1">AVERAGE(OFFSET($R$3,0,0,'Données projet'!$E$9+1,1))-AVERAGE(OFFSET($H$3,0,0,'Données projet'!$E$9+1,1))</f>
        <v>287.69656598881124</v>
      </c>
      <c r="T21" s="62">
        <f t="shared" si="34"/>
        <v>221.9773436301067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5.75</v>
      </c>
      <c r="AI21" s="14">
        <f>IF('Données projet'!$A$62&gt;35,AI20+AH21-AQ20,IF(A21&lt;'Données projet'!$A$62,$AF$205^A21,IF(A21='Données projet'!$A$62,'Données projet'!$B$62,AI20+AH21-AQ20)))</f>
        <v>71.55303446582019</v>
      </c>
      <c r="AJ21" s="14">
        <f>AI21*VLOOKUP('Données projet'!$B$10,Paramètres!$A$1:$I$89,3,0)*VLOOKUP('Données projet'!$B$10,Paramètres!$A$1:$I$89,5,0)</f>
        <v>33.486820130003849</v>
      </c>
      <c r="AK21" s="14">
        <f t="shared" si="35"/>
        <v>10.254881616957807</v>
      </c>
      <c r="AL21" s="22">
        <f t="shared" si="4"/>
        <v>76.183463875958196</v>
      </c>
      <c r="AM21" s="62">
        <f t="shared" si="5"/>
        <v>369.5167972092915</v>
      </c>
      <c r="AN21" s="62">
        <f ca="1">AVERAGE(OFFSET($AM$3,0,0,'Données projet'!$E$10+1,1))-AVERAGE(OFFSET($H$3,0,0,'Données projet'!$E$10+1,1))</f>
        <v>173.76802753906867</v>
      </c>
      <c r="AO21" s="62">
        <f t="shared" si="36"/>
        <v>153.4527010894717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2">
        <f t="shared" si="32"/>
        <v>3.2553833368644418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70">
        <f t="shared" si="1"/>
        <v>314.92021764503886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379.84337213080869</v>
      </c>
      <c r="S22" s="62">
        <f ca="1">AVERAGE(OFFSET($R$3,0,0,'Données projet'!$E$9+1,1))-AVERAGE(OFFSET($H$3,0,0,'Données projet'!$E$9+1,1))</f>
        <v>287.69656598881124</v>
      </c>
      <c r="T22" s="62">
        <f t="shared" si="34"/>
        <v>221.9773436301067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5.75</v>
      </c>
      <c r="AI22" s="14">
        <f>IF('Données projet'!$A$62&gt;35,AI21+AH22-AQ21,IF(A22&lt;'Données projet'!$A$62,$AF$205^A22,IF(A22='Données projet'!$A$62,'Données projet'!$B$62,AI21+AH22-AQ21)))</f>
        <v>90.711625294497551</v>
      </c>
      <c r="AJ22" s="14">
        <f>AI22*VLOOKUP('Données projet'!$B$10,Paramètres!$A$1:$I$89,3,0)*VLOOKUP('Données projet'!$B$10,Paramètres!$A$1:$I$89,5,0)</f>
        <v>42.453040637824856</v>
      </c>
      <c r="AK22" s="14">
        <f t="shared" si="35"/>
        <v>12.646556301156998</v>
      </c>
      <c r="AL22" s="22">
        <f t="shared" si="4"/>
        <v>95.96513133539338</v>
      </c>
      <c r="AM22" s="62">
        <f t="shared" si="5"/>
        <v>389.29846466872669</v>
      </c>
      <c r="AN22" s="62">
        <f ca="1">AVERAGE(OFFSET($AM$3,0,0,'Données projet'!$E$10+1,1))-AVERAGE(OFFSET($H$3,0,0,'Données projet'!$E$10+1,1))</f>
        <v>173.76802753906867</v>
      </c>
      <c r="AO22" s="62">
        <f t="shared" si="36"/>
        <v>153.4527010894717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2">
        <f t="shared" si="32"/>
        <v>3.4063208944730636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70">
        <f t="shared" si="1"/>
        <v>316.02084222454056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400.36809883857921</v>
      </c>
      <c r="S23" s="62">
        <f ca="1">AVERAGE(OFFSET($R$3,0,0,'Données projet'!$E$9+1,1))-AVERAGE(OFFSET($H$3,0,0,'Données projet'!$E$9+1,1))</f>
        <v>287.69656598881124</v>
      </c>
      <c r="T23" s="62">
        <f t="shared" si="34"/>
        <v>221.9773436301067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115</v>
      </c>
      <c r="AG23" s="13">
        <f>VLOOKUP(A23,'Données projet'!$A$61:$I$81,9,0)</f>
        <v>5.75</v>
      </c>
      <c r="AH23" s="13">
        <f t="array" ref="AH23">INDEX(AG:AG,MIN(IF(ISNUMBER(AG23:AG219),ROW(AG23:AG219),"")))</f>
        <v>5.75</v>
      </c>
      <c r="AI23" s="14">
        <f>IF('Données projet'!$A$62&gt;35,AI22+AH23-AQ22,IF(A23&lt;'Données projet'!$A$62,$AF$205^A23,IF(A23='Données projet'!$A$62,'Données projet'!$B$62,AI22+AH23-AQ22)))</f>
        <v>115</v>
      </c>
      <c r="AJ23" s="14">
        <f>AI23*VLOOKUP('Données projet'!$B$10,Paramètres!$A$1:$I$89,3,0)*VLOOKUP('Données projet'!$B$10,Paramètres!$A$1:$I$89,5,0)</f>
        <v>53.82</v>
      </c>
      <c r="AK23" s="14">
        <f t="shared" si="35"/>
        <v>15.596024630246266</v>
      </c>
      <c r="AL23" s="22">
        <f t="shared" si="4"/>
        <v>120.89957623101225</v>
      </c>
      <c r="AM23" s="62">
        <f t="shared" si="5"/>
        <v>414.23290956434556</v>
      </c>
      <c r="AN23" s="62">
        <f ca="1">AVERAGE(OFFSET($AM$3,0,0,'Données projet'!$E$10+1,1))-AVERAGE(OFFSET($H$3,0,0,'Données projet'!$E$10+1,1))</f>
        <v>173.76802753906867</v>
      </c>
      <c r="AO23" s="62">
        <f t="shared" si="36"/>
        <v>153.4527010894717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2">
        <f t="shared" si="32"/>
        <v>3.556382161371384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70">
        <f t="shared" si="1"/>
        <v>317.11994059772178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425.77744411092726</v>
      </c>
      <c r="S24" s="62">
        <f ca="1">AVERAGE(OFFSET($R$3,0,0,'Données projet'!$E$9+1,1))-AVERAGE(OFFSET($H$3,0,0,'Données projet'!$E$9+1,1))</f>
        <v>287.69656598881124</v>
      </c>
      <c r="T24" s="62">
        <f t="shared" si="34"/>
        <v>221.9773436301067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121.5</v>
      </c>
      <c r="AJ24" s="14">
        <f>AI24*VLOOKUP('Données projet'!$B$10,Paramètres!$A$1:$I$89,3,0)*VLOOKUP('Données projet'!$B$10,Paramètres!$A$1:$I$89,5,0)</f>
        <v>56.861999999999995</v>
      </c>
      <c r="AK24" s="14">
        <f t="shared" si="35"/>
        <v>16.372420859571687</v>
      </c>
      <c r="AL24" s="22">
        <f t="shared" si="4"/>
        <v>127.54994966375402</v>
      </c>
      <c r="AM24" s="62">
        <f t="shared" si="5"/>
        <v>420.88328299708735</v>
      </c>
      <c r="AN24" s="62">
        <f ca="1">AVERAGE(OFFSET($AM$3,0,0,'Données projet'!$E$10+1,1))-AVERAGE(OFFSET($H$3,0,0,'Données projet'!$E$10+1,1))</f>
        <v>173.76802753906867</v>
      </c>
      <c r="AO24" s="62">
        <f t="shared" si="36"/>
        <v>153.4527010894717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2">
        <f t="shared" si="32"/>
        <v>3.7056136299176217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70">
        <f t="shared" si="1"/>
        <v>318.21759373877319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457.23719620976442</v>
      </c>
      <c r="S25" s="62">
        <f ca="1">AVERAGE(OFFSET($R$3,0,0,'Données projet'!$E$9+1,1))-AVERAGE(OFFSET($H$3,0,0,'Données projet'!$E$9+1,1))</f>
        <v>287.69656598881124</v>
      </c>
      <c r="T25" s="62">
        <f t="shared" si="34"/>
        <v>221.9773436301067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128</v>
      </c>
      <c r="AJ25" s="14">
        <f>AI25*VLOOKUP('Données projet'!$B$10,Paramètres!$A$1:$I$89,3,0)*VLOOKUP('Données projet'!$B$10,Paramètres!$A$1:$I$89,5,0)</f>
        <v>59.903999999999996</v>
      </c>
      <c r="AK25" s="14">
        <f t="shared" si="35"/>
        <v>17.143994938960184</v>
      </c>
      <c r="AL25" s="22">
        <f t="shared" si="4"/>
        <v>134.19192451868898</v>
      </c>
      <c r="AM25" s="62">
        <f t="shared" si="5"/>
        <v>427.52525785202226</v>
      </c>
      <c r="AN25" s="62">
        <f ca="1">AVERAGE(OFFSET($AM$3,0,0,'Données projet'!$E$10+1,1))-AVERAGE(OFFSET($H$3,0,0,'Données projet'!$E$10+1,1))</f>
        <v>173.76802753906867</v>
      </c>
      <c r="AO25" s="62">
        <f t="shared" si="36"/>
        <v>153.4527010894717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2">
        <f t="shared" si="32"/>
        <v>3.8540573269792704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70">
        <f t="shared" si="1"/>
        <v>319.31387484448885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452.47373260408426</v>
      </c>
      <c r="S26" s="62">
        <f ca="1">AVERAGE(OFFSET($R$3,0,0,'Données projet'!$E$9+1,1))-AVERAGE(OFFSET($H$3,0,0,'Données projet'!$E$9+1,1))</f>
        <v>287.69656598881124</v>
      </c>
      <c r="T26" s="62">
        <f t="shared" si="34"/>
        <v>221.9773436301067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134.5</v>
      </c>
      <c r="AJ26" s="14">
        <f>AI26*VLOOKUP('Données projet'!$B$10,Paramètres!$A$1:$I$89,3,0)*VLOOKUP('Données projet'!$B$10,Paramètres!$A$1:$I$89,5,0)</f>
        <v>62.946000000000005</v>
      </c>
      <c r="AK26" s="14">
        <f t="shared" si="35"/>
        <v>17.911019680519331</v>
      </c>
      <c r="AL26" s="22">
        <f t="shared" si="4"/>
        <v>140.82597594357114</v>
      </c>
      <c r="AM26" s="62">
        <f t="shared" si="5"/>
        <v>434.15930927690442</v>
      </c>
      <c r="AN26" s="62">
        <f ca="1">AVERAGE(OFFSET($AM$3,0,0,'Données projet'!$E$10+1,1))-AVERAGE(OFFSET($H$3,0,0,'Données projet'!$E$10+1,1))</f>
        <v>173.76802753906867</v>
      </c>
      <c r="AO26" s="62">
        <f t="shared" si="36"/>
        <v>153.4527010894717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2">
        <f t="shared" si="32"/>
        <v>4.0017514182509002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70">
        <f t="shared" si="1"/>
        <v>320.40885038678698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468.48347327497567</v>
      </c>
      <c r="S27" s="62">
        <f ca="1">AVERAGE(OFFSET($R$3,0,0,'Données projet'!$E$9+1,1))-AVERAGE(OFFSET($H$3,0,0,'Données projet'!$E$9+1,1))</f>
        <v>287.69656598881124</v>
      </c>
      <c r="T27" s="62">
        <f t="shared" si="34"/>
        <v>221.9773436301067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141</v>
      </c>
      <c r="AJ27" s="14">
        <f>AI27*VLOOKUP('Données projet'!$B$10,Paramètres!$A$1:$I$89,3,0)*VLOOKUP('Données projet'!$B$10,Paramètres!$A$1:$I$89,5,0)</f>
        <v>65.988</v>
      </c>
      <c r="AK27" s="14">
        <f t="shared" si="35"/>
        <v>18.67374003807944</v>
      </c>
      <c r="AL27" s="22">
        <f t="shared" si="4"/>
        <v>147.45253056632168</v>
      </c>
      <c r="AM27" s="62">
        <f t="shared" si="5"/>
        <v>440.785863899655</v>
      </c>
      <c r="AN27" s="62">
        <f ca="1">AVERAGE(OFFSET($AM$3,0,0,'Données projet'!$E$10+1,1))-AVERAGE(OFFSET($H$3,0,0,'Données projet'!$E$10+1,1))</f>
        <v>173.76802753906867</v>
      </c>
      <c r="AO27" s="62">
        <f t="shared" si="36"/>
        <v>153.4527010894717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2">
        <f t="shared" si="32"/>
        <v>4.1487307090142194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70">
        <f t="shared" si="1"/>
        <v>321.50258098486643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484.4588463196344</v>
      </c>
      <c r="S28" s="62">
        <f ca="1">AVERAGE(OFFSET($R$3,0,0,'Données projet'!$E$9+1,1))-AVERAGE(OFFSET($H$3,0,0,'Données projet'!$E$9+1,1))</f>
        <v>287.69656598881124</v>
      </c>
      <c r="T28" s="62">
        <f t="shared" si="34"/>
        <v>221.9773436301067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15.34038764069177</v>
      </c>
      <c r="AC28" s="24">
        <f t="shared" si="3"/>
        <v>15.34038764069177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147.5</v>
      </c>
      <c r="AJ28" s="14">
        <f>AI28*VLOOKUP('Données projet'!$B$10,Paramètres!$A$1:$I$89,3,0)*VLOOKUP('Données projet'!$B$10,Paramètres!$A$1:$I$89,5,0)</f>
        <v>69.03</v>
      </c>
      <c r="AK28" s="14">
        <f t="shared" si="35"/>
        <v>19.432377104615718</v>
      </c>
      <c r="AL28" s="22">
        <f t="shared" si="4"/>
        <v>154.0719734572057</v>
      </c>
      <c r="AM28" s="62">
        <f t="shared" si="5"/>
        <v>447.40530679053904</v>
      </c>
      <c r="AN28" s="62">
        <f ca="1">AVERAGE(OFFSET($AM$3,0,0,'Données projet'!$E$10+1,1))-AVERAGE(OFFSET($H$3,0,0,'Données projet'!$E$10+1,1))</f>
        <v>173.76802753906867</v>
      </c>
      <c r="AO28" s="62">
        <f t="shared" si="36"/>
        <v>153.4527010894717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2">
        <f t="shared" si="32"/>
        <v>4.2950270625211857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70">
        <f t="shared" si="1"/>
        <v>322.59512213389104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479.79911161741188</v>
      </c>
      <c r="S29" s="62">
        <f ca="1">AVERAGE(OFFSET($R$3,0,0,'Données projet'!$E$9+1,1))-AVERAGE(OFFSET($H$3,0,0,'Données projet'!$E$9+1,1))</f>
        <v>287.69656598881124</v>
      </c>
      <c r="T29" s="62">
        <f t="shared" si="34"/>
        <v>221.9773436301067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10.847292126763454</v>
      </c>
      <c r="AC29" s="24">
        <f t="shared" si="3"/>
        <v>10.847292126763454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154</v>
      </c>
      <c r="AJ29" s="14">
        <f>AI29*VLOOKUP('Données projet'!$B$10,Paramètres!$A$1:$I$89,3,0)*VLOOKUP('Données projet'!$B$10,Paramètres!$A$1:$I$89,5,0)</f>
        <v>72.072000000000003</v>
      </c>
      <c r="AK29" s="14">
        <f t="shared" si="35"/>
        <v>20.187131385147271</v>
      </c>
      <c r="AL29" s="22">
        <f t="shared" si="4"/>
        <v>160.68465382913149</v>
      </c>
      <c r="AM29" s="62">
        <f t="shared" si="5"/>
        <v>454.01798716246481</v>
      </c>
      <c r="AN29" s="62">
        <f ca="1">AVERAGE(OFFSET($AM$3,0,0,'Données projet'!$E$10+1,1))-AVERAGE(OFFSET($H$3,0,0,'Données projet'!$E$10+1,1))</f>
        <v>173.76802753906867</v>
      </c>
      <c r="AO29" s="62">
        <f t="shared" si="36"/>
        <v>153.4527010894717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2">
        <f t="shared" si="32"/>
        <v>4.4406697522000558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70">
        <f t="shared" si="1"/>
        <v>323.68652481841508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497.13048476928668</v>
      </c>
      <c r="S30" s="62">
        <f ca="1">AVERAGE(OFFSET($R$3,0,0,'Données projet'!$E$9+1,1))-AVERAGE(OFFSET($H$3,0,0,'Données projet'!$E$9+1,1))</f>
        <v>287.69656598881124</v>
      </c>
      <c r="T30" s="62">
        <f t="shared" si="34"/>
        <v>221.9773436301067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7.6701938203458866</v>
      </c>
      <c r="AC30" s="24">
        <f t="shared" si="3"/>
        <v>7.6701938203458866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160.5</v>
      </c>
      <c r="AJ30" s="14">
        <f>AI30*VLOOKUP('Données projet'!$B$10,Paramètres!$A$1:$I$89,3,0)*VLOOKUP('Données projet'!$B$10,Paramètres!$A$1:$I$89,5,0)</f>
        <v>75.114000000000004</v>
      </c>
      <c r="AK30" s="14">
        <f t="shared" si="35"/>
        <v>20.938185501492693</v>
      </c>
      <c r="AL30" s="22">
        <f t="shared" si="4"/>
        <v>167.2908897484331</v>
      </c>
      <c r="AM30" s="62">
        <f t="shared" si="5"/>
        <v>460.62422308176644</v>
      </c>
      <c r="AN30" s="62">
        <f ca="1">AVERAGE(OFFSET($AM$3,0,0,'Données projet'!$E$10+1,1))-AVERAGE(OFFSET($H$3,0,0,'Données projet'!$E$10+1,1))</f>
        <v>173.76802753906867</v>
      </c>
      <c r="AO30" s="62">
        <f t="shared" si="36"/>
        <v>153.4527010894717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2">
        <f t="shared" si="32"/>
        <v>4.5856857602159096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70">
        <f t="shared" si="1"/>
        <v>324.77683603237602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514.42775738247849</v>
      </c>
      <c r="S31" s="62">
        <f ca="1">AVERAGE(OFFSET($R$3,0,0,'Données projet'!$E$9+1,1))-AVERAGE(OFFSET($H$3,0,0,'Données projet'!$E$9+1,1))</f>
        <v>287.69656598881124</v>
      </c>
      <c r="T31" s="62">
        <f t="shared" si="34"/>
        <v>221.9773436301067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5.4236460633817281</v>
      </c>
      <c r="AC31" s="24">
        <f t="shared" si="3"/>
        <v>5.4236460633817281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167</v>
      </c>
      <c r="AJ31" s="14">
        <f>AI31*VLOOKUP('Données projet'!$B$10,Paramètres!$A$1:$I$89,3,0)*VLOOKUP('Données projet'!$B$10,Paramètres!$A$1:$I$89,5,0)</f>
        <v>78.156000000000006</v>
      </c>
      <c r="AK31" s="14">
        <f t="shared" si="35"/>
        <v>21.685706446534809</v>
      </c>
      <c r="AL31" s="22">
        <f t="shared" si="4"/>
        <v>173.89097206104813</v>
      </c>
      <c r="AM31" s="62">
        <f t="shared" si="5"/>
        <v>467.22430539438142</v>
      </c>
      <c r="AN31" s="62">
        <f ca="1">AVERAGE(OFFSET($AM$3,0,0,'Données projet'!$E$10+1,1))-AVERAGE(OFFSET($H$3,0,0,'Données projet'!$E$10+1,1))</f>
        <v>173.76802753906867</v>
      </c>
      <c r="AO31" s="62">
        <f t="shared" si="36"/>
        <v>153.4527010894717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2">
        <f t="shared" si="32"/>
        <v>4.7301000321811131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70">
        <f t="shared" si="1"/>
        <v>325.86609922271543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531.69397310455531</v>
      </c>
      <c r="S32" s="62">
        <f ca="1">AVERAGE(OFFSET($R$3,0,0,'Données projet'!$E$9+1,1))-AVERAGE(OFFSET($H$3,0,0,'Données projet'!$E$9+1,1))</f>
        <v>287.69656598881124</v>
      </c>
      <c r="T32" s="62">
        <f t="shared" si="34"/>
        <v>221.9773436301067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3.8350969101729437</v>
      </c>
      <c r="AC32" s="24">
        <f t="shared" si="3"/>
        <v>3.8350969101729437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173.5</v>
      </c>
      <c r="AJ32" s="14">
        <f>AI32*VLOOKUP('Données projet'!$B$10,Paramètres!$A$1:$I$89,3,0)*VLOOKUP('Données projet'!$B$10,Paramètres!$A$1:$I$89,5,0)</f>
        <v>81.198000000000008</v>
      </c>
      <c r="AK32" s="14">
        <f t="shared" si="35"/>
        <v>22.429847477648512</v>
      </c>
      <c r="AL32" s="22">
        <f t="shared" si="4"/>
        <v>180.48516769023783</v>
      </c>
      <c r="AM32" s="62">
        <f t="shared" si="5"/>
        <v>473.81850102357112</v>
      </c>
      <c r="AN32" s="62">
        <f ca="1">AVERAGE(OFFSET($AM$3,0,0,'Données projet'!$E$10+1,1))-AVERAGE(OFFSET($H$3,0,0,'Données projet'!$E$10+1,1))</f>
        <v>173.76802753906867</v>
      </c>
      <c r="AO32" s="62">
        <f t="shared" si="36"/>
        <v>153.4527010894717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2">
        <f t="shared" si="32"/>
        <v>4.8739356957462956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70">
        <f t="shared" si="1"/>
        <v>326.95435467009145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287.69656598881124</v>
      </c>
      <c r="T33" s="62">
        <f t="shared" si="34"/>
        <v>221.9773436301067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0.22500000000000001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6.0447398882791736</v>
      </c>
      <c r="AB33" s="23">
        <f>EXP(-LN(2)/2)*AB32+(1-EXP(-LN(2)/2))/(LN(2)/2)*V33*Y33*VLOOKUP('Données projet'!$B$9,Paramètres!$A$1:$I$89,3,0)*0.475*44/12</f>
        <v>14.222096568344917</v>
      </c>
      <c r="AC33" s="24">
        <f t="shared" si="3"/>
        <v>20.266836456624091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180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180</v>
      </c>
      <c r="AJ33" s="14">
        <f>AI33*VLOOKUP('Données projet'!$B$10,Paramètres!$A$1:$I$89,3,0)*VLOOKUP('Données projet'!$B$10,Paramètres!$A$1:$I$89,5,0)</f>
        <v>84.24</v>
      </c>
      <c r="AK33" s="14">
        <f t="shared" si="35"/>
        <v>23.170749718409468</v>
      </c>
      <c r="AL33" s="22">
        <f t="shared" si="4"/>
        <v>187.07372242622981</v>
      </c>
      <c r="AM33" s="62">
        <f t="shared" si="5"/>
        <v>480.40705575956315</v>
      </c>
      <c r="AN33" s="62">
        <f ca="1">AVERAGE(OFFSET($AM$3,0,0,'Données projet'!$E$10+1,1))-AVERAGE(OFFSET($H$3,0,0,'Données projet'!$E$10+1,1))</f>
        <v>173.76802753906867</v>
      </c>
      <c r="AO33" s="62">
        <f t="shared" si="36"/>
        <v>153.4527010894717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2">
        <f t="shared" si="32"/>
        <v>5.0172142492270986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70">
        <f t="shared" si="1"/>
        <v>328.04163981740385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287.69656598881124</v>
      </c>
      <c r="T34" s="62">
        <f t="shared" si="34"/>
        <v>221.9773436301067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5.8794461581551243</v>
      </c>
      <c r="AB34" s="23">
        <f>EXP(-LN(2)/2)*AB33+(1-EXP(-LN(2)/2))/(LN(2)/2)*V34*Y34*VLOOKUP('Données projet'!$B$9,Paramètres!$A$1:$I$89,3,0)*0.475*44/12</f>
        <v>10.056540926166617</v>
      </c>
      <c r="AC34" s="24">
        <f t="shared" si="3"/>
        <v>15.935987084321741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7</v>
      </c>
      <c r="AI34" s="14">
        <f>IF('Données projet'!$A$62&gt;35,AI33+AH34-AQ33,IF(A34&lt;'Données projet'!$A$62,$AF$205^A34,IF(A34='Données projet'!$A$62,'Données projet'!$B$62,AI33+AH34-AQ33)))</f>
        <v>187</v>
      </c>
      <c r="AJ34" s="14">
        <f>AI34*VLOOKUP('Données projet'!$B$10,Paramètres!$A$1:$I$89,3,0)*VLOOKUP('Données projet'!$B$10,Paramètres!$A$1:$I$89,5,0)</f>
        <v>87.515999999999991</v>
      </c>
      <c r="AK34" s="14">
        <f t="shared" si="35"/>
        <v>23.965171662037644</v>
      </c>
      <c r="AL34" s="22">
        <f t="shared" si="4"/>
        <v>194.16304064471555</v>
      </c>
      <c r="AM34" s="62">
        <f t="shared" si="5"/>
        <v>487.49637397804884</v>
      </c>
      <c r="AN34" s="62">
        <f ca="1">AVERAGE(OFFSET($AM$3,0,0,'Données projet'!$E$10+1,1))-AVERAGE(OFFSET($H$3,0,0,'Données projet'!$E$10+1,1))</f>
        <v>173.76802753906867</v>
      </c>
      <c r="AO34" s="62">
        <f t="shared" si="36"/>
        <v>153.4527010894717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2">
        <f t="shared" si="32"/>
        <v>5.1599557252083068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70">
        <f t="shared" si="1"/>
        <v>329.12798955473778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287.69656598881124</v>
      </c>
      <c r="T35" s="62">
        <f t="shared" si="34"/>
        <v>221.9773436301067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5.7186723937737369</v>
      </c>
      <c r="AB35" s="23">
        <f>EXP(-LN(2)/2)*AB34+(1-EXP(-LN(2)/2))/(LN(2)/2)*V35*Y35*VLOOKUP('Données projet'!$B$9,Paramètres!$A$1:$I$89,3,0)*0.475*44/12</f>
        <v>7.1110482841724583</v>
      </c>
      <c r="AC35" s="24">
        <f t="shared" si="3"/>
        <v>12.829720677946195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7</v>
      </c>
      <c r="AI35" s="14">
        <f>IF('Données projet'!$A$62&gt;35,AI34+AH35-AQ34,IF(A35&lt;'Données projet'!$A$62,$AF$205^A35,IF(A35='Données projet'!$A$62,'Données projet'!$B$62,AI34+AH35-AQ34)))</f>
        <v>194</v>
      </c>
      <c r="AJ35" s="14">
        <f>AI35*VLOOKUP('Données projet'!$B$10,Paramètres!$A$1:$I$89,3,0)*VLOOKUP('Données projet'!$B$10,Paramètres!$A$1:$I$89,5,0)</f>
        <v>90.792000000000002</v>
      </c>
      <c r="AK35" s="14">
        <f t="shared" si="35"/>
        <v>24.756138813110173</v>
      </c>
      <c r="AL35" s="22">
        <f t="shared" si="4"/>
        <v>201.24634176616689</v>
      </c>
      <c r="AM35" s="62">
        <f t="shared" si="5"/>
        <v>494.57967509950021</v>
      </c>
      <c r="AN35" s="62">
        <f ca="1">AVERAGE(OFFSET($AM$3,0,0,'Données projet'!$E$10+1,1))-AVERAGE(OFFSET($H$3,0,0,'Données projet'!$E$10+1,1))</f>
        <v>173.76802753906867</v>
      </c>
      <c r="AO35" s="62">
        <f t="shared" si="36"/>
        <v>153.4527010894717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2">
        <f t="shared" si="32"/>
        <v>5.3021788331229462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70">
        <f t="shared" si="1"/>
        <v>330.21343646768912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287.69656598881124</v>
      </c>
      <c r="T36" s="62">
        <f t="shared" si="34"/>
        <v>221.9773436301067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5.5622949964340833</v>
      </c>
      <c r="AB36" s="23">
        <f>EXP(-LN(2)/2)*AB35+(1-EXP(-LN(2)/2))/(LN(2)/2)*V36*Y36*VLOOKUP('Données projet'!$B$9,Paramètres!$A$1:$I$89,3,0)*0.475*44/12</f>
        <v>5.0282704630833086</v>
      </c>
      <c r="AC36" s="24">
        <f t="shared" si="3"/>
        <v>10.590565459517393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7</v>
      </c>
      <c r="AI36" s="14">
        <f>IF('Données projet'!$A$62&gt;35,AI35+AH36-AQ35,IF(A36&lt;'Données projet'!$A$62,$AF$205^A36,IF(A36='Données projet'!$A$62,'Données projet'!$B$62,AI35+AH36-AQ35)))</f>
        <v>201</v>
      </c>
      <c r="AJ36" s="14">
        <f>AI36*VLOOKUP('Données projet'!$B$10,Paramètres!$A$1:$I$89,3,0)*VLOOKUP('Données projet'!$B$10,Paramètres!$A$1:$I$89,5,0)</f>
        <v>94.067999999999998</v>
      </c>
      <c r="AK36" s="14">
        <f t="shared" si="35"/>
        <v>25.543790108694029</v>
      </c>
      <c r="AL36" s="22">
        <f t="shared" si="4"/>
        <v>208.32386777264207</v>
      </c>
      <c r="AM36" s="62">
        <f t="shared" si="5"/>
        <v>501.65720110597539</v>
      </c>
      <c r="AN36" s="62">
        <f ca="1">AVERAGE(OFFSET($AM$3,0,0,'Données projet'!$E$10+1,1))-AVERAGE(OFFSET($H$3,0,0,'Données projet'!$E$10+1,1))</f>
        <v>173.76802753906867</v>
      </c>
      <c r="AO36" s="62">
        <f t="shared" si="36"/>
        <v>153.4527010894717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2">
        <f t="shared" si="32"/>
        <v>5.4439010840635174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70">
        <f t="shared" si="1"/>
        <v>331.29801105474394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287.69656598881124</v>
      </c>
      <c r="T37" s="62">
        <f t="shared" si="34"/>
        <v>221.9773436301067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5.4101937472482122</v>
      </c>
      <c r="AB37" s="23">
        <f>EXP(-LN(2)/2)*AB36+(1-EXP(-LN(2)/2))/(LN(2)/2)*V37*Y37*VLOOKUP('Données projet'!$B$9,Paramètres!$A$1:$I$89,3,0)*0.475*44/12</f>
        <v>3.5555241420862291</v>
      </c>
      <c r="AC37" s="24">
        <f t="shared" si="3"/>
        <v>8.9657178893344422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7</v>
      </c>
      <c r="AI37" s="14">
        <f>IF('Données projet'!$A$62&gt;35,AI36+AH37-AQ36,IF(A37&lt;'Données projet'!$A$62,$AF$205^A37,IF(A37='Données projet'!$A$62,'Données projet'!$B$62,AI36+AH37-AQ36)))</f>
        <v>208</v>
      </c>
      <c r="AJ37" s="14">
        <f>AI37*VLOOKUP('Données projet'!$B$10,Paramètres!$A$1:$I$89,3,0)*VLOOKUP('Données projet'!$B$10,Paramètres!$A$1:$I$89,5,0)</f>
        <v>97.343999999999994</v>
      </c>
      <c r="AK37" s="14">
        <f t="shared" si="35"/>
        <v>26.328254259866451</v>
      </c>
      <c r="AL37" s="22">
        <f t="shared" si="4"/>
        <v>215.39584283593408</v>
      </c>
      <c r="AM37" s="62">
        <f t="shared" si="5"/>
        <v>508.72917616926736</v>
      </c>
      <c r="AN37" s="62">
        <f ca="1">AVERAGE(OFFSET($AM$3,0,0,'Données projet'!$E$10+1,1))-AVERAGE(OFFSET($H$3,0,0,'Données projet'!$E$10+1,1))</f>
        <v>173.76802753906867</v>
      </c>
      <c r="AO37" s="62">
        <f t="shared" si="36"/>
        <v>153.4527010894717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2">
        <f t="shared" si="32"/>
        <v>5.5851389004969132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70">
        <f t="shared" si="1"/>
        <v>332.38174191836544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287.69656598881124</v>
      </c>
      <c r="T38" s="62">
        <f t="shared" si="34"/>
        <v>221.9773436301067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5.2622517147199854</v>
      </c>
      <c r="AB38" s="23">
        <f>EXP(-LN(2)/2)*AB37+(1-EXP(-LN(2)/2))/(LN(2)/2)*V38*Y38*VLOOKUP('Données projet'!$B$9,Paramètres!$A$1:$I$89,3,0)*0.475*44/12</f>
        <v>2.5141352315416543</v>
      </c>
      <c r="AC38" s="24">
        <f t="shared" si="3"/>
        <v>7.7763869462616402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7</v>
      </c>
      <c r="AI38" s="14">
        <f>IF('Données projet'!$A$62&gt;35,AI37+AH38-AQ37,IF(A38&lt;'Données projet'!$A$62,$AF$205^A38,IF(A38='Données projet'!$A$62,'Données projet'!$B$62,AI37+AH38-AQ37)))</f>
        <v>215</v>
      </c>
      <c r="AJ38" s="14">
        <f>AI38*VLOOKUP('Données projet'!$B$10,Paramètres!$A$1:$I$89,3,0)*VLOOKUP('Données projet'!$B$10,Paramètres!$A$1:$I$89,5,0)</f>
        <v>100.61999999999999</v>
      </c>
      <c r="AK38" s="14">
        <f t="shared" si="35"/>
        <v>27.10965082293415</v>
      </c>
      <c r="AL38" s="22">
        <f t="shared" si="4"/>
        <v>222.46247518327695</v>
      </c>
      <c r="AM38" s="62">
        <f t="shared" si="5"/>
        <v>515.79580851661024</v>
      </c>
      <c r="AN38" s="62">
        <f ca="1">AVERAGE(OFFSET($AM$3,0,0,'Données projet'!$E$10+1,1))-AVERAGE(OFFSET($H$3,0,0,'Données projet'!$E$10+1,1))</f>
        <v>173.76802753906867</v>
      </c>
      <c r="AO38" s="62">
        <f t="shared" si="36"/>
        <v>153.4527010894717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2">
        <f t="shared" si="32"/>
        <v>5.7259077130880893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70">
        <f t="shared" si="1"/>
        <v>333.46465593362842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287.69656598881124</v>
      </c>
      <c r="T39" s="62">
        <f t="shared" si="34"/>
        <v>221.9773436301067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5.1183551648511765</v>
      </c>
      <c r="AB39" s="23">
        <f>EXP(-LN(2)/2)*AB38+(1-EXP(-LN(2)/2))/(LN(2)/2)*V39*Y39*VLOOKUP('Données projet'!$B$9,Paramètres!$A$1:$I$89,3,0)*0.475*44/12</f>
        <v>1.7777620710431146</v>
      </c>
      <c r="AC39" s="24">
        <f t="shared" si="3"/>
        <v>6.896117235894291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7</v>
      </c>
      <c r="AI39" s="14">
        <f>IF('Données projet'!$A$62&gt;35,AI38+AH39-AQ38,IF(A39&lt;'Données projet'!$A$62,$AF$205^A39,IF(A39='Données projet'!$A$62,'Données projet'!$B$62,AI38+AH39-AQ38)))</f>
        <v>222</v>
      </c>
      <c r="AJ39" s="14">
        <f>AI39*VLOOKUP('Données projet'!$B$10,Paramètres!$A$1:$I$89,3,0)*VLOOKUP('Données projet'!$B$10,Paramètres!$A$1:$I$89,5,0)</f>
        <v>103.896</v>
      </c>
      <c r="AK39" s="14">
        <f t="shared" si="35"/>
        <v>27.888091127225799</v>
      </c>
      <c r="AL39" s="22">
        <f t="shared" si="4"/>
        <v>229.52395871325157</v>
      </c>
      <c r="AM39" s="62">
        <f t="shared" si="5"/>
        <v>522.85729204658492</v>
      </c>
      <c r="AN39" s="62">
        <f ca="1">AVERAGE(OFFSET($AM$3,0,0,'Données projet'!$E$10+1,1))-AVERAGE(OFFSET($H$3,0,0,'Données projet'!$E$10+1,1))</f>
        <v>173.76802753906867</v>
      </c>
      <c r="AO39" s="62">
        <f t="shared" si="36"/>
        <v>153.4527010894717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2">
        <f t="shared" si="32"/>
        <v>5.8662220464630659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70">
        <f t="shared" si="1"/>
        <v>334.54677839758983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287.69656598881124</v>
      </c>
      <c r="T40" s="62">
        <f t="shared" si="34"/>
        <v>221.9773436301067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4.9783934737057214</v>
      </c>
      <c r="AB40" s="23">
        <f>EXP(-LN(2)/2)*AB39+(1-EXP(-LN(2)/2))/(LN(2)/2)*V40*Y40*VLOOKUP('Données projet'!$B$9,Paramètres!$A$1:$I$89,3,0)*0.475*44/12</f>
        <v>1.2570676157708272</v>
      </c>
      <c r="AC40" s="24">
        <f t="shared" si="3"/>
        <v>6.2354610894765488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7</v>
      </c>
      <c r="AI40" s="14">
        <f>IF('Données projet'!$A$62&gt;35,AI39+AH40-AQ39,IF(A40&lt;'Données projet'!$A$62,$AF$205^A40,IF(A40='Données projet'!$A$62,'Données projet'!$B$62,AI39+AH40-AQ39)))</f>
        <v>229</v>
      </c>
      <c r="AJ40" s="14">
        <f>AI40*VLOOKUP('Données projet'!$B$10,Paramètres!$A$1:$I$89,3,0)*VLOOKUP('Données projet'!$B$10,Paramètres!$A$1:$I$89,5,0)</f>
        <v>107.172</v>
      </c>
      <c r="AK40" s="14">
        <f t="shared" si="35"/>
        <v>28.663679082578788</v>
      </c>
      <c r="AL40" s="22">
        <f t="shared" si="4"/>
        <v>236.58047440215805</v>
      </c>
      <c r="AM40" s="62">
        <f t="shared" si="5"/>
        <v>529.91380773549133</v>
      </c>
      <c r="AN40" s="62">
        <f ca="1">AVERAGE(OFFSET($AM$3,0,0,'Données projet'!$E$10+1,1))-AVERAGE(OFFSET($H$3,0,0,'Données projet'!$E$10+1,1))</f>
        <v>173.76802753906867</v>
      </c>
      <c r="AO40" s="62">
        <f t="shared" si="36"/>
        <v>153.4527010894717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2">
        <f t="shared" si="32"/>
        <v>6.0060955954395361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70">
        <f t="shared" si="1"/>
        <v>335.62813316205717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287.69656598881124</v>
      </c>
      <c r="T41" s="62">
        <f t="shared" si="34"/>
        <v>221.9773436301067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4.8422590423649039</v>
      </c>
      <c r="AB41" s="23">
        <f>EXP(-LN(2)/2)*AB40+(1-EXP(-LN(2)/2))/(LN(2)/2)*V41*Y41*VLOOKUP('Données projet'!$B$9,Paramètres!$A$1:$I$89,3,0)*0.475*44/12</f>
        <v>0.88888103552155728</v>
      </c>
      <c r="AC41" s="24">
        <f t="shared" si="3"/>
        <v>5.7311400778864616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7</v>
      </c>
      <c r="AI41" s="14">
        <f>IF('Données projet'!$A$62&gt;35,AI40+AH41-AQ40,IF(A41&lt;'Données projet'!$A$62,$AF$205^A41,IF(A41='Données projet'!$A$62,'Données projet'!$B$62,AI40+AH41-AQ40)))</f>
        <v>236</v>
      </c>
      <c r="AJ41" s="14">
        <f>AI41*VLOOKUP('Données projet'!$B$10,Paramètres!$A$1:$I$89,3,0)*VLOOKUP('Données projet'!$B$10,Paramètres!$A$1:$I$89,5,0)</f>
        <v>110.44799999999999</v>
      </c>
      <c r="AK41" s="14">
        <f t="shared" si="35"/>
        <v>29.436511885319565</v>
      </c>
      <c r="AL41" s="22">
        <f t="shared" si="4"/>
        <v>243.63219153359822</v>
      </c>
      <c r="AM41" s="62">
        <f t="shared" si="5"/>
        <v>536.96552486693156</v>
      </c>
      <c r="AN41" s="62">
        <f ca="1">AVERAGE(OFFSET($AM$3,0,0,'Données projet'!$E$10+1,1))-AVERAGE(OFFSET($H$3,0,0,'Données projet'!$E$10+1,1))</f>
        <v>173.76802753906867</v>
      </c>
      <c r="AO41" s="62">
        <f t="shared" si="36"/>
        <v>153.4527010894717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2">
        <f t="shared" si="32"/>
        <v>6.1455412930074749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70">
        <f t="shared" si="1"/>
        <v>336.70874275198798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287.69656598881124</v>
      </c>
      <c r="T42" s="62">
        <f t="shared" si="34"/>
        <v>221.9773436301067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4.7098472142081</v>
      </c>
      <c r="AB42" s="23">
        <f>EXP(-LN(2)/2)*AB41+(1-EXP(-LN(2)/2))/(LN(2)/2)*V42*Y42*VLOOKUP('Données projet'!$B$9,Paramètres!$A$1:$I$89,3,0)*0.475*44/12</f>
        <v>0.62853380788541358</v>
      </c>
      <c r="AC42" s="24">
        <f t="shared" si="3"/>
        <v>5.3383810220935137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7</v>
      </c>
      <c r="AI42" s="14">
        <f>IF('Données projet'!$A$62&gt;35,AI41+AH42-AQ41,IF(A42&lt;'Données projet'!$A$62,$AF$205^A42,IF(A42='Données projet'!$A$62,'Données projet'!$B$62,AI41+AH42-AQ41)))</f>
        <v>243</v>
      </c>
      <c r="AJ42" s="14">
        <f>AI42*VLOOKUP('Données projet'!$B$10,Paramètres!$A$1:$I$89,3,0)*VLOOKUP('Données projet'!$B$10,Paramètres!$A$1:$I$89,5,0)</f>
        <v>113.72399999999999</v>
      </c>
      <c r="AK42" s="14">
        <f t="shared" si="35"/>
        <v>30.206680638130489</v>
      </c>
      <c r="AL42" s="22">
        <f t="shared" si="4"/>
        <v>250.67926877807722</v>
      </c>
      <c r="AM42" s="62">
        <f t="shared" si="5"/>
        <v>544.0126021114105</v>
      </c>
      <c r="AN42" s="62">
        <f ca="1">AVERAGE(OFFSET($AM$3,0,0,'Données projet'!$E$10+1,1))-AVERAGE(OFFSET($H$3,0,0,'Données projet'!$E$10+1,1))</f>
        <v>173.76802753906867</v>
      </c>
      <c r="AO42" s="62">
        <f t="shared" si="36"/>
        <v>153.4527010894717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2">
        <f t="shared" si="32"/>
        <v>6.2845713711411841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70">
        <f t="shared" si="1"/>
        <v>337.78862847140419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287.69656598881124</v>
      </c>
      <c r="T43" s="62">
        <f t="shared" si="34"/>
        <v>221.9773436301067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4.5810561944554786</v>
      </c>
      <c r="AB43" s="23">
        <f>EXP(-LN(2)/2)*AB42+(1-EXP(-LN(2)/2))/(LN(2)/2)*V43*Y43*VLOOKUP('Données projet'!$B$9,Paramètres!$A$1:$I$89,3,0)*0.475*44/12</f>
        <v>0.44444051776077864</v>
      </c>
      <c r="AC43" s="24">
        <f t="shared" si="3"/>
        <v>5.025496712216257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250</v>
      </c>
      <c r="AG43" s="13">
        <f>VLOOKUP(A43,'Données projet'!$A$61:$I$81,9,0)</f>
        <v>7</v>
      </c>
      <c r="AH43" s="13">
        <f t="array" ref="AH43">INDEX(AG:AG,MIN(IF(ISNUMBER(AG43:AG239),ROW(AG43:AG239),"")))</f>
        <v>7</v>
      </c>
      <c r="AI43" s="14">
        <f>IF('Données projet'!$A$62&gt;35,AI42+AH43-AQ42,IF(A43&lt;'Données projet'!$A$62,$AF$205^A43,IF(A43='Données projet'!$A$62,'Données projet'!$B$62,AI42+AH43-AQ42)))</f>
        <v>250</v>
      </c>
      <c r="AJ43" s="14">
        <f>AI43*VLOOKUP('Données projet'!$B$10,Paramètres!$A$1:$I$89,3,0)*VLOOKUP('Données projet'!$B$10,Paramètres!$A$1:$I$89,5,0)</f>
        <v>117</v>
      </c>
      <c r="AK43" s="14">
        <f t="shared" si="35"/>
        <v>30.974270896484146</v>
      </c>
      <c r="AL43" s="22">
        <f t="shared" si="4"/>
        <v>257.72185514470988</v>
      </c>
      <c r="AM43" s="62">
        <f t="shared" si="5"/>
        <v>551.05518847804319</v>
      </c>
      <c r="AN43" s="62">
        <f ca="1">AVERAGE(OFFSET($AM$3,0,0,'Données projet'!$E$10+1,1))-AVERAGE(OFFSET($H$3,0,0,'Données projet'!$E$10+1,1))</f>
        <v>173.76802753906867</v>
      </c>
      <c r="AO43" s="62">
        <f t="shared" si="36"/>
        <v>153.4527010894717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63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2">
        <f t="shared" si="32"/>
        <v>6.4231974153589526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70">
        <f t="shared" si="1"/>
        <v>338.86781049841682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287.69656598881124</v>
      </c>
      <c r="T44" s="62">
        <f t="shared" si="34"/>
        <v>221.9773436301067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4.4557869719108183</v>
      </c>
      <c r="AB44" s="23">
        <f>EXP(-LN(2)/2)*AB43+(1-EXP(-LN(2)/2))/(LN(2)/2)*V44*Y44*VLOOKUP('Données projet'!$B$9,Paramètres!$A$1:$I$89,3,0)*0.475*44/12</f>
        <v>0.31426690394270679</v>
      </c>
      <c r="AC44" s="24">
        <f t="shared" si="3"/>
        <v>4.7700538758535247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7</v>
      </c>
      <c r="AI44" s="14">
        <f>IF('Données projet'!$A$62&gt;35,AI43+AH44-AQ43,IF(A44&lt;'Données projet'!$A$62,$AF$205^A44,IF(A44='Données projet'!$A$62,'Données projet'!$B$62,AI43+AH44-AQ43)))</f>
        <v>194</v>
      </c>
      <c r="AJ44" s="14">
        <f>AI44*VLOOKUP('Données projet'!$B$10,Paramètres!$A$1:$I$89,3,0)*VLOOKUP('Données projet'!$B$10,Paramètres!$A$1:$I$89,5,0)</f>
        <v>90.792000000000002</v>
      </c>
      <c r="AK44" s="14">
        <f t="shared" si="35"/>
        <v>24.756138813110173</v>
      </c>
      <c r="AL44" s="22">
        <f t="shared" si="4"/>
        <v>201.24634176616689</v>
      </c>
      <c r="AM44" s="62">
        <f t="shared" si="5"/>
        <v>494.57967509950021</v>
      </c>
      <c r="AN44" s="62">
        <f ca="1">AVERAGE(OFFSET($AM$3,0,0,'Données projet'!$E$10+1,1))-AVERAGE(OFFSET($H$3,0,0,'Données projet'!$E$10+1,1))</f>
        <v>173.76802753906867</v>
      </c>
      <c r="AO44" s="62">
        <f t="shared" si="36"/>
        <v>153.4527010894717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2">
        <f t="shared" si="32"/>
        <v>6.5614304138099335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70">
        <f t="shared" si="1"/>
        <v>339.94630797071898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287.69656598881124</v>
      </c>
      <c r="T45" s="62">
        <f t="shared" si="34"/>
        <v>221.9773436301067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4.3339432428442644</v>
      </c>
      <c r="AB45" s="23">
        <f>EXP(-LN(2)/2)*AB44+(1-EXP(-LN(2)/2))/(LN(2)/2)*V45*Y45*VLOOKUP('Données projet'!$B$9,Paramètres!$A$1:$I$89,3,0)*0.475*44/12</f>
        <v>0.22222025888038932</v>
      </c>
      <c r="AC45" s="24">
        <f t="shared" si="3"/>
        <v>4.5561635017246536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7</v>
      </c>
      <c r="AI45" s="14">
        <f>IF('Données projet'!$A$62&gt;35,AI44+AH45-AQ44,IF(A45&lt;'Données projet'!$A$62,$AF$205^A45,IF(A45='Données projet'!$A$62,'Données projet'!$B$62,AI44+AH45-AQ44)))</f>
        <v>201</v>
      </c>
      <c r="AJ45" s="14">
        <f>AI45*VLOOKUP('Données projet'!$B$10,Paramètres!$A$1:$I$89,3,0)*VLOOKUP('Données projet'!$B$10,Paramètres!$A$1:$I$89,5,0)</f>
        <v>94.067999999999998</v>
      </c>
      <c r="AK45" s="14">
        <f t="shared" si="35"/>
        <v>25.543790108694029</v>
      </c>
      <c r="AL45" s="22">
        <f t="shared" si="4"/>
        <v>208.32386777264207</v>
      </c>
      <c r="AM45" s="62">
        <f t="shared" si="5"/>
        <v>501.65720110597539</v>
      </c>
      <c r="AN45" s="62">
        <f ca="1">AVERAGE(OFFSET($AM$3,0,0,'Données projet'!$E$10+1,1))-AVERAGE(OFFSET($H$3,0,0,'Données projet'!$E$10+1,1))</f>
        <v>173.76802753906867</v>
      </c>
      <c r="AO45" s="62">
        <f t="shared" si="36"/>
        <v>153.4527010894717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2">
        <f t="shared" si="32"/>
        <v>6.6992808015544414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70">
        <f t="shared" si="1"/>
        <v>341.02413906270732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287.69656598881124</v>
      </c>
      <c r="T46" s="62">
        <f t="shared" si="34"/>
        <v>221.9773436301067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4.2154313369565184</v>
      </c>
      <c r="AB46" s="23">
        <f>EXP(-LN(2)/2)*AB45+(1-EXP(-LN(2)/2))/(LN(2)/2)*V46*Y46*VLOOKUP('Données projet'!$B$9,Paramètres!$A$1:$I$89,3,0)*0.475*44/12</f>
        <v>0.15713345197135339</v>
      </c>
      <c r="AC46" s="24">
        <f t="shared" si="3"/>
        <v>4.372564788927872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7</v>
      </c>
      <c r="AI46" s="14">
        <f>IF('Données projet'!$A$62&gt;35,AI45+AH46-AQ45,IF(A46&lt;'Données projet'!$A$62,$AF$205^A46,IF(A46='Données projet'!$A$62,'Données projet'!$B$62,AI45+AH46-AQ45)))</f>
        <v>208</v>
      </c>
      <c r="AJ46" s="14">
        <f>AI46*VLOOKUP('Données projet'!$B$10,Paramètres!$A$1:$I$89,3,0)*VLOOKUP('Données projet'!$B$10,Paramètres!$A$1:$I$89,5,0)</f>
        <v>97.343999999999994</v>
      </c>
      <c r="AK46" s="14">
        <f t="shared" si="35"/>
        <v>26.328254259866451</v>
      </c>
      <c r="AL46" s="22">
        <f t="shared" si="4"/>
        <v>215.39584283593408</v>
      </c>
      <c r="AM46" s="62">
        <f t="shared" si="5"/>
        <v>508.72917616926736</v>
      </c>
      <c r="AN46" s="62">
        <f ca="1">AVERAGE(OFFSET($AM$3,0,0,'Données projet'!$E$10+1,1))-AVERAGE(OFFSET($H$3,0,0,'Données projet'!$E$10+1,1))</f>
        <v>173.76802753906867</v>
      </c>
      <c r="AO46" s="62">
        <f t="shared" si="36"/>
        <v>153.4527010894717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2">
        <f t="shared" si="32"/>
        <v>6.8367585006090259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70">
        <f t="shared" si="1"/>
        <v>342.1013210552274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287.69656598881124</v>
      </c>
      <c r="T47" s="62">
        <f t="shared" si="34"/>
        <v>221.9773436301067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4.1001601453675427</v>
      </c>
      <c r="AB47" s="23">
        <f>EXP(-LN(2)/2)*AB46+(1-EXP(-LN(2)/2))/(LN(2)/2)*V47*Y47*VLOOKUP('Données projet'!$B$9,Paramètres!$A$1:$I$89,3,0)*0.475*44/12</f>
        <v>0.11111012944019466</v>
      </c>
      <c r="AC47" s="24">
        <f t="shared" si="3"/>
        <v>4.2112702748077373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7</v>
      </c>
      <c r="AI47" s="14">
        <f>IF('Données projet'!$A$62&gt;35,AI46+AH47-AQ46,IF(A47&lt;'Données projet'!$A$62,$AF$205^A47,IF(A47='Données projet'!$A$62,'Données projet'!$B$62,AI46+AH47-AQ46)))</f>
        <v>215</v>
      </c>
      <c r="AJ47" s="14">
        <f>AI47*VLOOKUP('Données projet'!$B$10,Paramètres!$A$1:$I$89,3,0)*VLOOKUP('Données projet'!$B$10,Paramètres!$A$1:$I$89,5,0)</f>
        <v>100.61999999999999</v>
      </c>
      <c r="AK47" s="14">
        <f t="shared" si="35"/>
        <v>27.10965082293415</v>
      </c>
      <c r="AL47" s="22">
        <f t="shared" si="4"/>
        <v>222.46247518327695</v>
      </c>
      <c r="AM47" s="62">
        <f t="shared" si="5"/>
        <v>515.79580851661024</v>
      </c>
      <c r="AN47" s="62">
        <f ca="1">AVERAGE(OFFSET($AM$3,0,0,'Données projet'!$E$10+1,1))-AVERAGE(OFFSET($H$3,0,0,'Données projet'!$E$10+1,1))</f>
        <v>173.76802753906867</v>
      </c>
      <c r="AO47" s="62">
        <f t="shared" si="36"/>
        <v>153.4527010894717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2">
        <f t="shared" si="32"/>
        <v>6.973872956248516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70">
        <f t="shared" si="1"/>
        <v>343.17787039879954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287.69656598881124</v>
      </c>
      <c r="T48" s="62">
        <f t="shared" si="34"/>
        <v>221.9773436301067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3.9880410505744162</v>
      </c>
      <c r="AB48" s="23">
        <f>EXP(-LN(2)/2)*AB47+(1-EXP(-LN(2)/2))/(LN(2)/2)*V48*Y48*VLOOKUP('Données projet'!$B$9,Paramètres!$A$1:$I$89,3,0)*0.475*44/12</f>
        <v>7.8566725985676697E-2</v>
      </c>
      <c r="AC48" s="24">
        <f t="shared" si="3"/>
        <v>4.066607776560093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7</v>
      </c>
      <c r="AI48" s="14">
        <f>IF('Données projet'!$A$62&gt;35,AI47+AH48-AQ47,IF(A48&lt;'Données projet'!$A$62,$AF$205^A48,IF(A48='Données projet'!$A$62,'Données projet'!$B$62,AI47+AH48-AQ47)))</f>
        <v>222</v>
      </c>
      <c r="AJ48" s="14">
        <f>AI48*VLOOKUP('Données projet'!$B$10,Paramètres!$A$1:$I$89,3,0)*VLOOKUP('Données projet'!$B$10,Paramètres!$A$1:$I$89,5,0)</f>
        <v>103.896</v>
      </c>
      <c r="AK48" s="14">
        <f t="shared" si="35"/>
        <v>27.888091127225799</v>
      </c>
      <c r="AL48" s="22">
        <f t="shared" si="4"/>
        <v>229.52395871325157</v>
      </c>
      <c r="AM48" s="62">
        <f t="shared" si="5"/>
        <v>522.85729204658492</v>
      </c>
      <c r="AN48" s="62">
        <f ca="1">AVERAGE(OFFSET($AM$3,0,0,'Données projet'!$E$10+1,1))-AVERAGE(OFFSET($H$3,0,0,'Données projet'!$E$10+1,1))</f>
        <v>173.76802753906867</v>
      </c>
      <c r="AO48" s="62">
        <f t="shared" si="36"/>
        <v>153.4527010894717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2">
        <f t="shared" si="32"/>
        <v>7.1106331699901988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70">
        <f t="shared" si="1"/>
        <v>344.25380277106626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287.69656598881124</v>
      </c>
      <c r="T49" s="62">
        <f t="shared" si="34"/>
        <v>221.9773436301067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3.8789878583244946</v>
      </c>
      <c r="AB49" s="23">
        <f>EXP(-LN(2)/2)*AB48+(1-EXP(-LN(2)/2))/(LN(2)/2)*V49*Y49*VLOOKUP('Données projet'!$B$9,Paramètres!$A$1:$I$89,3,0)*0.475*44/12</f>
        <v>5.555506472009733E-2</v>
      </c>
      <c r="AC49" s="24">
        <f t="shared" si="3"/>
        <v>3.9345429230445919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7</v>
      </c>
      <c r="AI49" s="14">
        <f>IF('Données projet'!$A$62&gt;35,AI48+AH49-AQ48,IF(A49&lt;'Données projet'!$A$62,$AF$205^A49,IF(A49='Données projet'!$A$62,'Données projet'!$B$62,AI48+AH49-AQ48)))</f>
        <v>229</v>
      </c>
      <c r="AJ49" s="14">
        <f>AI49*VLOOKUP('Données projet'!$B$10,Paramètres!$A$1:$I$89,3,0)*VLOOKUP('Données projet'!$B$10,Paramètres!$A$1:$I$89,5,0)</f>
        <v>107.172</v>
      </c>
      <c r="AK49" s="14">
        <f t="shared" si="35"/>
        <v>28.663679082578788</v>
      </c>
      <c r="AL49" s="22">
        <f t="shared" si="4"/>
        <v>236.58047440215805</v>
      </c>
      <c r="AM49" s="62">
        <f t="shared" si="5"/>
        <v>529.91380773549133</v>
      </c>
      <c r="AN49" s="62">
        <f ca="1">AVERAGE(OFFSET($AM$3,0,0,'Données projet'!$E$10+1,1))-AVERAGE(OFFSET($H$3,0,0,'Données projet'!$E$10+1,1))</f>
        <v>173.76802753906867</v>
      </c>
      <c r="AO49" s="62">
        <f t="shared" si="36"/>
        <v>153.4527010894717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2">
        <f t="shared" si="32"/>
        <v>7.2470477296289397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70">
        <f t="shared" si="1"/>
        <v>345.32913312910375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287.69656598881124</v>
      </c>
      <c r="T50" s="62">
        <f t="shared" si="34"/>
        <v>221.9773436301067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3.7729167313515055</v>
      </c>
      <c r="AB50" s="23">
        <f>EXP(-LN(2)/2)*AB49+(1-EXP(-LN(2)/2))/(LN(2)/2)*V50*Y50*VLOOKUP('Données projet'!$B$9,Paramètres!$A$1:$I$89,3,0)*0.475*44/12</f>
        <v>3.9283362992838348E-2</v>
      </c>
      <c r="AC50" s="24">
        <f t="shared" si="3"/>
        <v>3.8122000943443437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7</v>
      </c>
      <c r="AI50" s="14">
        <f>IF('Données projet'!$A$62&gt;35,AI49+AH50-AQ49,IF(A50&lt;'Données projet'!$A$62,$AF$205^A50,IF(A50='Données projet'!$A$62,'Données projet'!$B$62,AI49+AH50-AQ49)))</f>
        <v>236</v>
      </c>
      <c r="AJ50" s="14">
        <f>AI50*VLOOKUP('Données projet'!$B$10,Paramètres!$A$1:$I$89,3,0)*VLOOKUP('Données projet'!$B$10,Paramètres!$A$1:$I$89,5,0)</f>
        <v>110.44799999999999</v>
      </c>
      <c r="AK50" s="14">
        <f t="shared" si="35"/>
        <v>29.436511885319565</v>
      </c>
      <c r="AL50" s="22">
        <f t="shared" si="4"/>
        <v>243.63219153359822</v>
      </c>
      <c r="AM50" s="62">
        <f t="shared" si="5"/>
        <v>536.96552486693156</v>
      </c>
      <c r="AN50" s="62">
        <f ca="1">AVERAGE(OFFSET($AM$3,0,0,'Données projet'!$E$10+1,1))-AVERAGE(OFFSET($H$3,0,0,'Données projet'!$E$10+1,1))</f>
        <v>173.76802753906867</v>
      </c>
      <c r="AO50" s="62">
        <f t="shared" si="36"/>
        <v>153.4527010894717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2">
        <f t="shared" si="32"/>
        <v>7.3831248366439324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70">
        <f t="shared" si="1"/>
        <v>346.40387575715488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287.69656598881124</v>
      </c>
      <c r="T51" s="62">
        <f t="shared" si="34"/>
        <v>221.9773436301067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3.6697461249236309</v>
      </c>
      <c r="AB51" s="23">
        <f>EXP(-LN(2)/2)*AB50+(1-EXP(-LN(2)/2))/(LN(2)/2)*V51*Y51*VLOOKUP('Données projet'!$B$9,Paramètres!$A$1:$I$89,3,0)*0.475*44/12</f>
        <v>2.7777532360048665E-2</v>
      </c>
      <c r="AC51" s="24">
        <f t="shared" si="3"/>
        <v>3.6975236572836798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7</v>
      </c>
      <c r="AI51" s="14">
        <f>IF('Données projet'!$A$62&gt;35,AI50+AH51-AQ50,IF(A51&lt;'Données projet'!$A$62,$AF$205^A51,IF(A51='Données projet'!$A$62,'Données projet'!$B$62,AI50+AH51-AQ50)))</f>
        <v>243</v>
      </c>
      <c r="AJ51" s="14">
        <f>AI51*VLOOKUP('Données projet'!$B$10,Paramètres!$A$1:$I$89,3,0)*VLOOKUP('Données projet'!$B$10,Paramètres!$A$1:$I$89,5,0)</f>
        <v>113.72399999999999</v>
      </c>
      <c r="AK51" s="14">
        <f t="shared" si="35"/>
        <v>30.206680638130489</v>
      </c>
      <c r="AL51" s="22">
        <f t="shared" si="4"/>
        <v>250.67926877807722</v>
      </c>
      <c r="AM51" s="62">
        <f t="shared" si="5"/>
        <v>544.0126021114105</v>
      </c>
      <c r="AN51" s="62">
        <f ca="1">AVERAGE(OFFSET($AM$3,0,0,'Données projet'!$E$10+1,1))-AVERAGE(OFFSET($H$3,0,0,'Données projet'!$E$10+1,1))</f>
        <v>173.76802753906867</v>
      </c>
      <c r="AO51" s="62">
        <f t="shared" si="36"/>
        <v>153.4527010894717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2">
        <f t="shared" si="32"/>
        <v>7.5188723312571559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70">
        <f t="shared" si="1"/>
        <v>347.47804431027294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287.69656598881124</v>
      </c>
      <c r="T52" s="62">
        <f t="shared" si="34"/>
        <v>221.9773436301067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3.569396724154033</v>
      </c>
      <c r="AB52" s="23">
        <f>EXP(-LN(2)/2)*AB51+(1-EXP(-LN(2)/2))/(LN(2)/2)*V52*Y52*VLOOKUP('Données projet'!$B$9,Paramètres!$A$1:$I$89,3,0)*0.475*44/12</f>
        <v>1.9641681496419174E-2</v>
      </c>
      <c r="AC52" s="24">
        <f t="shared" si="3"/>
        <v>3.5890384056504523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7</v>
      </c>
      <c r="AI52" s="14">
        <f>IF('Données projet'!$A$62&gt;35,AI51+AH52-AQ51,IF(A52&lt;'Données projet'!$A$62,$AF$205^A52,IF(A52='Données projet'!$A$62,'Données projet'!$B$62,AI51+AH52-AQ51)))</f>
        <v>250</v>
      </c>
      <c r="AJ52" s="14">
        <f>AI52*VLOOKUP('Données projet'!$B$10,Paramètres!$A$1:$I$89,3,0)*VLOOKUP('Données projet'!$B$10,Paramètres!$A$1:$I$89,5,0)</f>
        <v>117</v>
      </c>
      <c r="AK52" s="14">
        <f t="shared" si="35"/>
        <v>30.974270896484146</v>
      </c>
      <c r="AL52" s="22">
        <f t="shared" si="4"/>
        <v>257.72185514470988</v>
      </c>
      <c r="AM52" s="62">
        <f t="shared" si="5"/>
        <v>551.05518847804319</v>
      </c>
      <c r="AN52" s="62">
        <f ca="1">AVERAGE(OFFSET($AM$3,0,0,'Données projet'!$E$10+1,1))-AVERAGE(OFFSET($H$3,0,0,'Données projet'!$E$10+1,1))</f>
        <v>173.76802753906867</v>
      </c>
      <c r="AO52" s="62">
        <f t="shared" si="36"/>
        <v>153.4527010894717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2">
        <f t="shared" si="32"/>
        <v>7.6542977153884264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70">
        <f t="shared" si="1"/>
        <v>348.55165185430155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287.69656598881124</v>
      </c>
      <c r="T53" s="62">
        <f t="shared" si="34"/>
        <v>221.9773436301067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3.4717913830256251</v>
      </c>
      <c r="AB53" s="23">
        <f>EXP(-LN(2)/2)*AB52+(1-EXP(-LN(2)/2))/(LN(2)/2)*V53*Y53*VLOOKUP('Données projet'!$B$9,Paramètres!$A$1:$I$89,3,0)*0.475*44/12</f>
        <v>1.3888766180024333E-2</v>
      </c>
      <c r="AC53" s="24">
        <f t="shared" si="3"/>
        <v>3.4856801492056495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257</v>
      </c>
      <c r="AG53" s="13">
        <f>VLOOKUP(A53,'Données projet'!$A$61:$I$81,9,0)</f>
        <v>7</v>
      </c>
      <c r="AH53" s="13">
        <f t="array" ref="AH53">INDEX(AG:AG,MIN(IF(ISNUMBER(AG53:AG249),ROW(AG53:AG249),"")))</f>
        <v>7</v>
      </c>
      <c r="AI53" s="14">
        <f>IF('Données projet'!$A$62&gt;35,AI52+AH53-AQ52,IF(A53&lt;'Données projet'!$A$62,$AF$205^A53,IF(A53='Données projet'!$A$62,'Données projet'!$B$62,AI52+AH53-AQ52)))</f>
        <v>257</v>
      </c>
      <c r="AJ53" s="14">
        <f>AI53*VLOOKUP('Données projet'!$B$10,Paramètres!$A$1:$I$89,3,0)*VLOOKUP('Données projet'!$B$10,Paramètres!$A$1:$I$89,5,0)</f>
        <v>120.276</v>
      </c>
      <c r="AK53" s="14">
        <f t="shared" si="35"/>
        <v>31.739363152156315</v>
      </c>
      <c r="AL53" s="22">
        <f t="shared" si="4"/>
        <v>264.76009082333889</v>
      </c>
      <c r="AM53" s="62">
        <f t="shared" si="5"/>
        <v>558.0934241566722</v>
      </c>
      <c r="AN53" s="62">
        <f ca="1">AVERAGE(OFFSET($AM$3,0,0,'Données projet'!$E$10+1,1))-AVERAGE(OFFSET($H$3,0,0,'Données projet'!$E$10+1,1))</f>
        <v>173.76802753906867</v>
      </c>
      <c r="AO53" s="62">
        <f t="shared" si="36"/>
        <v>153.4527010894717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2">
        <f t="shared" si="32"/>
        <v>7.789408173722185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70">
        <f t="shared" si="1"/>
        <v>349.62471090256616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287.69656598881124</v>
      </c>
      <c r="T54" s="62">
        <f t="shared" si="34"/>
        <v>221.9773436301067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3.3768550650832152</v>
      </c>
      <c r="AB54" s="23">
        <f>EXP(-LN(2)/2)*AB53+(1-EXP(-LN(2)/2))/(LN(2)/2)*V54*Y54*VLOOKUP('Données projet'!$B$9,Paramètres!$A$1:$I$89,3,0)*0.475*44/12</f>
        <v>9.8208407482095871E-3</v>
      </c>
      <c r="AC54" s="24">
        <f t="shared" si="3"/>
        <v>3.3866759058314249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265</v>
      </c>
      <c r="AJ54" s="14">
        <f>AI54*VLOOKUP('Données projet'!$B$10,Paramètres!$A$1:$I$89,3,0)*VLOOKUP('Données projet'!$B$10,Paramètres!$A$1:$I$89,5,0)</f>
        <v>124.02</v>
      </c>
      <c r="AK54" s="14">
        <f t="shared" si="35"/>
        <v>32.610792634958898</v>
      </c>
      <c r="AL54" s="22">
        <f t="shared" si="4"/>
        <v>272.79863050588671</v>
      </c>
      <c r="AM54" s="62">
        <f t="shared" si="5"/>
        <v>566.13196383922002</v>
      </c>
      <c r="AN54" s="62">
        <f ca="1">AVERAGE(OFFSET($AM$3,0,0,'Données projet'!$E$10+1,1))-AVERAGE(OFFSET($H$3,0,0,'Données projet'!$E$10+1,1))</f>
        <v>173.76802753906867</v>
      </c>
      <c r="AO54" s="62">
        <f t="shared" si="36"/>
        <v>153.4527010894717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2">
        <f t="shared" si="32"/>
        <v>7.9242105930753244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70">
        <f t="shared" si="1"/>
        <v>350.69723344960619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287.69656598881124</v>
      </c>
      <c r="T55" s="62">
        <f t="shared" si="34"/>
        <v>221.9773436301067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3.2845147857474246</v>
      </c>
      <c r="AB55" s="23">
        <f>EXP(-LN(2)/2)*AB54+(1-EXP(-LN(2)/2))/(LN(2)/2)*V55*Y55*VLOOKUP('Données projet'!$B$9,Paramètres!$A$1:$I$89,3,0)*0.475*44/12</f>
        <v>6.9443830900121663E-3</v>
      </c>
      <c r="AC55" s="24">
        <f t="shared" si="3"/>
        <v>3.2914591688374366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273</v>
      </c>
      <c r="AJ55" s="14">
        <f>AI55*VLOOKUP('Données projet'!$B$10,Paramètres!$A$1:$I$89,3,0)*VLOOKUP('Données projet'!$B$10,Paramètres!$A$1:$I$89,5,0)</f>
        <v>127.76400000000001</v>
      </c>
      <c r="AK55" s="14">
        <f t="shared" si="35"/>
        <v>33.479164830670051</v>
      </c>
      <c r="AL55" s="22">
        <f t="shared" si="4"/>
        <v>280.83184541341694</v>
      </c>
      <c r="AM55" s="62">
        <f t="shared" si="5"/>
        <v>574.16517874675026</v>
      </c>
      <c r="AN55" s="62">
        <f ca="1">AVERAGE(OFFSET($AM$3,0,0,'Données projet'!$E$10+1,1))-AVERAGE(OFFSET($H$3,0,0,'Données projet'!$E$10+1,1))</f>
        <v>173.76802753906867</v>
      </c>
      <c r="AO55" s="62">
        <f t="shared" si="36"/>
        <v>153.4527010894717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2">
        <f t="shared" si="32"/>
        <v>8.0587115802330267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70">
        <f t="shared" si="1"/>
        <v>351.76923100223922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287.69656598881124</v>
      </c>
      <c r="T56" s="62">
        <f t="shared" si="34"/>
        <v>221.9773436301067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3.1946995562060354</v>
      </c>
      <c r="AB56" s="23">
        <f>EXP(-LN(2)/2)*AB55+(1-EXP(-LN(2)/2))/(LN(2)/2)*V56*Y56*VLOOKUP('Données projet'!$B$9,Paramètres!$A$1:$I$89,3,0)*0.475*44/12</f>
        <v>4.9104203741047936E-3</v>
      </c>
      <c r="AC56" s="24">
        <f t="shared" si="3"/>
        <v>3.19960997658014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281</v>
      </c>
      <c r="AJ56" s="14">
        <f>AI56*VLOOKUP('Données projet'!$B$10,Paramètres!$A$1:$I$89,3,0)*VLOOKUP('Données projet'!$B$10,Paramètres!$A$1:$I$89,5,0)</f>
        <v>131.50800000000001</v>
      </c>
      <c r="AK56" s="14">
        <f t="shared" si="35"/>
        <v>34.344579617082509</v>
      </c>
      <c r="AL56" s="22">
        <f t="shared" si="4"/>
        <v>288.85990949975201</v>
      </c>
      <c r="AM56" s="62">
        <f t="shared" si="5"/>
        <v>582.19324283308538</v>
      </c>
      <c r="AN56" s="62">
        <f ca="1">AVERAGE(OFFSET($AM$3,0,0,'Données projet'!$E$10+1,1))-AVERAGE(OFFSET($H$3,0,0,'Données projet'!$E$10+1,1))</f>
        <v>173.76802753906867</v>
      </c>
      <c r="AO56" s="62">
        <f t="shared" si="36"/>
        <v>153.4527010894717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2">
        <f t="shared" si="32"/>
        <v>8.1929174784004761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70">
        <f t="shared" si="1"/>
        <v>352.84071460821417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287.69656598881124</v>
      </c>
      <c r="T57" s="62">
        <f t="shared" si="34"/>
        <v>221.9773436301067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3.1073403288396335</v>
      </c>
      <c r="AB57" s="23">
        <f>EXP(-LN(2)/2)*AB56+(1-EXP(-LN(2)/2))/(LN(2)/2)*V57*Y57*VLOOKUP('Données projet'!$B$9,Paramètres!$A$1:$I$89,3,0)*0.475*44/12</f>
        <v>3.4721915450060831E-3</v>
      </c>
      <c r="AC57" s="24">
        <f t="shared" si="3"/>
        <v>3.1108125203846395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289</v>
      </c>
      <c r="AJ57" s="14">
        <f>AI57*VLOOKUP('Données projet'!$B$10,Paramètres!$A$1:$I$89,3,0)*VLOOKUP('Données projet'!$B$10,Paramètres!$A$1:$I$89,5,0)</f>
        <v>135.25199999999998</v>
      </c>
      <c r="AK57" s="14">
        <f t="shared" si="35"/>
        <v>35.207130861518152</v>
      </c>
      <c r="AL57" s="22">
        <f t="shared" si="4"/>
        <v>296.88298625047742</v>
      </c>
      <c r="AM57" s="62">
        <f t="shared" si="5"/>
        <v>590.21631958381067</v>
      </c>
      <c r="AN57" s="62">
        <f ca="1">AVERAGE(OFFSET($AM$3,0,0,'Données projet'!$E$10+1,1))-AVERAGE(OFFSET($H$3,0,0,'Données projet'!$E$10+1,1))</f>
        <v>173.76802753906867</v>
      </c>
      <c r="AO57" s="62">
        <f t="shared" si="36"/>
        <v>153.4527010894717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2">
        <f t="shared" si="32"/>
        <v>8.3268343824014242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70">
        <f t="shared" si="1"/>
        <v>353.91169488268253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287.69656598881124</v>
      </c>
      <c r="T58" s="62">
        <f t="shared" si="34"/>
        <v>221.9773436301067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3.0223699441395877</v>
      </c>
      <c r="AB58" s="23">
        <f>EXP(-LN(2)/2)*AB57+(1-EXP(-LN(2)/2))/(LN(2)/2)*V58*Y58*VLOOKUP('Données projet'!$B$9,Paramètres!$A$1:$I$89,3,0)*0.475*44/12</f>
        <v>2.4552101870523968E-3</v>
      </c>
      <c r="AC58" s="24">
        <f t="shared" si="3"/>
        <v>3.0248251543266402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297</v>
      </c>
      <c r="AJ58" s="14">
        <f>AI58*VLOOKUP('Données projet'!$B$10,Paramètres!$A$1:$I$89,3,0)*VLOOKUP('Données projet'!$B$10,Paramètres!$A$1:$I$89,5,0)</f>
        <v>138.99600000000001</v>
      </c>
      <c r="AK58" s="14">
        <f t="shared" si="35"/>
        <v>36.066906938767758</v>
      </c>
      <c r="AL58" s="22">
        <f t="shared" si="4"/>
        <v>304.90122958502047</v>
      </c>
      <c r="AM58" s="62">
        <f t="shared" si="5"/>
        <v>598.23456291835373</v>
      </c>
      <c r="AN58" s="62">
        <f ca="1">AVERAGE(OFFSET($AM$3,0,0,'Données projet'!$E$10+1,1))-AVERAGE(OFFSET($H$3,0,0,'Données projet'!$E$10+1,1))</f>
        <v>173.76802753906867</v>
      </c>
      <c r="AO58" s="62">
        <f t="shared" si="36"/>
        <v>153.4527010894717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2">
        <f t="shared" si="32"/>
        <v>8.4604681527401535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70">
        <f t="shared" si="1"/>
        <v>354.98218203268914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287.69656598881124</v>
      </c>
      <c r="T59" s="62">
        <f t="shared" si="34"/>
        <v>221.9773436301067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2.939723079077563</v>
      </c>
      <c r="AB59" s="23">
        <f>EXP(-LN(2)/2)*AB58+(1-EXP(-LN(2)/2))/(LN(2)/2)*V59*Y59*VLOOKUP('Données projet'!$B$9,Paramètres!$A$1:$I$89,3,0)*0.475*44/12</f>
        <v>1.7360957725030416E-3</v>
      </c>
      <c r="AC59" s="24">
        <f t="shared" si="3"/>
        <v>2.941459174850066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8</v>
      </c>
      <c r="AI59" s="14">
        <f>IF('Données projet'!$A$62&gt;35,AI58+AH59-AQ58,IF(A59&lt;'Données projet'!$A$62,$AF$205^A59,IF(A59='Données projet'!$A$62,'Données projet'!$B$62,AI58+AH59-AQ58)))</f>
        <v>305</v>
      </c>
      <c r="AJ59" s="14">
        <f>AI59*VLOOKUP('Données projet'!$B$10,Paramètres!$A$1:$I$89,3,0)*VLOOKUP('Données projet'!$B$10,Paramètres!$A$1:$I$89,5,0)</f>
        <v>142.74</v>
      </c>
      <c r="AK59" s="14">
        <f t="shared" si="35"/>
        <v>36.923991191656064</v>
      </c>
      <c r="AL59" s="22">
        <f t="shared" si="4"/>
        <v>312.91478465880101</v>
      </c>
      <c r="AM59" s="62">
        <f t="shared" si="5"/>
        <v>606.24811799213433</v>
      </c>
      <c r="AN59" s="62">
        <f ca="1">AVERAGE(OFFSET($AM$3,0,0,'Données projet'!$E$10+1,1))-AVERAGE(OFFSET($H$3,0,0,'Données projet'!$E$10+1,1))</f>
        <v>173.76802753906867</v>
      </c>
      <c r="AO59" s="62">
        <f t="shared" si="36"/>
        <v>153.4527010894717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2">
        <f t="shared" si="32"/>
        <v>8.5938244286305778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70">
        <f t="shared" si="1"/>
        <v>356.05218587986496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287.69656598881124</v>
      </c>
      <c r="T60" s="62">
        <f t="shared" si="34"/>
        <v>221.9773436301067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2.8593361968868694</v>
      </c>
      <c r="AB60" s="23">
        <f>EXP(-LN(2)/2)*AB59+(1-EXP(-LN(2)/2))/(LN(2)/2)*V60*Y60*VLOOKUP('Données projet'!$B$9,Paramètres!$A$1:$I$89,3,0)*0.475*44/12</f>
        <v>1.2276050935261984E-3</v>
      </c>
      <c r="AC60" s="24">
        <f t="shared" si="3"/>
        <v>2.8605638019803954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8</v>
      </c>
      <c r="AI60" s="14">
        <f>IF('Données projet'!$A$62&gt;35,AI59+AH60-AQ59,IF(A60&lt;'Données projet'!$A$62,$AF$205^A60,IF(A60='Données projet'!$A$62,'Données projet'!$B$62,AI59+AH60-AQ59)))</f>
        <v>313</v>
      </c>
      <c r="AJ60" s="14">
        <f>AI60*VLOOKUP('Données projet'!$B$10,Paramètres!$A$1:$I$89,3,0)*VLOOKUP('Données projet'!$B$10,Paramètres!$A$1:$I$89,5,0)</f>
        <v>146.48400000000001</v>
      </c>
      <c r="AK60" s="14">
        <f t="shared" si="35"/>
        <v>37.778462341926023</v>
      </c>
      <c r="AL60" s="22">
        <f t="shared" si="4"/>
        <v>320.9237885788545</v>
      </c>
      <c r="AM60" s="62">
        <f t="shared" si="5"/>
        <v>614.25712191218781</v>
      </c>
      <c r="AN60" s="62">
        <f ca="1">AVERAGE(OFFSET($AM$3,0,0,'Données projet'!$E$10+1,1))-AVERAGE(OFFSET($H$3,0,0,'Données projet'!$E$10+1,1))</f>
        <v>173.76802753906867</v>
      </c>
      <c r="AO60" s="62">
        <f t="shared" si="36"/>
        <v>153.4527010894717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2">
        <f t="shared" si="32"/>
        <v>8.7269086400851155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70">
        <f t="shared" si="1"/>
        <v>357.12171588148163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287.69656598881124</v>
      </c>
      <c r="T61" s="62">
        <f t="shared" si="34"/>
        <v>221.9773436301067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2.7811474982170425</v>
      </c>
      <c r="AB61" s="23">
        <f>EXP(-LN(2)/2)*AB60+(1-EXP(-LN(2)/2))/(LN(2)/2)*V61*Y61*VLOOKUP('Données projet'!$B$9,Paramètres!$A$1:$I$89,3,0)*0.475*44/12</f>
        <v>8.6804788625152078E-4</v>
      </c>
      <c r="AC61" s="24">
        <f t="shared" si="3"/>
        <v>2.782015546103294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8</v>
      </c>
      <c r="AI61" s="14">
        <f>IF('Données projet'!$A$62&gt;35,AI60+AH61-AQ60,IF(A61&lt;'Données projet'!$A$62,$AF$205^A61,IF(A61='Données projet'!$A$62,'Données projet'!$B$62,AI60+AH61-AQ60)))</f>
        <v>321</v>
      </c>
      <c r="AJ61" s="14">
        <f>AI61*VLOOKUP('Données projet'!$B$10,Paramètres!$A$1:$I$89,3,0)*VLOOKUP('Données projet'!$B$10,Paramètres!$A$1:$I$89,5,0)</f>
        <v>150.22800000000001</v>
      </c>
      <c r="AK61" s="14">
        <f t="shared" si="35"/>
        <v>38.630394857933659</v>
      </c>
      <c r="AL61" s="22">
        <f t="shared" si="4"/>
        <v>328.92837104423444</v>
      </c>
      <c r="AM61" s="62">
        <f t="shared" si="5"/>
        <v>622.26170437756775</v>
      </c>
      <c r="AN61" s="62">
        <f ca="1">AVERAGE(OFFSET($AM$3,0,0,'Données projet'!$E$10+1,1))-AVERAGE(OFFSET($H$3,0,0,'Données projet'!$E$10+1,1))</f>
        <v>173.76802753906867</v>
      </c>
      <c r="AO61" s="62">
        <f t="shared" si="36"/>
        <v>153.4527010894717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2">
        <f t="shared" si="32"/>
        <v>8.8597260191462528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70">
        <f t="shared" si="1"/>
        <v>358.19078115001309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287.69656598881124</v>
      </c>
      <c r="T62" s="62">
        <f t="shared" si="34"/>
        <v>221.9773436301067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2.705096873624107</v>
      </c>
      <c r="AB62" s="23">
        <f>EXP(-LN(2)/2)*AB61+(1-EXP(-LN(2)/2))/(LN(2)/2)*V62*Y62*VLOOKUP('Données projet'!$B$9,Paramètres!$A$1:$I$89,3,0)*0.475*44/12</f>
        <v>6.138025467630992E-4</v>
      </c>
      <c r="AC62" s="24">
        <f t="shared" si="3"/>
        <v>2.7057106761708702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8</v>
      </c>
      <c r="AI62" s="14">
        <f>IF('Données projet'!$A$62&gt;35,AI61+AH62-AQ61,IF(A62&lt;'Données projet'!$A$62,$AF$205^A62,IF(A62='Données projet'!$A$62,'Données projet'!$B$62,AI61+AH62-AQ61)))</f>
        <v>329</v>
      </c>
      <c r="AJ62" s="14">
        <f>AI62*VLOOKUP('Données projet'!$B$10,Paramètres!$A$1:$I$89,3,0)*VLOOKUP('Données projet'!$B$10,Paramètres!$A$1:$I$89,5,0)</f>
        <v>153.97200000000001</v>
      </c>
      <c r="AK62" s="14">
        <f t="shared" si="35"/>
        <v>39.479859284656378</v>
      </c>
      <c r="AL62" s="22">
        <f t="shared" si="4"/>
        <v>336.92865492077652</v>
      </c>
      <c r="AM62" s="62">
        <f t="shared" si="5"/>
        <v>630.26198825410984</v>
      </c>
      <c r="AN62" s="62">
        <f ca="1">AVERAGE(OFFSET($AM$3,0,0,'Données projet'!$E$10+1,1))-AVERAGE(OFFSET($H$3,0,0,'Données projet'!$E$10+1,1))</f>
        <v>173.76802753906867</v>
      </c>
      <c r="AO62" s="62">
        <f t="shared" si="36"/>
        <v>153.4527010894717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2">
        <f t="shared" si="32"/>
        <v>8.9922816103350858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70">
        <f t="shared" si="1"/>
        <v>359.25939047133363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287.69656598881124</v>
      </c>
      <c r="T63" s="62">
        <f t="shared" si="34"/>
        <v>221.9773436301067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2.6311258573599936</v>
      </c>
      <c r="AB63" s="23">
        <f>EXP(-LN(2)/2)*AB62+(1-EXP(-LN(2)/2))/(LN(2)/2)*V63*Y63*VLOOKUP('Données projet'!$B$9,Paramètres!$A$1:$I$89,3,0)*0.475*44/12</f>
        <v>4.3402394312576039E-4</v>
      </c>
      <c r="AC63" s="24">
        <f t="shared" si="3"/>
        <v>2.6315598813031196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337</v>
      </c>
      <c r="AG63" s="13">
        <f>VLOOKUP(A63,'Données projet'!$A$61:$I$81,9,0)</f>
        <v>8</v>
      </c>
      <c r="AH63" s="13">
        <f t="array" ref="AH63">INDEX(AG:AG,MIN(IF(ISNUMBER(AG63:AG259),ROW(AG63:AG259),"")))</f>
        <v>8</v>
      </c>
      <c r="AI63" s="14">
        <f>IF('Données projet'!$A$62&gt;35,AI62+AH63-AQ62,IF(A63&lt;'Données projet'!$A$62,$AF$205^A63,IF(A63='Données projet'!$A$62,'Données projet'!$B$62,AI62+AH63-AQ62)))</f>
        <v>337</v>
      </c>
      <c r="AJ63" s="14">
        <f>AI63*VLOOKUP('Données projet'!$B$10,Paramètres!$A$1:$I$89,3,0)*VLOOKUP('Données projet'!$B$10,Paramètres!$A$1:$I$89,5,0)</f>
        <v>157.71600000000001</v>
      </c>
      <c r="AK63" s="14">
        <f t="shared" si="35"/>
        <v>40.326922540698838</v>
      </c>
      <c r="AL63" s="22">
        <f t="shared" si="4"/>
        <v>344.92475675838381</v>
      </c>
      <c r="AM63" s="62">
        <f t="shared" si="5"/>
        <v>638.25809009171712</v>
      </c>
      <c r="AN63" s="62">
        <f ca="1">AVERAGE(OFFSET($AM$3,0,0,'Données projet'!$E$10+1,1))-AVERAGE(OFFSET($H$3,0,0,'Données projet'!$E$10+1,1))</f>
        <v>173.76802753906867</v>
      </c>
      <c r="AO63" s="62">
        <f t="shared" si="36"/>
        <v>153.4527010894717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67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2">
        <f t="shared" si="32"/>
        <v>9.1245802803834923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70">
        <f t="shared" si="1"/>
        <v>360.32755232166795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287.69656598881124</v>
      </c>
      <c r="T64" s="62">
        <f t="shared" si="34"/>
        <v>221.9773436301067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2.5591775824255891</v>
      </c>
      <c r="AB64" s="23">
        <f>EXP(-LN(2)/2)*AB63+(1-EXP(-LN(2)/2))/(LN(2)/2)*V64*Y64*VLOOKUP('Données projet'!$B$9,Paramètres!$A$1:$I$89,3,0)*0.475*44/12</f>
        <v>3.069012733815496E-4</v>
      </c>
      <c r="AC64" s="24">
        <f t="shared" si="3"/>
        <v>2.5594844836989705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7.5</v>
      </c>
      <c r="AI64" s="14">
        <f>IF('Données projet'!$A$62&gt;35,AI63+AH64-AQ63,IF(A64&lt;'Données projet'!$A$62,$AF$205^A64,IF(A64='Données projet'!$A$62,'Données projet'!$B$62,AI63+AH64-AQ63)))</f>
        <v>277.5</v>
      </c>
      <c r="AJ64" s="14">
        <f>AI64*VLOOKUP('Données projet'!$B$10,Paramètres!$A$1:$I$89,3,0)*VLOOKUP('Données projet'!$B$10,Paramètres!$A$1:$I$89,5,0)</f>
        <v>129.87</v>
      </c>
      <c r="AK64" s="14">
        <f t="shared" si="35"/>
        <v>33.966318400312318</v>
      </c>
      <c r="AL64" s="22">
        <f t="shared" si="4"/>
        <v>285.34825454721067</v>
      </c>
      <c r="AM64" s="62">
        <f t="shared" si="5"/>
        <v>578.68158788054393</v>
      </c>
      <c r="AN64" s="62">
        <f ca="1">AVERAGE(OFFSET($AM$3,0,0,'Données projet'!$E$10+1,1))-AVERAGE(OFFSET($H$3,0,0,'Données projet'!$E$10+1,1))</f>
        <v>173.76802753906867</v>
      </c>
      <c r="AO64" s="62">
        <f t="shared" si="36"/>
        <v>153.4527010894717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2">
        <f t="shared" si="32"/>
        <v>9.2566267273101186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70">
        <f t="shared" si="1"/>
        <v>361.39527488339854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287.69656598881124</v>
      </c>
      <c r="T65" s="62">
        <f t="shared" si="34"/>
        <v>221.9773436301067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2.4891967368528616</v>
      </c>
      <c r="AB65" s="23">
        <f>EXP(-LN(2)/2)*AB64+(1-EXP(-LN(2)/2))/(LN(2)/2)*V65*Y65*VLOOKUP('Données projet'!$B$9,Paramètres!$A$1:$I$89,3,0)*0.475*44/12</f>
        <v>2.170119715628802E-4</v>
      </c>
      <c r="AC65" s="24">
        <f t="shared" si="3"/>
        <v>2.4894137488244246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7.5</v>
      </c>
      <c r="AI65" s="14">
        <f>IF('Données projet'!$A$62&gt;35,AI64+AH65-AQ64,IF(A65&lt;'Données projet'!$A$62,$AF$205^A65,IF(A65='Données projet'!$A$62,'Données projet'!$B$62,AI64+AH65-AQ64)))</f>
        <v>285</v>
      </c>
      <c r="AJ65" s="14">
        <f>AI65*VLOOKUP('Données projet'!$B$10,Paramètres!$A$1:$I$89,3,0)*VLOOKUP('Données projet'!$B$10,Paramètres!$A$1:$I$89,5,0)</f>
        <v>133.38</v>
      </c>
      <c r="AK65" s="14">
        <f t="shared" si="35"/>
        <v>34.776207535548991</v>
      </c>
      <c r="AL65" s="22">
        <f t="shared" si="4"/>
        <v>292.8720614577478</v>
      </c>
      <c r="AM65" s="62">
        <f t="shared" si="5"/>
        <v>586.20539479108106</v>
      </c>
      <c r="AN65" s="62">
        <f ca="1">AVERAGE(OFFSET($AM$3,0,0,'Données projet'!$E$10+1,1))-AVERAGE(OFFSET($H$3,0,0,'Données projet'!$E$10+1,1))</f>
        <v>173.76802753906867</v>
      </c>
      <c r="AO65" s="62">
        <f t="shared" si="36"/>
        <v>153.4527010894717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2">
        <f t="shared" si="32"/>
        <v>9.3884254888941534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70">
        <f t="shared" si="1"/>
        <v>362.46256605982404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287.69656598881124</v>
      </c>
      <c r="T66" s="62">
        <f t="shared" si="34"/>
        <v>221.9773436301067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2.4211295211824528</v>
      </c>
      <c r="AB66" s="23">
        <f>EXP(-LN(2)/2)*AB65+(1-EXP(-LN(2)/2))/(LN(2)/2)*V66*Y66*VLOOKUP('Données projet'!$B$9,Paramètres!$A$1:$I$89,3,0)*0.475*44/12</f>
        <v>1.534506366907748E-4</v>
      </c>
      <c r="AC66" s="24">
        <f t="shared" si="3"/>
        <v>2.4212829718191435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7.5</v>
      </c>
      <c r="AI66" s="14">
        <f>IF('Données projet'!$A$62&gt;35,AI65+AH66-AQ65,IF(A66&lt;'Données projet'!$A$62,$AF$205^A66,IF(A66='Données projet'!$A$62,'Données projet'!$B$62,AI65+AH66-AQ65)))</f>
        <v>292.5</v>
      </c>
      <c r="AJ66" s="14">
        <f>AI66*VLOOKUP('Données projet'!$B$10,Paramètres!$A$1:$I$89,3,0)*VLOOKUP('Données projet'!$B$10,Paramètres!$A$1:$I$89,5,0)</f>
        <v>136.89000000000001</v>
      </c>
      <c r="AK66" s="14">
        <f t="shared" si="35"/>
        <v>35.583619346017713</v>
      </c>
      <c r="AL66" s="22">
        <f t="shared" si="4"/>
        <v>300.39155369431421</v>
      </c>
      <c r="AM66" s="62">
        <f t="shared" si="5"/>
        <v>593.72488702764758</v>
      </c>
      <c r="AN66" s="62">
        <f ca="1">AVERAGE(OFFSET($AM$3,0,0,'Données projet'!$E$10+1,1))-AVERAGE(OFFSET($H$3,0,0,'Données projet'!$E$10+1,1))</f>
        <v>173.76802753906867</v>
      </c>
      <c r="AO66" s="62">
        <f t="shared" si="36"/>
        <v>153.4527010894717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2">
        <f t="shared" si="32"/>
        <v>9.5199809505958548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70">
        <f t="shared" si="1"/>
        <v>363.52943348895451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287.69656598881124</v>
      </c>
      <c r="T67" s="62">
        <f t="shared" si="34"/>
        <v>221.9773436301067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2.3549236071040509</v>
      </c>
      <c r="AB67" s="23">
        <f>EXP(-LN(2)/2)*AB66+(1-EXP(-LN(2)/2))/(LN(2)/2)*V67*Y67*VLOOKUP('Données projet'!$B$9,Paramètres!$A$1:$I$89,3,0)*0.475*44/12</f>
        <v>1.085059857814401E-4</v>
      </c>
      <c r="AC67" s="24">
        <f t="shared" si="3"/>
        <v>2.3550321130898322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7.5</v>
      </c>
      <c r="AI67" s="14">
        <f>IF('Données projet'!$A$62&gt;35,AI66+AH67-AQ66,IF(A67&lt;'Données projet'!$A$62,$AF$205^A67,IF(A67='Données projet'!$A$62,'Données projet'!$B$62,AI66+AH67-AQ66)))</f>
        <v>300</v>
      </c>
      <c r="AJ67" s="14">
        <f>AI67*VLOOKUP('Données projet'!$B$10,Paramètres!$A$1:$I$89,3,0)*VLOOKUP('Données projet'!$B$10,Paramètres!$A$1:$I$89,5,0)</f>
        <v>140.4</v>
      </c>
      <c r="AK67" s="14">
        <f t="shared" si="35"/>
        <v>36.388624656711201</v>
      </c>
      <c r="AL67" s="22">
        <f t="shared" si="4"/>
        <v>307.90685461043864</v>
      </c>
      <c r="AM67" s="62">
        <f t="shared" si="5"/>
        <v>601.24018794377196</v>
      </c>
      <c r="AN67" s="62">
        <f ca="1">AVERAGE(OFFSET($AM$3,0,0,'Données projet'!$E$10+1,1))-AVERAGE(OFFSET($H$3,0,0,'Données projet'!$E$10+1,1))</f>
        <v>173.76802753906867</v>
      </c>
      <c r="AO67" s="62">
        <f t="shared" si="36"/>
        <v>153.4527010894717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2">
        <f t="shared" si="32"/>
        <v>9.6512973529679762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70">
        <f t="shared" ref="H68:H131" si="56">(B68+E68+F68)*44/12+(C68+D68)*0.475*44/12</f>
        <v>364.59588455641932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287.69656598881124</v>
      </c>
      <c r="T68" s="62">
        <f t="shared" si="34"/>
        <v>221.9773436301067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2.2905280972277402</v>
      </c>
      <c r="AB68" s="23">
        <f>EXP(-LN(2)/2)*AB67+(1-EXP(-LN(2)/2))/(LN(2)/2)*V68*Y68*VLOOKUP('Données projet'!$B$9,Paramètres!$A$1:$I$89,3,0)*0.475*44/12</f>
        <v>7.6725318345387399E-5</v>
      </c>
      <c r="AC68" s="24">
        <f t="shared" ref="AC68:AC131" si="57">SUM(Z68:AB68)</f>
        <v>2.2906048225460856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7.5</v>
      </c>
      <c r="AI68" s="14">
        <f>IF('Données projet'!$A$62&gt;35,AI67+AH68-AQ67,IF(A68&lt;'Données projet'!$A$62,$AF$205^A68,IF(A68='Données projet'!$A$62,'Données projet'!$B$62,AI67+AH68-AQ67)))</f>
        <v>307.5</v>
      </c>
      <c r="AJ68" s="14">
        <f>AI68*VLOOKUP('Données projet'!$B$10,Paramètres!$A$1:$I$89,3,0)*VLOOKUP('Données projet'!$B$10,Paramètres!$A$1:$I$89,5,0)</f>
        <v>143.91</v>
      </c>
      <c r="AK68" s="14">
        <f t="shared" si="35"/>
        <v>37.191290549543432</v>
      </c>
      <c r="AL68" s="22">
        <f t="shared" ref="AL68:AL131" si="58">(AJ68+AK68)*0.475*44/12</f>
        <v>315.41808104045475</v>
      </c>
      <c r="AM68" s="62">
        <f t="shared" ref="AM68:AM131" si="59">AL68+(AD68+AE68)*44/12</f>
        <v>608.75141437378807</v>
      </c>
      <c r="AN68" s="62">
        <f ca="1">AVERAGE(OFFSET($AM$3,0,0,'Données projet'!$E$10+1,1))-AVERAGE(OFFSET($H$3,0,0,'Données projet'!$E$10+1,1))</f>
        <v>173.76802753906867</v>
      </c>
      <c r="AO68" s="62">
        <f t="shared" si="36"/>
        <v>153.4527010894717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2">
        <f t="shared" ref="D69:D132" si="86">IFERROR(EXP(-1.0587+0.8836*LN(C69)+0.284),0)</f>
        <v>9.7823787985981756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70">
        <f t="shared" si="56"/>
        <v>365.66192640755855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287.69656598881124</v>
      </c>
      <c r="T69" s="62">
        <f t="shared" ref="T69:T132" si="88">$T$3</f>
        <v>221.9773436301067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2.22789348595541</v>
      </c>
      <c r="AB69" s="23">
        <f>EXP(-LN(2)/2)*AB68+(1-EXP(-LN(2)/2))/(LN(2)/2)*V69*Y69*VLOOKUP('Données projet'!$B$9,Paramètres!$A$1:$I$89,3,0)*0.475*44/12</f>
        <v>5.4252992890720049E-5</v>
      </c>
      <c r="AC69" s="24">
        <f t="shared" si="57"/>
        <v>2.2279477389483007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7.5</v>
      </c>
      <c r="AI69" s="14">
        <f>IF('Données projet'!$A$62&gt;35,AI68+AH69-AQ68,IF(A69&lt;'Données projet'!$A$62,$AF$205^A69,IF(A69='Données projet'!$A$62,'Données projet'!$B$62,AI68+AH69-AQ68)))</f>
        <v>315</v>
      </c>
      <c r="AJ69" s="14">
        <f>AI69*VLOOKUP('Données projet'!$B$10,Paramètres!$A$1:$I$89,3,0)*VLOOKUP('Données projet'!$B$10,Paramètres!$A$1:$I$89,5,0)</f>
        <v>147.41999999999999</v>
      </c>
      <c r="AK69" s="14">
        <f t="shared" ref="AK69:AK132" si="89">EXP(-1.0587+0.8836*LN(AJ69)+0.284)</f>
        <v>37.991680647570291</v>
      </c>
      <c r="AL69" s="22">
        <f t="shared" si="58"/>
        <v>322.92534379451826</v>
      </c>
      <c r="AM69" s="62">
        <f t="shared" si="59"/>
        <v>616.25867712785157</v>
      </c>
      <c r="AN69" s="62">
        <f ca="1">AVERAGE(OFFSET($AM$3,0,0,'Données projet'!$E$10+1,1))-AVERAGE(OFFSET($H$3,0,0,'Données projet'!$E$10+1,1))</f>
        <v>173.76802753906867</v>
      </c>
      <c r="AO69" s="62">
        <f t="shared" ref="AO69:AO132" si="90">$AO$3</f>
        <v>153.4527010894717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2">
        <f t="shared" si="86"/>
        <v>9.9132292586187312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70">
        <f t="shared" si="56"/>
        <v>366.72756595876103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287.69656598881124</v>
      </c>
      <c r="T70" s="62">
        <f t="shared" si="88"/>
        <v>221.9773436301067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2.1669716214221326</v>
      </c>
      <c r="AB70" s="23">
        <f>EXP(-LN(2)/2)*AB69+(1-EXP(-LN(2)/2))/(LN(2)/2)*V70*Y70*VLOOKUP('Données projet'!$B$9,Paramètres!$A$1:$I$89,3,0)*0.475*44/12</f>
        <v>3.83626591726937E-5</v>
      </c>
      <c r="AC70" s="24">
        <f t="shared" si="57"/>
        <v>2.1670099840813055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7.5</v>
      </c>
      <c r="AI70" s="14">
        <f>IF('Données projet'!$A$62&gt;35,AI69+AH70-AQ69,IF(A70&lt;'Données projet'!$A$62,$AF$205^A70,IF(A70='Données projet'!$A$62,'Données projet'!$B$62,AI69+AH70-AQ69)))</f>
        <v>322.5</v>
      </c>
      <c r="AJ70" s="14">
        <f>AI70*VLOOKUP('Données projet'!$B$10,Paramètres!$A$1:$I$89,3,0)*VLOOKUP('Données projet'!$B$10,Paramètres!$A$1:$I$89,5,0)</f>
        <v>150.93</v>
      </c>
      <c r="AK70" s="14">
        <f t="shared" si="89"/>
        <v>38.789855371379076</v>
      </c>
      <c r="AL70" s="22">
        <f t="shared" si="58"/>
        <v>330.4287481051519</v>
      </c>
      <c r="AM70" s="62">
        <f t="shared" si="59"/>
        <v>623.76208143848521</v>
      </c>
      <c r="AN70" s="62">
        <f ca="1">AVERAGE(OFFSET($AM$3,0,0,'Données projet'!$E$10+1,1))-AVERAGE(OFFSET($H$3,0,0,'Données projet'!$E$10+1,1))</f>
        <v>173.76802753906867</v>
      </c>
      <c r="AO70" s="62">
        <f t="shared" si="90"/>
        <v>153.4527010894717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2">
        <f t="shared" si="86"/>
        <v>10.043852578816578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70">
        <f t="shared" si="56"/>
        <v>367.7928099081056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287.69656598881124</v>
      </c>
      <c r="T71" s="62">
        <f t="shared" si="88"/>
        <v>221.9773436301067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2.1077156684782596</v>
      </c>
      <c r="AB71" s="23">
        <f>EXP(-LN(2)/2)*AB70+(1-EXP(-LN(2)/2))/(LN(2)/2)*V71*Y71*VLOOKUP('Données projet'!$B$9,Paramètres!$A$1:$I$89,3,0)*0.475*44/12</f>
        <v>2.7126496445360025E-5</v>
      </c>
      <c r="AC71" s="24">
        <f t="shared" si="57"/>
        <v>2.1077427949747052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7.5</v>
      </c>
      <c r="AI71" s="14">
        <f>IF('Données projet'!$A$62&gt;35,AI70+AH71-AQ70,IF(A71&lt;'Données projet'!$A$62,$AF$205^A71,IF(A71='Données projet'!$A$62,'Données projet'!$B$62,AI70+AH71-AQ70)))</f>
        <v>330</v>
      </c>
      <c r="AJ71" s="14">
        <f>AI71*VLOOKUP('Données projet'!$B$10,Paramètres!$A$1:$I$89,3,0)*VLOOKUP('Données projet'!$B$10,Paramètres!$A$1:$I$89,5,0)</f>
        <v>154.44</v>
      </c>
      <c r="AK71" s="14">
        <f t="shared" si="89"/>
        <v>39.58587217095549</v>
      </c>
      <c r="AL71" s="22">
        <f t="shared" si="58"/>
        <v>337.92839403108081</v>
      </c>
      <c r="AM71" s="62">
        <f t="shared" si="59"/>
        <v>631.26172736441413</v>
      </c>
      <c r="AN71" s="62">
        <f ca="1">AVERAGE(OFFSET($AM$3,0,0,'Données projet'!$E$10+1,1))-AVERAGE(OFFSET($H$3,0,0,'Données projet'!$E$10+1,1))</f>
        <v>173.76802753906867</v>
      </c>
      <c r="AO71" s="62">
        <f t="shared" si="90"/>
        <v>153.4527010894717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2">
        <f t="shared" si="86"/>
        <v>10.174252485373691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70">
        <f t="shared" si="56"/>
        <v>368.85766474535927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287.69656598881124</v>
      </c>
      <c r="T72" s="62">
        <f t="shared" si="88"/>
        <v>221.9773436301067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2.0500800726837718</v>
      </c>
      <c r="AB72" s="23">
        <f>EXP(-LN(2)/2)*AB71+(1-EXP(-LN(2)/2))/(LN(2)/2)*V72*Y72*VLOOKUP('Données projet'!$B$9,Paramètres!$A$1:$I$89,3,0)*0.475*44/12</f>
        <v>1.918132958634685E-5</v>
      </c>
      <c r="AC72" s="24">
        <f t="shared" si="57"/>
        <v>2.0500992540133582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7.5</v>
      </c>
      <c r="AI72" s="14">
        <f>IF('Données projet'!$A$62&gt;35,AI71+AH72-AQ71,IF(A72&lt;'Données projet'!$A$62,$AF$205^A72,IF(A72='Données projet'!$A$62,'Données projet'!$B$62,AI71+AH72-AQ71)))</f>
        <v>337.5</v>
      </c>
      <c r="AJ72" s="14">
        <f>AI72*VLOOKUP('Données projet'!$B$10,Paramètres!$A$1:$I$89,3,0)*VLOOKUP('Données projet'!$B$10,Paramètres!$A$1:$I$89,5,0)</f>
        <v>157.95000000000002</v>
      </c>
      <c r="AK72" s="14">
        <f t="shared" si="89"/>
        <v>40.379785735878301</v>
      </c>
      <c r="AL72" s="22">
        <f t="shared" si="58"/>
        <v>345.42437682332138</v>
      </c>
      <c r="AM72" s="62">
        <f t="shared" si="59"/>
        <v>638.75771015665464</v>
      </c>
      <c r="AN72" s="62">
        <f ca="1">AVERAGE(OFFSET($AM$3,0,0,'Données projet'!$E$10+1,1))-AVERAGE(OFFSET($H$3,0,0,'Données projet'!$E$10+1,1))</f>
        <v>173.76802753906867</v>
      </c>
      <c r="AO72" s="62">
        <f t="shared" si="90"/>
        <v>153.4527010894717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2">
        <f t="shared" si="86"/>
        <v>10.304432590265302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70">
        <f t="shared" si="56"/>
        <v>369.92213676137879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287.69656598881124</v>
      </c>
      <c r="T73" s="62">
        <f t="shared" si="88"/>
        <v>221.9773436301067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1.9940205252872085</v>
      </c>
      <c r="AB73" s="23">
        <f>EXP(-LN(2)/2)*AB72+(1-EXP(-LN(2)/2))/(LN(2)/2)*V73*Y73*VLOOKUP('Données projet'!$B$9,Paramètres!$A$1:$I$89,3,0)*0.475*44/12</f>
        <v>1.3563248222680012E-5</v>
      </c>
      <c r="AC73" s="24">
        <f t="shared" si="57"/>
        <v>1.9940340885354313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345</v>
      </c>
      <c r="AG73" s="13">
        <f>VLOOKUP(A73,'Données projet'!$A$61:$I$81,9,0)</f>
        <v>7.5</v>
      </c>
      <c r="AH73" s="13">
        <f t="array" ref="AH73">INDEX(AG:AG,MIN(IF(ISNUMBER(AG73:AG269),ROW(AG73:AG269),"")))</f>
        <v>7.5</v>
      </c>
      <c r="AI73" s="14">
        <f>IF('Données projet'!$A$62&gt;35,AI72+AH73-AQ72,IF(A73&lt;'Données projet'!$A$62,$AF$205^A73,IF(A73='Données projet'!$A$62,'Données projet'!$B$62,AI72+AH73-AQ72)))</f>
        <v>345</v>
      </c>
      <c r="AJ73" s="14">
        <f>AI73*VLOOKUP('Données projet'!$B$10,Paramètres!$A$1:$I$89,3,0)*VLOOKUP('Données projet'!$B$10,Paramètres!$A$1:$I$89,5,0)</f>
        <v>161.45999999999998</v>
      </c>
      <c r="AK73" s="14">
        <f t="shared" si="89"/>
        <v>41.171648186302534</v>
      </c>
      <c r="AL73" s="22">
        <f t="shared" si="58"/>
        <v>352.9167872578102</v>
      </c>
      <c r="AM73" s="62">
        <f t="shared" si="59"/>
        <v>646.25012059114351</v>
      </c>
      <c r="AN73" s="62">
        <f ca="1">AVERAGE(OFFSET($AM$3,0,0,'Données projet'!$E$10+1,1))-AVERAGE(OFFSET($H$3,0,0,'Données projet'!$E$10+1,1))</f>
        <v>173.76802753906867</v>
      </c>
      <c r="AO73" s="62">
        <f t="shared" si="90"/>
        <v>153.4527010894717</v>
      </c>
      <c r="AP73" s="16">
        <f>IF(ISNA(VLOOKUP(A73,'Données projet'!$A$61:$I$81,3,0)),0,VLOOKUP(A73,'Données projet'!$A$61:$I$81,3,0))</f>
        <v>6</v>
      </c>
      <c r="AQ73" s="16">
        <f>IF(ISNA(VLOOKUP(A73,'Données projet'!$A$61:$I$81,4,0)),0,VLOOKUP(A73,'Données projet'!$A$61:$I$81,4,0))</f>
        <v>69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2">
        <f t="shared" si="86"/>
        <v>10.434396396340826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70">
        <f t="shared" si="56"/>
        <v>370.98623205696038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287.69656598881124</v>
      </c>
      <c r="T74" s="62">
        <f t="shared" si="88"/>
        <v>221.9773436301067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1.9394939291622477</v>
      </c>
      <c r="AB74" s="23">
        <f>EXP(-LN(2)/2)*AB73+(1-EXP(-LN(2)/2))/(LN(2)/2)*V74*Y74*VLOOKUP('Données projet'!$B$9,Paramètres!$A$1:$I$89,3,0)*0.475*44/12</f>
        <v>9.5906647931734249E-6</v>
      </c>
      <c r="AC74" s="24">
        <f t="shared" si="57"/>
        <v>1.9395035198270409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7.7</v>
      </c>
      <c r="AI74" s="14">
        <f>IF('Données projet'!$A$62&gt;35,AI73+AH74-AQ73,IF(A74&lt;'Données projet'!$A$62,$AF$205^A74,IF(A74='Données projet'!$A$62,'Données projet'!$B$62,AI73+AH74-AQ73)))</f>
        <v>283.7</v>
      </c>
      <c r="AJ74" s="14">
        <f>AI74*VLOOKUP('Données projet'!$B$10,Paramètres!$A$1:$I$89,3,0)*VLOOKUP('Données projet'!$B$10,Paramètres!$A$1:$I$89,5,0)</f>
        <v>132.77160000000001</v>
      </c>
      <c r="AK74" s="14">
        <f t="shared" si="89"/>
        <v>34.63600628318656</v>
      </c>
      <c r="AL74" s="22">
        <f t="shared" si="58"/>
        <v>291.56824760988326</v>
      </c>
      <c r="AM74" s="62">
        <f t="shared" si="59"/>
        <v>584.90158094321657</v>
      </c>
      <c r="AN74" s="62">
        <f ca="1">AVERAGE(OFFSET($AM$3,0,0,'Données projet'!$E$10+1,1))-AVERAGE(OFFSET($H$3,0,0,'Données projet'!$E$10+1,1))</f>
        <v>173.76802753906867</v>
      </c>
      <c r="AO74" s="62">
        <f t="shared" si="90"/>
        <v>153.4527010894717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2">
        <f t="shared" si="86"/>
        <v>10.564147302110412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70">
        <f t="shared" si="56"/>
        <v>372.04995655117574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287.69656598881124</v>
      </c>
      <c r="T75" s="62">
        <f t="shared" si="88"/>
        <v>221.9773436301067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1.8864583656757532</v>
      </c>
      <c r="AB75" s="23">
        <f>EXP(-LN(2)/2)*AB74+(1-EXP(-LN(2)/2))/(LN(2)/2)*V75*Y75*VLOOKUP('Données projet'!$B$9,Paramètres!$A$1:$I$89,3,0)*0.475*44/12</f>
        <v>6.7816241113400061E-6</v>
      </c>
      <c r="AC75" s="24">
        <f t="shared" si="57"/>
        <v>1.8864651472998646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7.7</v>
      </c>
      <c r="AI75" s="14">
        <f>IF('Données projet'!$A$62&gt;35,AI74+AH75-AQ74,IF(A75&lt;'Données projet'!$A$62,$AF$205^A75,IF(A75='Données projet'!$A$62,'Données projet'!$B$62,AI74+AH75-AQ74)))</f>
        <v>291.39999999999998</v>
      </c>
      <c r="AJ75" s="14">
        <f>AI75*VLOOKUP('Données projet'!$B$10,Paramètres!$A$1:$I$89,3,0)*VLOOKUP('Données projet'!$B$10,Paramètres!$A$1:$I$89,5,0)</f>
        <v>136.37519999999998</v>
      </c>
      <c r="AK75" s="14">
        <f t="shared" si="89"/>
        <v>35.465351191683979</v>
      </c>
      <c r="AL75" s="22">
        <f t="shared" si="58"/>
        <v>299.28895999218292</v>
      </c>
      <c r="AM75" s="62">
        <f t="shared" si="59"/>
        <v>592.62229332551624</v>
      </c>
      <c r="AN75" s="62">
        <f ca="1">AVERAGE(OFFSET($AM$3,0,0,'Données projet'!$E$10+1,1))-AVERAGE(OFFSET($H$3,0,0,'Données projet'!$E$10+1,1))</f>
        <v>173.76802753906867</v>
      </c>
      <c r="AO75" s="62">
        <f t="shared" si="90"/>
        <v>153.4527010894717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2">
        <f t="shared" si="86"/>
        <v>10.693688606258034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70">
        <f t="shared" si="56"/>
        <v>373.11331598923283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287.69656598881124</v>
      </c>
      <c r="T76" s="62">
        <f t="shared" si="88"/>
        <v>221.9773436301067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1.8348730624618159</v>
      </c>
      <c r="AB76" s="23">
        <f>EXP(-LN(2)/2)*AB75+(1-EXP(-LN(2)/2))/(LN(2)/2)*V76*Y76*VLOOKUP('Données projet'!$B$9,Paramètres!$A$1:$I$89,3,0)*0.475*44/12</f>
        <v>4.7953323965867125E-6</v>
      </c>
      <c r="AC76" s="24">
        <f t="shared" si="57"/>
        <v>1.8348778577942124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7.7</v>
      </c>
      <c r="AI76" s="14">
        <f>IF('Données projet'!$A$62&gt;35,AI75+AH76-AQ75,IF(A76&lt;'Données projet'!$A$62,$AF$205^A76,IF(A76='Données projet'!$A$62,'Données projet'!$B$62,AI75+AH76-AQ75)))</f>
        <v>299.09999999999997</v>
      </c>
      <c r="AJ76" s="14">
        <f>AI76*VLOOKUP('Données projet'!$B$10,Paramètres!$A$1:$I$89,3,0)*VLOOKUP('Données projet'!$B$10,Paramètres!$A$1:$I$89,5,0)</f>
        <v>139.97879999999998</v>
      </c>
      <c r="AK76" s="14">
        <f t="shared" si="89"/>
        <v>36.292148829903653</v>
      </c>
      <c r="AL76" s="22">
        <f t="shared" si="58"/>
        <v>307.00523587874881</v>
      </c>
      <c r="AM76" s="62">
        <f t="shared" si="59"/>
        <v>600.33856921208212</v>
      </c>
      <c r="AN76" s="62">
        <f ca="1">AVERAGE(OFFSET($AM$3,0,0,'Données projet'!$E$10+1,1))-AVERAGE(OFFSET($H$3,0,0,'Données projet'!$E$10+1,1))</f>
        <v>173.76802753906867</v>
      </c>
      <c r="AO76" s="62">
        <f t="shared" si="90"/>
        <v>153.4527010894717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2">
        <f t="shared" si="86"/>
        <v>10.823023511900249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70">
        <f t="shared" si="56"/>
        <v>374.17631594989302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287.69656598881124</v>
      </c>
      <c r="T77" s="62">
        <f t="shared" si="88"/>
        <v>221.9773436301067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1.7846983620770169</v>
      </c>
      <c r="AB77" s="23">
        <f>EXP(-LN(2)/2)*AB76+(1-EXP(-LN(2)/2))/(LN(2)/2)*V77*Y77*VLOOKUP('Données projet'!$B$9,Paramètres!$A$1:$I$89,3,0)*0.475*44/12</f>
        <v>3.3908120556700031E-6</v>
      </c>
      <c r="AC77" s="24">
        <f t="shared" si="57"/>
        <v>1.7847017528890725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7.7</v>
      </c>
      <c r="AI77" s="14">
        <f>IF('Données projet'!$A$62&gt;35,AI76+AH77-AQ76,IF(A77&lt;'Données projet'!$A$62,$AF$205^A77,IF(A77='Données projet'!$A$62,'Données projet'!$B$62,AI76+AH77-AQ76)))</f>
        <v>306.79999999999995</v>
      </c>
      <c r="AJ77" s="14">
        <f>AI77*VLOOKUP('Données projet'!$B$10,Paramètres!$A$1:$I$89,3,0)*VLOOKUP('Données projet'!$B$10,Paramètres!$A$1:$I$89,5,0)</f>
        <v>143.58239999999998</v>
      </c>
      <c r="AK77" s="14">
        <f t="shared" si="89"/>
        <v>37.116472314400653</v>
      </c>
      <c r="AL77" s="22">
        <f t="shared" si="58"/>
        <v>314.71720261424775</v>
      </c>
      <c r="AM77" s="62">
        <f t="shared" si="59"/>
        <v>608.05053594758101</v>
      </c>
      <c r="AN77" s="62">
        <f ca="1">AVERAGE(OFFSET($AM$3,0,0,'Données projet'!$E$10+1,1))-AVERAGE(OFFSET($H$3,0,0,'Données projet'!$E$10+1,1))</f>
        <v>173.76802753906867</v>
      </c>
      <c r="AO77" s="62">
        <f t="shared" si="90"/>
        <v>153.4527010894717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2">
        <f t="shared" si="86"/>
        <v>10.952155130608178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70">
        <f t="shared" si="56"/>
        <v>375.238961852476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287.69656598881124</v>
      </c>
      <c r="T78" s="62">
        <f t="shared" si="88"/>
        <v>221.9773436301067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1.735895691512813</v>
      </c>
      <c r="AB78" s="23">
        <f>EXP(-LN(2)/2)*AB77+(1-EXP(-LN(2)/2))/(LN(2)/2)*V78*Y78*VLOOKUP('Données projet'!$B$9,Paramètres!$A$1:$I$89,3,0)*0.475*44/12</f>
        <v>2.3976661982933562E-6</v>
      </c>
      <c r="AC78" s="24">
        <f t="shared" si="57"/>
        <v>1.7358980891790112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7.7</v>
      </c>
      <c r="AI78" s="14">
        <f>IF('Données projet'!$A$62&gt;35,AI77+AH78-AQ77,IF(A78&lt;'Données projet'!$A$62,$AF$205^A78,IF(A78='Données projet'!$A$62,'Données projet'!$B$62,AI77+AH78-AQ77)))</f>
        <v>314.49999999999994</v>
      </c>
      <c r="AJ78" s="14">
        <f>AI78*VLOOKUP('Données projet'!$B$10,Paramètres!$A$1:$I$89,3,0)*VLOOKUP('Données projet'!$B$10,Paramètres!$A$1:$I$89,5,0)</f>
        <v>147.18599999999998</v>
      </c>
      <c r="AK78" s="14">
        <f t="shared" si="89"/>
        <v>37.938390882441361</v>
      </c>
      <c r="AL78" s="22">
        <f t="shared" si="58"/>
        <v>322.42498078691864</v>
      </c>
      <c r="AM78" s="62">
        <f t="shared" si="59"/>
        <v>615.75831412025195</v>
      </c>
      <c r="AN78" s="62">
        <f ca="1">AVERAGE(OFFSET($AM$3,0,0,'Données projet'!$E$10+1,1))-AVERAGE(OFFSET($H$3,0,0,'Données projet'!$E$10+1,1))</f>
        <v>173.76802753906867</v>
      </c>
      <c r="AO78" s="62">
        <f t="shared" si="90"/>
        <v>153.4527010894717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2">
        <f t="shared" si="86"/>
        <v>11.081086486208905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70">
        <f t="shared" si="56"/>
        <v>376.30125896348062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287.69656598881124</v>
      </c>
      <c r="T79" s="62">
        <f t="shared" si="88"/>
        <v>221.9773436301067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1.688427532541608</v>
      </c>
      <c r="AB79" s="23">
        <f>EXP(-LN(2)/2)*AB78+(1-EXP(-LN(2)/2))/(LN(2)/2)*V79*Y79*VLOOKUP('Données projet'!$B$9,Paramètres!$A$1:$I$89,3,0)*0.475*44/12</f>
        <v>1.6954060278350015E-6</v>
      </c>
      <c r="AC79" s="24">
        <f t="shared" si="57"/>
        <v>1.6884292279476358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7.7</v>
      </c>
      <c r="AI79" s="14">
        <f>IF('Données projet'!$A$62&gt;35,AI78+AH79-AQ78,IF(A79&lt;'Données projet'!$A$62,$AF$205^A79,IF(A79='Données projet'!$A$62,'Données projet'!$B$62,AI78+AH79-AQ78)))</f>
        <v>322.19999999999993</v>
      </c>
      <c r="AJ79" s="14">
        <f>AI79*VLOOKUP('Données projet'!$B$10,Paramètres!$A$1:$I$89,3,0)*VLOOKUP('Données projet'!$B$10,Paramètres!$A$1:$I$89,5,0)</f>
        <v>150.78959999999998</v>
      </c>
      <c r="AK79" s="14">
        <f t="shared" si="89"/>
        <v>38.757970187689722</v>
      </c>
      <c r="AL79" s="22">
        <f t="shared" si="58"/>
        <v>330.12868474355952</v>
      </c>
      <c r="AM79" s="62">
        <f t="shared" si="59"/>
        <v>623.46201807689283</v>
      </c>
      <c r="AN79" s="62">
        <f ca="1">AVERAGE(OFFSET($AM$3,0,0,'Données projet'!$E$10+1,1))-AVERAGE(OFFSET($H$3,0,0,'Données projet'!$E$10+1,1))</f>
        <v>173.76802753906867</v>
      </c>
      <c r="AO79" s="62">
        <f t="shared" si="90"/>
        <v>153.4527010894717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2">
        <f t="shared" si="86"/>
        <v>11.209820518381111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70">
        <f t="shared" si="56"/>
        <v>377.36321240284718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287.69656598881124</v>
      </c>
      <c r="T80" s="62">
        <f t="shared" si="88"/>
        <v>221.9773436301067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1.6422573928737128</v>
      </c>
      <c r="AB80" s="23">
        <f>EXP(-LN(2)/2)*AB79+(1-EXP(-LN(2)/2))/(LN(2)/2)*V80*Y80*VLOOKUP('Données projet'!$B$9,Paramètres!$A$1:$I$89,3,0)*0.475*44/12</f>
        <v>1.1988330991466781E-6</v>
      </c>
      <c r="AC80" s="24">
        <f t="shared" si="57"/>
        <v>1.642258591706812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7.7</v>
      </c>
      <c r="AI80" s="14">
        <f>IF('Données projet'!$A$62&gt;35,AI79+AH80-AQ79,IF(A80&lt;'Données projet'!$A$62,$AF$205^A80,IF(A80='Données projet'!$A$62,'Données projet'!$B$62,AI79+AH80-AQ79)))</f>
        <v>329.89999999999992</v>
      </c>
      <c r="AJ80" s="14">
        <f>AI80*VLOOKUP('Données projet'!$B$10,Paramètres!$A$1:$I$89,3,0)*VLOOKUP('Données projet'!$B$10,Paramètres!$A$1:$I$89,5,0)</f>
        <v>154.39319999999995</v>
      </c>
      <c r="AK80" s="14">
        <f t="shared" si="89"/>
        <v>39.575272566832489</v>
      </c>
      <c r="AL80" s="22">
        <f t="shared" si="58"/>
        <v>337.82842305389983</v>
      </c>
      <c r="AM80" s="62">
        <f t="shared" si="59"/>
        <v>631.16175638723314</v>
      </c>
      <c r="AN80" s="62">
        <f ca="1">AVERAGE(OFFSET($AM$3,0,0,'Données projet'!$E$10+1,1))-AVERAGE(OFFSET($H$3,0,0,'Données projet'!$E$10+1,1))</f>
        <v>173.76802753906867</v>
      </c>
      <c r="AO80" s="62">
        <f t="shared" si="90"/>
        <v>153.4527010894717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2">
        <f t="shared" si="86"/>
        <v>11.338360086058589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70">
        <f t="shared" si="56"/>
        <v>378.42482714988546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287.69656598881124</v>
      </c>
      <c r="T81" s="62">
        <f t="shared" si="88"/>
        <v>221.9773436301067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1.5973497781030181</v>
      </c>
      <c r="AB81" s="23">
        <f>EXP(-LN(2)/2)*AB80+(1-EXP(-LN(2)/2))/(LN(2)/2)*V81*Y81*VLOOKUP('Données projet'!$B$9,Paramètres!$A$1:$I$89,3,0)*0.475*44/12</f>
        <v>8.4770301391750077E-7</v>
      </c>
      <c r="AC81" s="24">
        <f t="shared" si="57"/>
        <v>1.5973506258060322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7.7</v>
      </c>
      <c r="AI81" s="14">
        <f>IF('Données projet'!$A$62&gt;35,AI80+AH81-AQ80,IF(A81&lt;'Données projet'!$A$62,$AF$205^A81,IF(A81='Données projet'!$A$62,'Données projet'!$B$62,AI80+AH81-AQ80)))</f>
        <v>337.59999999999991</v>
      </c>
      <c r="AJ81" s="14">
        <f>AI81*VLOOKUP('Données projet'!$B$10,Paramètres!$A$1:$I$89,3,0)*VLOOKUP('Données projet'!$B$10,Paramètres!$A$1:$I$89,5,0)</f>
        <v>157.99679999999995</v>
      </c>
      <c r="AK81" s="14">
        <f t="shared" si="89"/>
        <v>40.390357280610026</v>
      </c>
      <c r="AL81" s="22">
        <f t="shared" si="58"/>
        <v>345.52429893039567</v>
      </c>
      <c r="AM81" s="62">
        <f t="shared" si="59"/>
        <v>638.85763226372899</v>
      </c>
      <c r="AN81" s="62">
        <f ca="1">AVERAGE(OFFSET($AM$3,0,0,'Données projet'!$E$10+1,1))-AVERAGE(OFFSET($H$3,0,0,'Données projet'!$E$10+1,1))</f>
        <v>173.76802753906867</v>
      </c>
      <c r="AO81" s="62">
        <f t="shared" si="90"/>
        <v>153.4527010894717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2">
        <f t="shared" si="86"/>
        <v>11.466707970654253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70">
        <f t="shared" si="56"/>
        <v>379.48610804888961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287.69656598881124</v>
      </c>
      <c r="T82" s="62">
        <f t="shared" si="88"/>
        <v>221.9773436301067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1.553670164419817</v>
      </c>
      <c r="AB82" s="23">
        <f>EXP(-LN(2)/2)*AB81+(1-EXP(-LN(2)/2))/(LN(2)/2)*V82*Y82*VLOOKUP('Données projet'!$B$9,Paramètres!$A$1:$I$89,3,0)*0.475*44/12</f>
        <v>5.9941654957333906E-7</v>
      </c>
      <c r="AC82" s="24">
        <f t="shared" si="57"/>
        <v>1.5536707638363665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7.7</v>
      </c>
      <c r="AI82" s="14">
        <f>IF('Données projet'!$A$62&gt;35,AI81+AH82-AQ81,IF(A82&lt;'Données projet'!$A$62,$AF$205^A82,IF(A82='Données projet'!$A$62,'Données projet'!$B$62,AI81+AH82-AQ81)))</f>
        <v>345.2999999999999</v>
      </c>
      <c r="AJ82" s="14">
        <f>AI82*VLOOKUP('Données projet'!$B$10,Paramètres!$A$1:$I$89,3,0)*VLOOKUP('Données projet'!$B$10,Paramètres!$A$1:$I$89,5,0)</f>
        <v>161.60039999999995</v>
      </c>
      <c r="AK82" s="14">
        <f t="shared" si="89"/>
        <v>41.203280732237822</v>
      </c>
      <c r="AL82" s="22">
        <f t="shared" si="58"/>
        <v>353.21641060864749</v>
      </c>
      <c r="AM82" s="62">
        <f t="shared" si="59"/>
        <v>646.54974394198075</v>
      </c>
      <c r="AN82" s="62">
        <f ca="1">AVERAGE(OFFSET($AM$3,0,0,'Données projet'!$E$10+1,1))-AVERAGE(OFFSET($H$3,0,0,'Données projet'!$E$10+1,1))</f>
        <v>173.76802753906867</v>
      </c>
      <c r="AO82" s="62">
        <f t="shared" si="90"/>
        <v>153.4527010894717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2">
        <f t="shared" si="86"/>
        <v>11.594866879116264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70">
        <f t="shared" si="56"/>
        <v>380.54705981446097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287.69656598881124</v>
      </c>
      <c r="T83" s="62">
        <f t="shared" si="88"/>
        <v>221.9773436301067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1.5111849720697941</v>
      </c>
      <c r="AB83" s="23">
        <f>EXP(-LN(2)/2)*AB82+(1-EXP(-LN(2)/2))/(LN(2)/2)*V83*Y83*VLOOKUP('Données projet'!$B$9,Paramètres!$A$1:$I$89,3,0)*0.475*44/12</f>
        <v>4.2385150695875038E-7</v>
      </c>
      <c r="AC83" s="24">
        <f t="shared" si="57"/>
        <v>1.5111853959213011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353</v>
      </c>
      <c r="AG83" s="13">
        <f>VLOOKUP(A83,'Données projet'!$A$61:$I$81,9,0)</f>
        <v>7.7</v>
      </c>
      <c r="AH83" s="13">
        <f t="array" ref="AH83">INDEX(AG:AG,MIN(IF(ISNUMBER(AG83:AG279),ROW(AG83:AG279),"")))</f>
        <v>7.7</v>
      </c>
      <c r="AI83" s="14">
        <f>IF('Données projet'!$A$62&gt;35,AI82+AH83-AQ82,IF(A83&lt;'Données projet'!$A$62,$AF$205^A83,IF(A83='Données projet'!$A$62,'Données projet'!$B$62,AI82+AH83-AQ82)))</f>
        <v>352.99999999999989</v>
      </c>
      <c r="AJ83" s="14">
        <f>AI83*VLOOKUP('Données projet'!$B$10,Paramètres!$A$1:$I$89,3,0)*VLOOKUP('Données projet'!$B$10,Paramètres!$A$1:$I$89,5,0)</f>
        <v>165.20399999999995</v>
      </c>
      <c r="AK83" s="14">
        <f t="shared" si="89"/>
        <v>42.014096665795854</v>
      </c>
      <c r="AL83" s="22">
        <f t="shared" si="58"/>
        <v>360.90485169292765</v>
      </c>
      <c r="AM83" s="62">
        <f t="shared" si="59"/>
        <v>654.23818502626091</v>
      </c>
      <c r="AN83" s="62">
        <f ca="1">AVERAGE(OFFSET($AM$3,0,0,'Données projet'!$E$10+1,1))-AVERAGE(OFFSET($H$3,0,0,'Données projet'!$E$10+1,1))</f>
        <v>173.76802753906867</v>
      </c>
      <c r="AO83" s="62">
        <f t="shared" si="90"/>
        <v>153.4527010894717</v>
      </c>
      <c r="AP83" s="16">
        <f>IF(ISNA(VLOOKUP(A83,'Données projet'!$A$61:$I$81,3,0)),0,VLOOKUP(A83,'Données projet'!$A$61:$I$81,3,0))</f>
        <v>7</v>
      </c>
      <c r="AQ83" s="16">
        <f>IF(ISNA(VLOOKUP(A83,'Données projet'!$A$61:$I$81,4,0)),0,VLOOKUP(A83,'Données projet'!$A$61:$I$81,4,0))</f>
        <v>71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2">
        <f t="shared" si="86"/>
        <v>11.722839446826988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70">
        <f t="shared" si="56"/>
        <v>381.60768703655714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287.69656598881124</v>
      </c>
      <c r="T84" s="62">
        <f t="shared" si="88"/>
        <v>221.9773436301067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1.4698615395387817</v>
      </c>
      <c r="AB84" s="23">
        <f>EXP(-LN(2)/2)*AB83+(1-EXP(-LN(2)/2))/(LN(2)/2)*V84*Y84*VLOOKUP('Données projet'!$B$9,Paramètres!$A$1:$I$89,3,0)*0.475*44/12</f>
        <v>2.9970827478666953E-7</v>
      </c>
      <c r="AC84" s="24">
        <f t="shared" si="57"/>
        <v>1.4698618392470566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8.3000000000000007</v>
      </c>
      <c r="AI84" s="14">
        <f>IF('Données projet'!$A$62&gt;35,AI83+AH84-AQ83,IF(A84&lt;'Données projet'!$A$62,$AF$205^A84,IF(A84='Données projet'!$A$62,'Données projet'!$B$62,AI83+AH84-AQ83)))</f>
        <v>290.2999999999999</v>
      </c>
      <c r="AJ84" s="14">
        <f>AI84*VLOOKUP('Données projet'!$B$10,Paramètres!$A$1:$I$89,3,0)*VLOOKUP('Données projet'!$B$10,Paramètres!$A$1:$I$89,5,0)</f>
        <v>135.86039999999994</v>
      </c>
      <c r="AK84" s="14">
        <f t="shared" si="89"/>
        <v>35.347031059244749</v>
      </c>
      <c r="AL84" s="22">
        <f t="shared" si="58"/>
        <v>298.18627576151783</v>
      </c>
      <c r="AM84" s="62">
        <f t="shared" si="59"/>
        <v>591.51960909485115</v>
      </c>
      <c r="AN84" s="62">
        <f ca="1">AVERAGE(OFFSET($AM$3,0,0,'Données projet'!$E$10+1,1))-AVERAGE(OFFSET($H$3,0,0,'Données projet'!$E$10+1,1))</f>
        <v>173.76802753906867</v>
      </c>
      <c r="AO84" s="62">
        <f t="shared" si="90"/>
        <v>153.4527010894717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2">
        <f t="shared" si="86"/>
        <v>11.850628240354748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70">
        <f t="shared" si="56"/>
        <v>382.66799418528461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287.69656598881124</v>
      </c>
      <c r="T85" s="62">
        <f t="shared" si="88"/>
        <v>221.9773436301067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1.4296680984434349</v>
      </c>
      <c r="AB85" s="23">
        <f>EXP(-LN(2)/2)*AB84+(1-EXP(-LN(2)/2))/(LN(2)/2)*V85*Y85*VLOOKUP('Données projet'!$B$9,Paramètres!$A$1:$I$89,3,0)*0.475*44/12</f>
        <v>2.1192575347937519E-7</v>
      </c>
      <c r="AC85" s="24">
        <f t="shared" si="57"/>
        <v>1.4296683103691883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8.3000000000000007</v>
      </c>
      <c r="AI85" s="14">
        <f>IF('Données projet'!$A$62&gt;35,AI84+AH85-AQ84,IF(A85&lt;'Données projet'!$A$62,$AF$205^A85,IF(A85='Données projet'!$A$62,'Données projet'!$B$62,AI84+AH85-AQ84)))</f>
        <v>298.59999999999991</v>
      </c>
      <c r="AJ85" s="14">
        <f>AI85*VLOOKUP('Données projet'!$B$10,Paramètres!$A$1:$I$89,3,0)*VLOOKUP('Données projet'!$B$10,Paramètres!$A$1:$I$89,5,0)</f>
        <v>139.74479999999997</v>
      </c>
      <c r="AK85" s="14">
        <f t="shared" si="89"/>
        <v>36.238536552104364</v>
      </c>
      <c r="AL85" s="22">
        <f t="shared" si="58"/>
        <v>306.50431116158171</v>
      </c>
      <c r="AM85" s="62">
        <f t="shared" si="59"/>
        <v>599.83764449491503</v>
      </c>
      <c r="AN85" s="62">
        <f ca="1">AVERAGE(OFFSET($AM$3,0,0,'Données projet'!$E$10+1,1))-AVERAGE(OFFSET($H$3,0,0,'Données projet'!$E$10+1,1))</f>
        <v>173.76802753906867</v>
      </c>
      <c r="AO85" s="62">
        <f t="shared" si="90"/>
        <v>153.4527010894717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2">
        <f t="shared" si="86"/>
        <v>11.978235760067443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70">
        <f t="shared" si="56"/>
        <v>383.7279856154509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287.69656598881124</v>
      </c>
      <c r="T86" s="62">
        <f t="shared" si="88"/>
        <v>221.9773436301067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1.3905737491085215</v>
      </c>
      <c r="AB86" s="23">
        <f>EXP(-LN(2)/2)*AB85+(1-EXP(-LN(2)/2))/(LN(2)/2)*V86*Y86*VLOOKUP('Données projet'!$B$9,Paramètres!$A$1:$I$89,3,0)*0.475*44/12</f>
        <v>1.4985413739333476E-7</v>
      </c>
      <c r="AC86" s="24">
        <f t="shared" si="57"/>
        <v>1.3905738989626588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8.3000000000000007</v>
      </c>
      <c r="AI86" s="14">
        <f>IF('Données projet'!$A$62&gt;35,AI85+AH86-AQ85,IF(A86&lt;'Données projet'!$A$62,$AF$205^A86,IF(A86='Données projet'!$A$62,'Données projet'!$B$62,AI85+AH86-AQ85)))</f>
        <v>306.89999999999992</v>
      </c>
      <c r="AJ86" s="14">
        <f>AI86*VLOOKUP('Données projet'!$B$10,Paramètres!$A$1:$I$89,3,0)*VLOOKUP('Données projet'!$B$10,Paramètres!$A$1:$I$89,5,0)</f>
        <v>143.62919999999997</v>
      </c>
      <c r="AK86" s="14">
        <f t="shared" si="89"/>
        <v>37.127161849234348</v>
      </c>
      <c r="AL86" s="22">
        <f t="shared" si="58"/>
        <v>314.81733022074974</v>
      </c>
      <c r="AM86" s="62">
        <f t="shared" si="59"/>
        <v>608.15066355408305</v>
      </c>
      <c r="AN86" s="62">
        <f ca="1">AVERAGE(OFFSET($AM$3,0,0,'Données projet'!$E$10+1,1))-AVERAGE(OFFSET($H$3,0,0,'Données projet'!$E$10+1,1))</f>
        <v>173.76802753906867</v>
      </c>
      <c r="AO86" s="62">
        <f t="shared" si="90"/>
        <v>153.4527010894717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2">
        <f t="shared" si="86"/>
        <v>12.105664442616733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70">
        <f t="shared" si="56"/>
        <v>384.78766557089091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287.69656598881124</v>
      </c>
      <c r="T87" s="62">
        <f t="shared" si="88"/>
        <v>221.9773436301067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1.3525484368120537</v>
      </c>
      <c r="AB87" s="23">
        <f>EXP(-LN(2)/2)*AB86+(1-EXP(-LN(2)/2))/(LN(2)/2)*V87*Y87*VLOOKUP('Données projet'!$B$9,Paramètres!$A$1:$I$89,3,0)*0.475*44/12</f>
        <v>1.059628767396876E-7</v>
      </c>
      <c r="AC87" s="24">
        <f t="shared" si="57"/>
        <v>1.3525485427749304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8.3000000000000007</v>
      </c>
      <c r="AI87" s="14">
        <f>IF('Données projet'!$A$62&gt;35,AI86+AH87-AQ86,IF(A87&lt;'Données projet'!$A$62,$AF$205^A87,IF(A87='Données projet'!$A$62,'Données projet'!$B$62,AI86+AH87-AQ86)))</f>
        <v>315.19999999999993</v>
      </c>
      <c r="AJ87" s="14">
        <f>AI87*VLOOKUP('Données projet'!$B$10,Paramètres!$A$1:$I$89,3,0)*VLOOKUP('Données projet'!$B$10,Paramètres!$A$1:$I$89,5,0)</f>
        <v>147.51359999999997</v>
      </c>
      <c r="AK87" s="14">
        <f t="shared" si="89"/>
        <v>38.012993796041464</v>
      </c>
      <c r="AL87" s="22">
        <f t="shared" si="58"/>
        <v>323.12548419477213</v>
      </c>
      <c r="AM87" s="62">
        <f t="shared" si="59"/>
        <v>616.45881752810544</v>
      </c>
      <c r="AN87" s="62">
        <f ca="1">AVERAGE(OFFSET($AM$3,0,0,'Données projet'!$E$10+1,1))-AVERAGE(OFFSET($H$3,0,0,'Données projet'!$E$10+1,1))</f>
        <v>173.76802753906867</v>
      </c>
      <c r="AO87" s="62">
        <f t="shared" si="90"/>
        <v>153.4527010894717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2">
        <f t="shared" si="86"/>
        <v>12.232916663300438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70">
        <f t="shared" si="56"/>
        <v>385.84703818858173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287.69656598881124</v>
      </c>
      <c r="T88" s="62">
        <f t="shared" si="88"/>
        <v>221.9773436301067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1.315562928679997</v>
      </c>
      <c r="AB88" s="23">
        <f>EXP(-LN(2)/2)*AB87+(1-EXP(-LN(2)/2))/(LN(2)/2)*V88*Y88*VLOOKUP('Données projet'!$B$9,Paramètres!$A$1:$I$89,3,0)*0.475*44/12</f>
        <v>7.4927068696667382E-8</v>
      </c>
      <c r="AC88" s="24">
        <f t="shared" si="57"/>
        <v>1.3155630036070658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8.3000000000000007</v>
      </c>
      <c r="AI88" s="14">
        <f>IF('Données projet'!$A$62&gt;35,AI87+AH88-AQ87,IF(A88&lt;'Données projet'!$A$62,$AF$205^A88,IF(A88='Données projet'!$A$62,'Données projet'!$B$62,AI87+AH88-AQ87)))</f>
        <v>323.49999999999994</v>
      </c>
      <c r="AJ88" s="14">
        <f>AI88*VLOOKUP('Données projet'!$B$10,Paramètres!$A$1:$I$89,3,0)*VLOOKUP('Données projet'!$B$10,Paramètres!$A$1:$I$89,5,0)</f>
        <v>151.39799999999997</v>
      </c>
      <c r="AK88" s="14">
        <f t="shared" si="89"/>
        <v>38.896114403754709</v>
      </c>
      <c r="AL88" s="22">
        <f t="shared" si="58"/>
        <v>331.42891591987274</v>
      </c>
      <c r="AM88" s="62">
        <f t="shared" si="59"/>
        <v>624.76224925320605</v>
      </c>
      <c r="AN88" s="62">
        <f ca="1">AVERAGE(OFFSET($AM$3,0,0,'Données projet'!$E$10+1,1))-AVERAGE(OFFSET($H$3,0,0,'Données projet'!$E$10+1,1))</f>
        <v>173.76802753906867</v>
      </c>
      <c r="AO88" s="62">
        <f t="shared" si="90"/>
        <v>153.4527010894717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2">
        <f t="shared" si="86"/>
        <v>12.359994738310691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70">
        <f t="shared" si="56"/>
        <v>386.90610750255792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287.69656598881124</v>
      </c>
      <c r="T89" s="62">
        <f t="shared" si="88"/>
        <v>221.9773436301067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1.2795887912127948</v>
      </c>
      <c r="AB89" s="23">
        <f>EXP(-LN(2)/2)*AB88+(1-EXP(-LN(2)/2))/(LN(2)/2)*V89*Y89*VLOOKUP('Données projet'!$B$9,Paramètres!$A$1:$I$89,3,0)*0.475*44/12</f>
        <v>5.2981438369843798E-8</v>
      </c>
      <c r="AC89" s="24">
        <f t="shared" si="57"/>
        <v>1.2795888441942331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8.3000000000000007</v>
      </c>
      <c r="AI89" s="14">
        <f>IF('Données projet'!$A$62&gt;35,AI88+AH89-AQ88,IF(A89&lt;'Données projet'!$A$62,$AF$205^A89,IF(A89='Données projet'!$A$62,'Données projet'!$B$62,AI88+AH89-AQ88)))</f>
        <v>331.79999999999995</v>
      </c>
      <c r="AJ89" s="14">
        <f>AI89*VLOOKUP('Données projet'!$B$10,Paramètres!$A$1:$I$89,3,0)*VLOOKUP('Données projet'!$B$10,Paramètres!$A$1:$I$89,5,0)</f>
        <v>155.28239999999997</v>
      </c>
      <c r="AK89" s="14">
        <f t="shared" si="89"/>
        <v>39.776601235546408</v>
      </c>
      <c r="AL89" s="22">
        <f t="shared" si="58"/>
        <v>339.72776048524321</v>
      </c>
      <c r="AM89" s="62">
        <f t="shared" si="59"/>
        <v>633.06109381857652</v>
      </c>
      <c r="AN89" s="62">
        <f ca="1">AVERAGE(OFFSET($AM$3,0,0,'Données projet'!$E$10+1,1))-AVERAGE(OFFSET($H$3,0,0,'Données projet'!$E$10+1,1))</f>
        <v>173.76802753906867</v>
      </c>
      <c r="AO89" s="62">
        <f t="shared" si="90"/>
        <v>153.4527010894717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2">
        <f t="shared" si="86"/>
        <v>12.486900926874483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70">
        <f t="shared" si="56"/>
        <v>387.96487744763988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287.69656598881124</v>
      </c>
      <c r="T90" s="62">
        <f t="shared" si="88"/>
        <v>221.9773436301067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1.244598368426431</v>
      </c>
      <c r="AB90" s="23">
        <f>EXP(-LN(2)/2)*AB89+(1-EXP(-LN(2)/2))/(LN(2)/2)*V90*Y90*VLOOKUP('Données projet'!$B$9,Paramètres!$A$1:$I$89,3,0)*0.475*44/12</f>
        <v>3.7463534348333691E-8</v>
      </c>
      <c r="AC90" s="24">
        <f t="shared" si="57"/>
        <v>1.2445984058899653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8.3000000000000007</v>
      </c>
      <c r="AI90" s="14">
        <f>IF('Données projet'!$A$62&gt;35,AI89+AH90-AQ89,IF(A90&lt;'Données projet'!$A$62,$AF$205^A90,IF(A90='Données projet'!$A$62,'Données projet'!$B$62,AI89+AH90-AQ89)))</f>
        <v>340.09999999999997</v>
      </c>
      <c r="AJ90" s="14">
        <f>AI90*VLOOKUP('Données projet'!$B$10,Paramètres!$A$1:$I$89,3,0)*VLOOKUP('Données projet'!$B$10,Paramètres!$A$1:$I$89,5,0)</f>
        <v>159.16679999999997</v>
      </c>
      <c r="AK90" s="14">
        <f t="shared" si="89"/>
        <v>40.654527752930747</v>
      </c>
      <c r="AL90" s="22">
        <f t="shared" si="58"/>
        <v>348.02214583635424</v>
      </c>
      <c r="AM90" s="62">
        <f t="shared" si="59"/>
        <v>641.35547916968756</v>
      </c>
      <c r="AN90" s="62">
        <f ca="1">AVERAGE(OFFSET($AM$3,0,0,'Données projet'!$E$10+1,1))-AVERAGE(OFFSET($H$3,0,0,'Données projet'!$E$10+1,1))</f>
        <v>173.76802753906867</v>
      </c>
      <c r="AO90" s="62">
        <f t="shared" si="90"/>
        <v>153.4527010894717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2">
        <f t="shared" si="86"/>
        <v>12.613637433293027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70">
        <f t="shared" si="56"/>
        <v>389.02335186298552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287.69656598881124</v>
      </c>
      <c r="T91" s="62">
        <f t="shared" si="88"/>
        <v>221.9773436301067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1.2105647605912266</v>
      </c>
      <c r="AB91" s="23">
        <f>EXP(-LN(2)/2)*AB90+(1-EXP(-LN(2)/2))/(LN(2)/2)*V91*Y91*VLOOKUP('Données projet'!$B$9,Paramètres!$A$1:$I$89,3,0)*0.475*44/12</f>
        <v>2.6490719184921899E-8</v>
      </c>
      <c r="AC91" s="24">
        <f t="shared" si="57"/>
        <v>1.2105647870819458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8.3000000000000007</v>
      </c>
      <c r="AI91" s="14">
        <f>IF('Données projet'!$A$62&gt;35,AI90+AH91-AQ90,IF(A91&lt;'Données projet'!$A$62,$AF$205^A91,IF(A91='Données projet'!$A$62,'Données projet'!$B$62,AI90+AH91-AQ90)))</f>
        <v>348.4</v>
      </c>
      <c r="AJ91" s="14">
        <f>AI91*VLOOKUP('Données projet'!$B$10,Paramètres!$A$1:$I$89,3,0)*VLOOKUP('Données projet'!$B$10,Paramètres!$A$1:$I$89,5,0)</f>
        <v>163.05119999999999</v>
      </c>
      <c r="AK91" s="14">
        <f t="shared" si="89"/>
        <v>41.529963627394977</v>
      </c>
      <c r="AL91" s="22">
        <f t="shared" si="58"/>
        <v>356.31219331771285</v>
      </c>
      <c r="AM91" s="62">
        <f t="shared" si="59"/>
        <v>649.64552665104611</v>
      </c>
      <c r="AN91" s="62">
        <f ca="1">AVERAGE(OFFSET($AM$3,0,0,'Données projet'!$E$10+1,1))-AVERAGE(OFFSET($H$3,0,0,'Données projet'!$E$10+1,1))</f>
        <v>173.76802753906867</v>
      </c>
      <c r="AO91" s="62">
        <f t="shared" si="90"/>
        <v>153.4527010894717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2">
        <f t="shared" si="86"/>
        <v>12.740206408885738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70">
        <f t="shared" si="56"/>
        <v>390.08153449547615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287.69656598881124</v>
      </c>
      <c r="T92" s="62">
        <f t="shared" si="88"/>
        <v>221.9773436301067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1.1774618035520257</v>
      </c>
      <c r="AB92" s="23">
        <f>EXP(-LN(2)/2)*AB91+(1-EXP(-LN(2)/2))/(LN(2)/2)*V92*Y92*VLOOKUP('Données projet'!$B$9,Paramètres!$A$1:$I$89,3,0)*0.475*44/12</f>
        <v>1.8731767174166846E-8</v>
      </c>
      <c r="AC92" s="24">
        <f t="shared" si="57"/>
        <v>1.1774618222837929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8.3000000000000007</v>
      </c>
      <c r="AI92" s="14">
        <f>IF('Données projet'!$A$62&gt;35,AI91+AH92-AQ91,IF(A92&lt;'Données projet'!$A$62,$AF$205^A92,IF(A92='Données projet'!$A$62,'Données projet'!$B$62,AI91+AH92-AQ91)))</f>
        <v>356.7</v>
      </c>
      <c r="AJ92" s="14">
        <f>AI92*VLOOKUP('Données projet'!$B$10,Paramètres!$A$1:$I$89,3,0)*VLOOKUP('Données projet'!$B$10,Paramètres!$A$1:$I$89,5,0)</f>
        <v>166.93559999999997</v>
      </c>
      <c r="AK92" s="14">
        <f t="shared" si="89"/>
        <v>42.402975021498193</v>
      </c>
      <c r="AL92" s="22">
        <f t="shared" si="58"/>
        <v>364.59801816244266</v>
      </c>
      <c r="AM92" s="62">
        <f t="shared" si="59"/>
        <v>657.93135149577597</v>
      </c>
      <c r="AN92" s="62">
        <f ca="1">AVERAGE(OFFSET($AM$3,0,0,'Données projet'!$E$10+1,1))-AVERAGE(OFFSET($H$3,0,0,'Données projet'!$E$10+1,1))</f>
        <v>173.76802753906867</v>
      </c>
      <c r="AO92" s="62">
        <f t="shared" si="90"/>
        <v>153.4527010894717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2">
        <f t="shared" si="86"/>
        <v>12.866609953844367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70">
        <f t="shared" si="56"/>
        <v>391.13942900294575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287.69656598881124</v>
      </c>
      <c r="T93" s="62">
        <f t="shared" si="88"/>
        <v>221.9773436301067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1.1452640486138703</v>
      </c>
      <c r="AB93" s="23">
        <f>EXP(-LN(2)/2)*AB92+(1-EXP(-LN(2)/2))/(LN(2)/2)*V93*Y93*VLOOKUP('Données projet'!$B$9,Paramètres!$A$1:$I$89,3,0)*0.475*44/12</f>
        <v>1.3245359592460949E-8</v>
      </c>
      <c r="AC93" s="24">
        <f t="shared" si="57"/>
        <v>1.14526406185923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365</v>
      </c>
      <c r="AG93" s="13">
        <f>VLOOKUP(A93,'Données projet'!$A$61:$I$81,9,0)</f>
        <v>8.3000000000000007</v>
      </c>
      <c r="AH93" s="13">
        <f t="array" ref="AH93">INDEX(AG:AG,MIN(IF(ISNUMBER(AG93:AG289),ROW(AG93:AG289),"")))</f>
        <v>8.3000000000000007</v>
      </c>
      <c r="AI93" s="14">
        <f>IF('Données projet'!$A$62&gt;35,AI92+AH93-AQ92,IF(A93&lt;'Données projet'!$A$62,$AF$205^A93,IF(A93='Données projet'!$A$62,'Données projet'!$B$62,AI92+AH93-AQ92)))</f>
        <v>365</v>
      </c>
      <c r="AJ93" s="14">
        <f>AI93*VLOOKUP('Données projet'!$B$10,Paramètres!$A$1:$I$89,3,0)*VLOOKUP('Données projet'!$B$10,Paramètres!$A$1:$I$89,5,0)</f>
        <v>170.82000000000002</v>
      </c>
      <c r="AK93" s="14">
        <f t="shared" si="89"/>
        <v>43.273624843069463</v>
      </c>
      <c r="AL93" s="22">
        <f t="shared" si="58"/>
        <v>372.87972993501268</v>
      </c>
      <c r="AM93" s="62">
        <f t="shared" si="59"/>
        <v>666.21306326834599</v>
      </c>
      <c r="AN93" s="62">
        <f ca="1">AVERAGE(OFFSET($AM$3,0,0,'Données projet'!$E$10+1,1))-AVERAGE(OFFSET($H$3,0,0,'Données projet'!$E$10+1,1))</f>
        <v>173.76802753906867</v>
      </c>
      <c r="AO93" s="62">
        <f t="shared" si="90"/>
        <v>153.4527010894717</v>
      </c>
      <c r="AP93" s="16">
        <f>IF(ISNA(VLOOKUP(A93,'Données projet'!$A$61:$I$81,3,0)),0,VLOOKUP(A93,'Données projet'!$A$61:$I$81,3,0))</f>
        <v>8</v>
      </c>
      <c r="AQ93" s="16">
        <f>IF(ISNA(VLOOKUP(A93,'Données projet'!$A$61:$I$81,4,0)),0,VLOOKUP(A93,'Données projet'!$A$61:$I$81,4,0))</f>
        <v>73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2">
        <f t="shared" si="86"/>
        <v>12.992850119002412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70">
        <f t="shared" si="56"/>
        <v>392.19703895726269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287.69656598881124</v>
      </c>
      <c r="T94" s="62">
        <f t="shared" si="88"/>
        <v>221.9773436301067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1.1139467429777052</v>
      </c>
      <c r="AB94" s="23">
        <f>EXP(-LN(2)/2)*AB93+(1-EXP(-LN(2)/2))/(LN(2)/2)*V94*Y94*VLOOKUP('Données projet'!$B$9,Paramètres!$A$1:$I$89,3,0)*0.475*44/12</f>
        <v>9.3658835870834228E-9</v>
      </c>
      <c r="AC94" s="24">
        <f t="shared" si="57"/>
        <v>1.1139467523435889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8.3000000000000007</v>
      </c>
      <c r="AI94" s="14">
        <f>IF('Données projet'!$A$62&gt;35,AI93+AH94-AQ93,IF(A94&lt;'Données projet'!$A$62,$AF$205^A94,IF(A94='Données projet'!$A$62,'Données projet'!$B$62,AI93+AH94-AQ93)))</f>
        <v>300.3</v>
      </c>
      <c r="AJ94" s="14">
        <f>AI94*VLOOKUP('Données projet'!$B$10,Paramètres!$A$1:$I$89,3,0)*VLOOKUP('Données projet'!$B$10,Paramètres!$A$1:$I$89,5,0)</f>
        <v>140.54040000000001</v>
      </c>
      <c r="AK94" s="14">
        <f t="shared" si="89"/>
        <v>36.420775774849901</v>
      </c>
      <c r="AL94" s="22">
        <f t="shared" si="58"/>
        <v>308.20738114119689</v>
      </c>
      <c r="AM94" s="62">
        <f t="shared" si="59"/>
        <v>601.5407144745302</v>
      </c>
      <c r="AN94" s="62">
        <f ca="1">AVERAGE(OFFSET($AM$3,0,0,'Données projet'!$E$10+1,1))-AVERAGE(OFFSET($H$3,0,0,'Données projet'!$E$10+1,1))</f>
        <v>173.76802753906867</v>
      </c>
      <c r="AO94" s="62">
        <f t="shared" si="90"/>
        <v>153.4527010894717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2">
        <f t="shared" si="86"/>
        <v>13.118928907524481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70">
        <f t="shared" si="56"/>
        <v>393.25436784727196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287.69656598881124</v>
      </c>
      <c r="T95" s="62">
        <f t="shared" si="88"/>
        <v>221.9773436301067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1.0834858107110665</v>
      </c>
      <c r="AB95" s="23">
        <f>EXP(-LN(2)/2)*AB94+(1-EXP(-LN(2)/2))/(LN(2)/2)*V95*Y95*VLOOKUP('Données projet'!$B$9,Paramètres!$A$1:$I$89,3,0)*0.475*44/12</f>
        <v>6.6226797962304747E-9</v>
      </c>
      <c r="AC95" s="24">
        <f t="shared" si="57"/>
        <v>1.0834858173337463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8.3000000000000007</v>
      </c>
      <c r="AI95" s="14">
        <f>IF('Données projet'!$A$62&gt;35,AI94+AH95-AQ94,IF(A95&lt;'Données projet'!$A$62,$AF$205^A95,IF(A95='Données projet'!$A$62,'Données projet'!$B$62,AI94+AH95-AQ94)))</f>
        <v>308.60000000000002</v>
      </c>
      <c r="AJ95" s="14">
        <f>AI95*VLOOKUP('Données projet'!$B$10,Paramètres!$A$1:$I$89,3,0)*VLOOKUP('Données projet'!$B$10,Paramètres!$A$1:$I$89,5,0)</f>
        <v>144.4248</v>
      </c>
      <c r="AK95" s="14">
        <f t="shared" si="89"/>
        <v>37.308822031923654</v>
      </c>
      <c r="AL95" s="22">
        <f t="shared" si="58"/>
        <v>316.51939170560036</v>
      </c>
      <c r="AM95" s="62">
        <f t="shared" si="59"/>
        <v>609.85272503893361</v>
      </c>
      <c r="AN95" s="62">
        <f ca="1">AVERAGE(OFFSET($AM$3,0,0,'Données projet'!$E$10+1,1))-AVERAGE(OFFSET($H$3,0,0,'Données projet'!$E$10+1,1))</f>
        <v>173.76802753906867</v>
      </c>
      <c r="AO95" s="62">
        <f t="shared" si="90"/>
        <v>153.4527010894717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2">
        <f t="shared" si="86"/>
        <v>13.244848276520115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70">
        <f t="shared" si="56"/>
        <v>394.311419081606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287.69656598881124</v>
      </c>
      <c r="T96" s="62">
        <f t="shared" si="88"/>
        <v>221.9773436301067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1.05385783423913</v>
      </c>
      <c r="AB96" s="23">
        <f>EXP(-LN(2)/2)*AB95+(1-EXP(-LN(2)/2))/(LN(2)/2)*V96*Y96*VLOOKUP('Données projet'!$B$9,Paramètres!$A$1:$I$89,3,0)*0.475*44/12</f>
        <v>4.6829417935417114E-9</v>
      </c>
      <c r="AC96" s="24">
        <f t="shared" si="57"/>
        <v>1.0538578389220719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8.3000000000000007</v>
      </c>
      <c r="AI96" s="14">
        <f>IF('Données projet'!$A$62&gt;35,AI95+AH96-AQ95,IF(A96&lt;'Données projet'!$A$62,$AF$205^A96,IF(A96='Données projet'!$A$62,'Données projet'!$B$62,AI95+AH96-AQ95)))</f>
        <v>316.90000000000003</v>
      </c>
      <c r="AJ96" s="14">
        <f>AI96*VLOOKUP('Données projet'!$B$10,Paramètres!$A$1:$I$89,3,0)*VLOOKUP('Données projet'!$B$10,Paramètres!$A$1:$I$89,5,0)</f>
        <v>148.3092</v>
      </c>
      <c r="AK96" s="14">
        <f t="shared" si="89"/>
        <v>38.194092116566551</v>
      </c>
      <c r="AL96" s="22">
        <f t="shared" si="58"/>
        <v>324.82656710302007</v>
      </c>
      <c r="AM96" s="62">
        <f t="shared" si="59"/>
        <v>618.15990043635338</v>
      </c>
      <c r="AN96" s="62">
        <f ca="1">AVERAGE(OFFSET($AM$3,0,0,'Données projet'!$E$10+1,1))-AVERAGE(OFFSET($H$3,0,0,'Données projet'!$E$10+1,1))</f>
        <v>173.76802753906867</v>
      </c>
      <c r="AO96" s="62">
        <f t="shared" si="90"/>
        <v>153.4527010894717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2">
        <f t="shared" si="86"/>
        <v>13.37061013858626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70">
        <f t="shared" si="56"/>
        <v>395.36819599137124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287.69656598881124</v>
      </c>
      <c r="T97" s="62">
        <f t="shared" si="88"/>
        <v>221.9773436301067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1.0250400363418861</v>
      </c>
      <c r="AB97" s="23">
        <f>EXP(-LN(2)/2)*AB96+(1-EXP(-LN(2)/2))/(LN(2)/2)*V97*Y97*VLOOKUP('Données projet'!$B$9,Paramètres!$A$1:$I$89,3,0)*0.475*44/12</f>
        <v>3.3113398981152374E-9</v>
      </c>
      <c r="AC97" s="24">
        <f t="shared" si="57"/>
        <v>1.025040039653226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8.3000000000000007</v>
      </c>
      <c r="AI97" s="14">
        <f>IF('Données projet'!$A$62&gt;35,AI96+AH97-AQ96,IF(A97&lt;'Données projet'!$A$62,$AF$205^A97,IF(A97='Données projet'!$A$62,'Données projet'!$B$62,AI96+AH97-AQ96)))</f>
        <v>325.20000000000005</v>
      </c>
      <c r="AJ97" s="14">
        <f>AI97*VLOOKUP('Données projet'!$B$10,Paramètres!$A$1:$I$89,3,0)*VLOOKUP('Données projet'!$B$10,Paramètres!$A$1:$I$89,5,0)</f>
        <v>152.19360000000003</v>
      </c>
      <c r="AK97" s="14">
        <f t="shared" si="89"/>
        <v>39.076667098894909</v>
      </c>
      <c r="AL97" s="22">
        <f t="shared" si="58"/>
        <v>333.1290485305754</v>
      </c>
      <c r="AM97" s="62">
        <f t="shared" si="59"/>
        <v>626.46238186390872</v>
      </c>
      <c r="AN97" s="62">
        <f ca="1">AVERAGE(OFFSET($AM$3,0,0,'Données projet'!$E$10+1,1))-AVERAGE(OFFSET($H$3,0,0,'Données projet'!$E$10+1,1))</f>
        <v>173.76802753906867</v>
      </c>
      <c r="AO97" s="62">
        <f t="shared" si="90"/>
        <v>153.4527010894717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2">
        <f t="shared" si="86"/>
        <v>13.49621636328218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70">
        <f t="shared" si="56"/>
        <v>396.42470183271661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287.69656598881124</v>
      </c>
      <c r="T98" s="62">
        <f t="shared" si="88"/>
        <v>221.9773436301067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0.99701026264360448</v>
      </c>
      <c r="AB98" s="23">
        <f>EXP(-LN(2)/2)*AB97+(1-EXP(-LN(2)/2))/(LN(2)/2)*V98*Y98*VLOOKUP('Données projet'!$B$9,Paramètres!$A$1:$I$89,3,0)*0.475*44/12</f>
        <v>2.3414708967708557E-9</v>
      </c>
      <c r="AC98" s="24">
        <f t="shared" si="57"/>
        <v>0.99701026498507539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8.3000000000000007</v>
      </c>
      <c r="AI98" s="14">
        <f>IF('Données projet'!$A$62&gt;35,AI97+AH98-AQ97,IF(A98&lt;'Données projet'!$A$62,$AF$205^A98,IF(A98='Données projet'!$A$62,'Données projet'!$B$62,AI97+AH98-AQ97)))</f>
        <v>333.50000000000006</v>
      </c>
      <c r="AJ98" s="14">
        <f>AI98*VLOOKUP('Données projet'!$B$10,Paramètres!$A$1:$I$89,3,0)*VLOOKUP('Données projet'!$B$10,Paramètres!$A$1:$I$89,5,0)</f>
        <v>156.07800000000003</v>
      </c>
      <c r="AK98" s="14">
        <f t="shared" si="89"/>
        <v>39.956623674978466</v>
      </c>
      <c r="AL98" s="22">
        <f t="shared" si="58"/>
        <v>341.42696956725422</v>
      </c>
      <c r="AM98" s="62">
        <f t="shared" si="59"/>
        <v>634.76030290058748</v>
      </c>
      <c r="AN98" s="62">
        <f ca="1">AVERAGE(OFFSET($AM$3,0,0,'Données projet'!$E$10+1,1))-AVERAGE(OFFSET($H$3,0,0,'Données projet'!$E$10+1,1))</f>
        <v>173.76802753906867</v>
      </c>
      <c r="AO98" s="62">
        <f t="shared" si="90"/>
        <v>153.4527010894717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2">
        <f t="shared" si="86"/>
        <v>13.621668778540512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70">
        <f t="shared" si="56"/>
        <v>397.48093978929154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287.69656598881124</v>
      </c>
      <c r="T99" s="62">
        <f t="shared" si="88"/>
        <v>221.9773436301067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0.96974696458112408</v>
      </c>
      <c r="AB99" s="23">
        <f>EXP(-LN(2)/2)*AB98+(1-EXP(-LN(2)/2))/(LN(2)/2)*V99*Y99*VLOOKUP('Données projet'!$B$9,Paramètres!$A$1:$I$89,3,0)*0.475*44/12</f>
        <v>1.6556699490576187E-9</v>
      </c>
      <c r="AC99" s="24">
        <f t="shared" si="57"/>
        <v>0.96974696623679402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8.3000000000000007</v>
      </c>
      <c r="AI99" s="14">
        <f>IF('Données projet'!$A$62&gt;35,AI98+AH99-AQ98,IF(A99&lt;'Données projet'!$A$62,$AF$205^A99,IF(A99='Données projet'!$A$62,'Données projet'!$B$62,AI98+AH99-AQ98)))</f>
        <v>341.80000000000007</v>
      </c>
      <c r="AJ99" s="14">
        <f>AI99*VLOOKUP('Données projet'!$B$10,Paramètres!$A$1:$I$89,3,0)*VLOOKUP('Données projet'!$B$10,Paramètres!$A$1:$I$89,5,0)</f>
        <v>159.96240000000003</v>
      </c>
      <c r="AK99" s="14">
        <f t="shared" si="89"/>
        <v>40.834034505739851</v>
      </c>
      <c r="AL99" s="22">
        <f t="shared" si="58"/>
        <v>349.7204567641636</v>
      </c>
      <c r="AM99" s="62">
        <f t="shared" si="59"/>
        <v>643.05379009749686</v>
      </c>
      <c r="AN99" s="62">
        <f ca="1">AVERAGE(OFFSET($AM$3,0,0,'Données projet'!$E$10+1,1))-AVERAGE(OFFSET($H$3,0,0,'Données projet'!$E$10+1,1))</f>
        <v>173.76802753906867</v>
      </c>
      <c r="AO99" s="62">
        <f t="shared" si="90"/>
        <v>153.4527010894717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2">
        <f t="shared" si="86"/>
        <v>13.746969172017856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70">
        <f t="shared" si="56"/>
        <v>398.5369129745979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287.69656598881124</v>
      </c>
      <c r="T100" s="62">
        <f t="shared" si="88"/>
        <v>221.9773436301067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0.94322918283787671</v>
      </c>
      <c r="AB100" s="23">
        <f>EXP(-LN(2)/2)*AB99+(1-EXP(-LN(2)/2))/(LN(2)/2)*V100*Y100*VLOOKUP('Données projet'!$B$9,Paramètres!$A$1:$I$89,3,0)*0.475*44/12</f>
        <v>1.1707354483854278E-9</v>
      </c>
      <c r="AC100" s="24">
        <f t="shared" si="57"/>
        <v>0.94322918400861211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8.3000000000000007</v>
      </c>
      <c r="AI100" s="14">
        <f>IF('Données projet'!$A$62&gt;35,AI99+AH100-AQ99,IF(A100&lt;'Données projet'!$A$62,$AF$205^A100,IF(A100='Données projet'!$A$62,'Données projet'!$B$62,AI99+AH100-AQ99)))</f>
        <v>350.10000000000008</v>
      </c>
      <c r="AJ100" s="14">
        <f>AI100*VLOOKUP('Données projet'!$B$10,Paramètres!$A$1:$I$89,3,0)*VLOOKUP('Données projet'!$B$10,Paramètres!$A$1:$I$89,5,0)</f>
        <v>163.84680000000003</v>
      </c>
      <c r="AK100" s="14">
        <f t="shared" si="89"/>
        <v>41.708968522008732</v>
      </c>
      <c r="AL100" s="22">
        <f t="shared" si="58"/>
        <v>358.00963017583189</v>
      </c>
      <c r="AM100" s="62">
        <f t="shared" si="59"/>
        <v>651.3429635091652</v>
      </c>
      <c r="AN100" s="62">
        <f ca="1">AVERAGE(OFFSET($AM$3,0,0,'Données projet'!$E$10+1,1))-AVERAGE(OFFSET($H$3,0,0,'Données projet'!$E$10+1,1))</f>
        <v>173.76802753906867</v>
      </c>
      <c r="AO100" s="62">
        <f t="shared" si="90"/>
        <v>153.4527010894717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2">
        <f t="shared" si="86"/>
        <v>13.87211929238806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70">
        <f t="shared" si="56"/>
        <v>399.59262443424268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287.69656598881124</v>
      </c>
      <c r="T101" s="62">
        <f t="shared" si="88"/>
        <v>221.9773436301067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0.91743653123090807</v>
      </c>
      <c r="AB101" s="23">
        <f>EXP(-LN(2)/2)*AB100+(1-EXP(-LN(2)/2))/(LN(2)/2)*V101*Y101*VLOOKUP('Données projet'!$B$9,Paramètres!$A$1:$I$89,3,0)*0.475*44/12</f>
        <v>8.2783497452880934E-10</v>
      </c>
      <c r="AC101" s="24">
        <f t="shared" si="57"/>
        <v>0.91743653205874309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8.3000000000000007</v>
      </c>
      <c r="AI101" s="14">
        <f>IF('Données projet'!$A$62&gt;35,AI100+AH101-AQ100,IF(A101&lt;'Données projet'!$A$62,$AF$205^A101,IF(A101='Données projet'!$A$62,'Données projet'!$B$62,AI100+AH101-AQ100)))</f>
        <v>358.40000000000009</v>
      </c>
      <c r="AJ101" s="14">
        <f>AI101*VLOOKUP('Données projet'!$B$10,Paramètres!$A$1:$I$89,3,0)*VLOOKUP('Données projet'!$B$10,Paramètres!$A$1:$I$89,5,0)</f>
        <v>167.73120000000006</v>
      </c>
      <c r="AK101" s="14">
        <f t="shared" si="89"/>
        <v>42.581491199832655</v>
      </c>
      <c r="AL101" s="22">
        <f t="shared" si="58"/>
        <v>366.29460383970871</v>
      </c>
      <c r="AM101" s="62">
        <f t="shared" si="59"/>
        <v>659.62793717304203</v>
      </c>
      <c r="AN101" s="62">
        <f ca="1">AVERAGE(OFFSET($AM$3,0,0,'Données projet'!$E$10+1,1))-AVERAGE(OFFSET($H$3,0,0,'Données projet'!$E$10+1,1))</f>
        <v>173.76802753906867</v>
      </c>
      <c r="AO101" s="62">
        <f t="shared" si="90"/>
        <v>153.4527010894717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2">
        <f t="shared" si="86"/>
        <v>13.997120850581238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70">
        <f t="shared" si="56"/>
        <v>400.64807714809581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287.69656598881124</v>
      </c>
      <c r="T102" s="62">
        <f t="shared" si="88"/>
        <v>221.9773436301067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0.89234918103850858</v>
      </c>
      <c r="AB102" s="23">
        <f>EXP(-LN(2)/2)*AB101+(1-EXP(-LN(2)/2))/(LN(2)/2)*V102*Y102*VLOOKUP('Données projet'!$B$9,Paramètres!$A$1:$I$89,3,0)*0.475*44/12</f>
        <v>5.8536772419271392E-10</v>
      </c>
      <c r="AC102" s="24">
        <f t="shared" si="57"/>
        <v>0.89234918162387633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8.3000000000000007</v>
      </c>
      <c r="AI102" s="14">
        <f>IF('Données projet'!$A$62&gt;35,AI101+AH102-AQ101,IF(A102&lt;'Données projet'!$A$62,$AF$205^A102,IF(A102='Données projet'!$A$62,'Données projet'!$B$62,AI101+AH102-AQ101)))</f>
        <v>366.7000000000001</v>
      </c>
      <c r="AJ102" s="14">
        <f>AI102*VLOOKUP('Données projet'!$B$10,Paramètres!$A$1:$I$89,3,0)*VLOOKUP('Données projet'!$B$10,Paramètres!$A$1:$I$89,5,0)</f>
        <v>171.61560000000006</v>
      </c>
      <c r="AK102" s="14">
        <f t="shared" si="89"/>
        <v>43.45166480956653</v>
      </c>
      <c r="AL102" s="22">
        <f t="shared" si="58"/>
        <v>374.57548620999506</v>
      </c>
      <c r="AM102" s="62">
        <f t="shared" si="59"/>
        <v>667.90881954332838</v>
      </c>
      <c r="AN102" s="62">
        <f ca="1">AVERAGE(OFFSET($AM$3,0,0,'Données projet'!$E$10+1,1))-AVERAGE(OFFSET($H$3,0,0,'Données projet'!$E$10+1,1))</f>
        <v>173.76802753906867</v>
      </c>
      <c r="AO102" s="62">
        <f t="shared" si="90"/>
        <v>153.4527010894717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2">
        <f t="shared" si="86"/>
        <v>14.121975520971258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70">
        <f t="shared" si="56"/>
        <v>401.70327403235842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287.69656598881124</v>
      </c>
      <c r="T103" s="62">
        <f t="shared" si="88"/>
        <v>221.9773436301067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0.8679478457564066</v>
      </c>
      <c r="AB103" s="23">
        <f>EXP(-LN(2)/2)*AB102+(1-EXP(-LN(2)/2))/(LN(2)/2)*V103*Y103*VLOOKUP('Données projet'!$B$9,Paramètres!$A$1:$I$89,3,0)*0.475*44/12</f>
        <v>4.1391748726440467E-10</v>
      </c>
      <c r="AC103" s="24">
        <f t="shared" si="57"/>
        <v>0.86794784617032406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375</v>
      </c>
      <c r="AG103" s="13">
        <f>VLOOKUP(A103,'Données projet'!$A$61:$I$81,9,0)</f>
        <v>8.3000000000000007</v>
      </c>
      <c r="AH103" s="13">
        <f t="array" ref="AH103">INDEX(AG:AG,MIN(IF(ISNUMBER(AG103:AG299),ROW(AG103:AG299),"")))</f>
        <v>8.3000000000000007</v>
      </c>
      <c r="AI103" s="14">
        <f>IF('Données projet'!$A$62&gt;35,AI102+AH103-AQ102,IF(A103&lt;'Données projet'!$A$62,$AF$205^A103,IF(A103='Données projet'!$A$62,'Données projet'!$B$62,AI102+AH103-AQ102)))</f>
        <v>375.00000000000011</v>
      </c>
      <c r="AJ103" s="14">
        <f>AI103*VLOOKUP('Données projet'!$B$10,Paramètres!$A$1:$I$89,3,0)*VLOOKUP('Données projet'!$B$10,Paramètres!$A$1:$I$89,5,0)</f>
        <v>175.50000000000006</v>
      </c>
      <c r="AK103" s="14">
        <f t="shared" si="89"/>
        <v>44.319548641773906</v>
      </c>
      <c r="AL103" s="22">
        <f t="shared" si="58"/>
        <v>382.85238055108965</v>
      </c>
      <c r="AM103" s="62">
        <f t="shared" si="59"/>
        <v>676.18571388442297</v>
      </c>
      <c r="AN103" s="62">
        <f ca="1">AVERAGE(OFFSET($AM$3,0,0,'Données projet'!$E$10+1,1))-AVERAGE(OFFSET($H$3,0,0,'Données projet'!$E$10+1,1))</f>
        <v>173.76802753906867</v>
      </c>
      <c r="AO103" s="62">
        <f t="shared" si="90"/>
        <v>153.4527010894717</v>
      </c>
      <c r="AP103" s="16">
        <f>IF(ISNA(VLOOKUP(A103,'Données projet'!$A$61:$I$81,3,0)),0,VLOOKUP(A103,'Données projet'!$A$61:$I$81,3,0))</f>
        <v>9</v>
      </c>
      <c r="AQ103" s="16">
        <f>IF(ISNA(VLOOKUP(A103,'Données projet'!$A$61:$I$81,4,0)),0,VLOOKUP(A103,'Données projet'!$A$61:$I$81,4,0))</f>
        <v>375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2">
        <f t="shared" si="86"/>
        <v>14.246684942514399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70">
        <f t="shared" si="56"/>
        <v>402.75821794154609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287.69656598881124</v>
      </c>
      <c r="T104" s="62">
        <f t="shared" si="88"/>
        <v>221.9773436301067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0.84421376627080413</v>
      </c>
      <c r="AB104" s="23">
        <f>EXP(-LN(2)/2)*AB103+(1-EXP(-LN(2)/2))/(LN(2)/2)*V104*Y104*VLOOKUP('Données projet'!$B$9,Paramètres!$A$1:$I$89,3,0)*0.475*44/12</f>
        <v>2.9268386209635696E-10</v>
      </c>
      <c r="AC104" s="24">
        <f t="shared" si="57"/>
        <v>0.84421376656348801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1.1368683772161603E-13</v>
      </c>
      <c r="AJ104" s="14">
        <f>AI104*VLOOKUP('Données projet'!$B$10,Paramètres!$A$1:$I$89,3,0)*VLOOKUP('Données projet'!$B$10,Paramètres!$A$1:$I$89,5,0)</f>
        <v>5.3205440053716299E-14</v>
      </c>
      <c r="AK104" s="14">
        <f t="shared" si="89"/>
        <v>8.602146238565607E-13</v>
      </c>
      <c r="AL104" s="22">
        <f t="shared" si="58"/>
        <v>1.590873277977066E-12</v>
      </c>
      <c r="AM104" s="62">
        <f t="shared" si="59"/>
        <v>293.33333333333491</v>
      </c>
      <c r="AN104" s="62">
        <f ca="1">AVERAGE(OFFSET($AM$3,0,0,'Données projet'!$E$10+1,1))-AVERAGE(OFFSET($H$3,0,0,'Données projet'!$E$10+1,1))</f>
        <v>173.76802753906867</v>
      </c>
      <c r="AO104" s="62">
        <f t="shared" si="90"/>
        <v>153.4527010894717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2">
        <f t="shared" si="86"/>
        <v>14.371250719841637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70">
        <f t="shared" si="56"/>
        <v>403.81291167039103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287.69656598881124</v>
      </c>
      <c r="T105" s="62">
        <f t="shared" si="88"/>
        <v>221.9773436301067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0.82112869643685649</v>
      </c>
      <c r="AB105" s="23">
        <f>EXP(-LN(2)/2)*AB104+(1-EXP(-LN(2)/2))/(LN(2)/2)*V105*Y105*VLOOKUP('Données projet'!$B$9,Paramètres!$A$1:$I$89,3,0)*0.475*44/12</f>
        <v>2.0695874363220234E-10</v>
      </c>
      <c r="AC105" s="24">
        <f t="shared" si="57"/>
        <v>0.82112869664381527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1.1368683772161603E-13</v>
      </c>
      <c r="AJ105" s="14">
        <f>AI105*VLOOKUP('Données projet'!$B$10,Paramètres!$A$1:$I$89,3,0)*VLOOKUP('Données projet'!$B$10,Paramètres!$A$1:$I$89,5,0)</f>
        <v>5.3205440053716299E-14</v>
      </c>
      <c r="AK105" s="14">
        <f t="shared" si="89"/>
        <v>8.602146238565607E-13</v>
      </c>
      <c r="AL105" s="22">
        <f t="shared" si="58"/>
        <v>1.590873277977066E-12</v>
      </c>
      <c r="AM105" s="62">
        <f t="shared" si="59"/>
        <v>293.33333333333491</v>
      </c>
      <c r="AN105" s="62">
        <f ca="1">AVERAGE(OFFSET($AM$3,0,0,'Données projet'!$E$10+1,1))-AVERAGE(OFFSET($H$3,0,0,'Données projet'!$E$10+1,1))</f>
        <v>173.76802753906867</v>
      </c>
      <c r="AO105" s="62">
        <f t="shared" si="90"/>
        <v>153.4527010894717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2">
        <f t="shared" si="86"/>
        <v>14.495674424306822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70">
        <f t="shared" si="56"/>
        <v>404.8673579556679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287.69656598881124</v>
      </c>
      <c r="T106" s="62">
        <f t="shared" si="88"/>
        <v>221.9773436301067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0.79867488905150918</v>
      </c>
      <c r="AB106" s="23">
        <f>EXP(-LN(2)/2)*AB105+(1-EXP(-LN(2)/2))/(LN(2)/2)*V106*Y106*VLOOKUP('Données projet'!$B$9,Paramètres!$A$1:$I$89,3,0)*0.475*44/12</f>
        <v>1.4634193104817848E-10</v>
      </c>
      <c r="AC106" s="24">
        <f t="shared" si="57"/>
        <v>0.79867488919785112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1.1368683772161603E-13</v>
      </c>
      <c r="AJ106" s="14">
        <f>AI106*VLOOKUP('Données projet'!$B$10,Paramètres!$A$1:$I$89,3,0)*VLOOKUP('Données projet'!$B$10,Paramètres!$A$1:$I$89,5,0)</f>
        <v>5.3205440053716299E-14</v>
      </c>
      <c r="AK106" s="14">
        <f t="shared" si="89"/>
        <v>8.602146238565607E-13</v>
      </c>
      <c r="AL106" s="22">
        <f t="shared" si="58"/>
        <v>1.590873277977066E-12</v>
      </c>
      <c r="AM106" s="62">
        <f t="shared" si="59"/>
        <v>293.33333333333491</v>
      </c>
      <c r="AN106" s="62">
        <f ca="1">AVERAGE(OFFSET($AM$3,0,0,'Données projet'!$E$10+1,1))-AVERAGE(OFFSET($H$3,0,0,'Données projet'!$E$10+1,1))</f>
        <v>173.76802753906867</v>
      </c>
      <c r="AO106" s="62">
        <f t="shared" si="90"/>
        <v>153.4527010894717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2">
        <f t="shared" si="86"/>
        <v>14.619957594993028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70">
        <f t="shared" si="56"/>
        <v>405.92155947794635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287.69656598881124</v>
      </c>
      <c r="T107" s="62">
        <f t="shared" si="88"/>
        <v>221.9773436301067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0.7768350822099086</v>
      </c>
      <c r="AB107" s="23">
        <f>EXP(-LN(2)/2)*AB106+(1-EXP(-LN(2)/2))/(LN(2)/2)*V107*Y107*VLOOKUP('Données projet'!$B$9,Paramètres!$A$1:$I$89,3,0)*0.475*44/12</f>
        <v>1.0347937181610117E-10</v>
      </c>
      <c r="AC107" s="24">
        <f t="shared" si="57"/>
        <v>0.77683508231338794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1.1368683772161603E-13</v>
      </c>
      <c r="AJ107" s="14">
        <f>AI107*VLOOKUP('Données projet'!$B$10,Paramètres!$A$1:$I$89,3,0)*VLOOKUP('Données projet'!$B$10,Paramètres!$A$1:$I$89,5,0)</f>
        <v>5.3205440053716299E-14</v>
      </c>
      <c r="AK107" s="14">
        <f t="shared" si="89"/>
        <v>8.602146238565607E-13</v>
      </c>
      <c r="AL107" s="22">
        <f t="shared" si="58"/>
        <v>1.590873277977066E-12</v>
      </c>
      <c r="AM107" s="62">
        <f t="shared" si="59"/>
        <v>293.33333333333491</v>
      </c>
      <c r="AN107" s="62">
        <f ca="1">AVERAGE(OFFSET($AM$3,0,0,'Données projet'!$E$10+1,1))-AVERAGE(OFFSET($H$3,0,0,'Données projet'!$E$10+1,1))</f>
        <v>173.76802753906867</v>
      </c>
      <c r="AO107" s="62">
        <f t="shared" si="90"/>
        <v>153.4527010894717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2">
        <f t="shared" si="86"/>
        <v>14.744101739679099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70">
        <f t="shared" si="56"/>
        <v>406.9755188632746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287.69656598881124</v>
      </c>
      <c r="T108" s="62">
        <f t="shared" si="88"/>
        <v>221.9773436301067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0.75559248603489715</v>
      </c>
      <c r="AB108" s="23">
        <f>EXP(-LN(2)/2)*AB107+(1-EXP(-LN(2)/2))/(LN(2)/2)*V108*Y108*VLOOKUP('Données projet'!$B$9,Paramètres!$A$1:$I$89,3,0)*0.475*44/12</f>
        <v>7.317096552408924E-11</v>
      </c>
      <c r="AC108" s="24">
        <f t="shared" si="57"/>
        <v>0.75559248610806806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1.1368683772161603E-13</v>
      </c>
      <c r="AJ108" s="14">
        <f>AI108*VLOOKUP('Données projet'!$B$10,Paramètres!$A$1:$I$89,3,0)*VLOOKUP('Données projet'!$B$10,Paramètres!$A$1:$I$89,5,0)</f>
        <v>5.3205440053716299E-14</v>
      </c>
      <c r="AK108" s="14">
        <f t="shared" si="89"/>
        <v>8.602146238565607E-13</v>
      </c>
      <c r="AL108" s="22">
        <f t="shared" si="58"/>
        <v>1.590873277977066E-12</v>
      </c>
      <c r="AM108" s="62">
        <f t="shared" si="59"/>
        <v>293.33333333333491</v>
      </c>
      <c r="AN108" s="62">
        <f ca="1">AVERAGE(OFFSET($AM$3,0,0,'Données projet'!$E$10+1,1))-AVERAGE(OFFSET($H$3,0,0,'Données projet'!$E$10+1,1))</f>
        <v>173.76802753906867</v>
      </c>
      <c r="AO108" s="62">
        <f t="shared" si="90"/>
        <v>153.4527010894717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2">
        <f t="shared" si="86"/>
        <v>14.868108335768225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70">
        <f t="shared" si="56"/>
        <v>408.0292386847965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287.69656598881124</v>
      </c>
      <c r="T109" s="62">
        <f t="shared" si="88"/>
        <v>221.9773436301067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0.73493076976939098</v>
      </c>
      <c r="AB109" s="23">
        <f>EXP(-LN(2)/2)*AB108+(1-EXP(-LN(2)/2))/(LN(2)/2)*V109*Y109*VLOOKUP('Données projet'!$B$9,Paramètres!$A$1:$I$89,3,0)*0.475*44/12</f>
        <v>5.1739685908050584E-11</v>
      </c>
      <c r="AC109" s="24">
        <f t="shared" si="57"/>
        <v>0.7349307698211307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1.1368683772161603E-13</v>
      </c>
      <c r="AJ109" s="14">
        <f>AI109*VLOOKUP('Données projet'!$B$10,Paramètres!$A$1:$I$89,3,0)*VLOOKUP('Données projet'!$B$10,Paramètres!$A$1:$I$89,5,0)</f>
        <v>5.3205440053716299E-14</v>
      </c>
      <c r="AK109" s="14">
        <f t="shared" si="89"/>
        <v>8.602146238565607E-13</v>
      </c>
      <c r="AL109" s="22">
        <f t="shared" si="58"/>
        <v>1.590873277977066E-12</v>
      </c>
      <c r="AM109" s="62">
        <f t="shared" si="59"/>
        <v>293.33333333333491</v>
      </c>
      <c r="AN109" s="62">
        <f ca="1">AVERAGE(OFFSET($AM$3,0,0,'Données projet'!$E$10+1,1))-AVERAGE(OFFSET($H$3,0,0,'Données projet'!$E$10+1,1))</f>
        <v>173.76802753906867</v>
      </c>
      <c r="AO109" s="62">
        <f t="shared" si="90"/>
        <v>153.4527010894717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2">
        <f t="shared" si="86"/>
        <v>14.991978831180672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70">
        <f t="shared" si="56"/>
        <v>409.08272146430653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287.69656598881124</v>
      </c>
      <c r="T110" s="62">
        <f t="shared" si="88"/>
        <v>221.9773436301067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0.71483404922171756</v>
      </c>
      <c r="AB110" s="23">
        <f>EXP(-LN(2)/2)*AB109+(1-EXP(-LN(2)/2))/(LN(2)/2)*V110*Y110*VLOOKUP('Données projet'!$B$9,Paramètres!$A$1:$I$89,3,0)*0.475*44/12</f>
        <v>3.658548276204462E-11</v>
      </c>
      <c r="AC110" s="24">
        <f t="shared" si="57"/>
        <v>0.71483404925830307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1.1368683772161603E-13</v>
      </c>
      <c r="AJ110" s="14">
        <f>AI110*VLOOKUP('Données projet'!$B$10,Paramètres!$A$1:$I$89,3,0)*VLOOKUP('Données projet'!$B$10,Paramètres!$A$1:$I$89,5,0)</f>
        <v>5.3205440053716299E-14</v>
      </c>
      <c r="AK110" s="14">
        <f t="shared" si="89"/>
        <v>8.602146238565607E-13</v>
      </c>
      <c r="AL110" s="22">
        <f t="shared" si="58"/>
        <v>1.590873277977066E-12</v>
      </c>
      <c r="AM110" s="62">
        <f t="shared" si="59"/>
        <v>293.33333333333491</v>
      </c>
      <c r="AN110" s="62">
        <f ca="1">AVERAGE(OFFSET($AM$3,0,0,'Données projet'!$E$10+1,1))-AVERAGE(OFFSET($H$3,0,0,'Données projet'!$E$10+1,1))</f>
        <v>173.76802753906867</v>
      </c>
      <c r="AO110" s="62">
        <f t="shared" si="90"/>
        <v>153.4527010894717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2">
        <f t="shared" si="86"/>
        <v>15.115714645211925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70">
        <f t="shared" si="56"/>
        <v>410.13596967374428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287.69656598881124</v>
      </c>
      <c r="T111" s="62">
        <f t="shared" si="88"/>
        <v>221.9773436301067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0.69528687455426086</v>
      </c>
      <c r="AB111" s="23">
        <f>EXP(-LN(2)/2)*AB110+(1-EXP(-LN(2)/2))/(LN(2)/2)*V111*Y111*VLOOKUP('Données projet'!$B$9,Paramètres!$A$1:$I$89,3,0)*0.475*44/12</f>
        <v>2.5869842954025292E-11</v>
      </c>
      <c r="AC111" s="24">
        <f t="shared" si="57"/>
        <v>0.69528687458013072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1.1368683772161603E-13</v>
      </c>
      <c r="AJ111" s="14">
        <f>AI111*VLOOKUP('Données projet'!$B$10,Paramètres!$A$1:$I$89,3,0)*VLOOKUP('Données projet'!$B$10,Paramètres!$A$1:$I$89,5,0)</f>
        <v>5.3205440053716299E-14</v>
      </c>
      <c r="AK111" s="14">
        <f t="shared" si="89"/>
        <v>8.602146238565607E-13</v>
      </c>
      <c r="AL111" s="22">
        <f t="shared" si="58"/>
        <v>1.590873277977066E-12</v>
      </c>
      <c r="AM111" s="62">
        <f t="shared" si="59"/>
        <v>293.33333333333491</v>
      </c>
      <c r="AN111" s="62">
        <f ca="1">AVERAGE(OFFSET($AM$3,0,0,'Données projet'!$E$10+1,1))-AVERAGE(OFFSET($H$3,0,0,'Données projet'!$E$10+1,1))</f>
        <v>173.76802753906867</v>
      </c>
      <c r="AO111" s="62">
        <f t="shared" si="90"/>
        <v>153.4527010894717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2">
        <f t="shared" si="86"/>
        <v>15.239317169358381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70">
        <f t="shared" si="56"/>
        <v>411.18898573663273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287.69656598881124</v>
      </c>
      <c r="T112" s="62">
        <f t="shared" si="88"/>
        <v>221.9773436301067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0.67627421840602697</v>
      </c>
      <c r="AB112" s="23">
        <f>EXP(-LN(2)/2)*AB111+(1-EXP(-LN(2)/2))/(LN(2)/2)*V112*Y112*VLOOKUP('Données projet'!$B$9,Paramètres!$A$1:$I$89,3,0)*0.475*44/12</f>
        <v>1.829274138102231E-11</v>
      </c>
      <c r="AC112" s="24">
        <f t="shared" si="57"/>
        <v>0.67627421842431967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1.1368683772161603E-13</v>
      </c>
      <c r="AJ112" s="14">
        <f>AI112*VLOOKUP('Données projet'!$B$10,Paramètres!$A$1:$I$89,3,0)*VLOOKUP('Données projet'!$B$10,Paramètres!$A$1:$I$89,5,0)</f>
        <v>5.3205440053716299E-14</v>
      </c>
      <c r="AK112" s="14">
        <f t="shared" si="89"/>
        <v>8.602146238565607E-13</v>
      </c>
      <c r="AL112" s="22">
        <f t="shared" si="58"/>
        <v>1.590873277977066E-12</v>
      </c>
      <c r="AM112" s="62">
        <f t="shared" si="59"/>
        <v>293.33333333333491</v>
      </c>
      <c r="AN112" s="62">
        <f ca="1">AVERAGE(OFFSET($AM$3,0,0,'Données projet'!$E$10+1,1))-AVERAGE(OFFSET($H$3,0,0,'Données projet'!$E$10+1,1))</f>
        <v>173.76802753906867</v>
      </c>
      <c r="AO112" s="62">
        <f t="shared" si="90"/>
        <v>153.4527010894717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2">
        <f t="shared" si="86"/>
        <v>15.362787768111703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70">
        <f t="shared" si="56"/>
        <v>412.2417720294614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287.69656598881124</v>
      </c>
      <c r="T113" s="62">
        <f t="shared" si="88"/>
        <v>221.9773436301067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0.65778146433999862</v>
      </c>
      <c r="AB113" s="23">
        <f>EXP(-LN(2)/2)*AB112+(1-EXP(-LN(2)/2))/(LN(2)/2)*V113*Y113*VLOOKUP('Données projet'!$B$9,Paramètres!$A$1:$I$89,3,0)*0.475*44/12</f>
        <v>1.2934921477012646E-11</v>
      </c>
      <c r="AC113" s="24">
        <f t="shared" si="57"/>
        <v>0.6577814643529335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1.1368683772161603E-13</v>
      </c>
      <c r="AJ113" s="14">
        <f>AI113*VLOOKUP('Données projet'!$B$10,Paramètres!$A$1:$I$89,3,0)*VLOOKUP('Données projet'!$B$10,Paramètres!$A$1:$I$89,5,0)</f>
        <v>5.3205440053716299E-14</v>
      </c>
      <c r="AK113" s="14">
        <f t="shared" si="89"/>
        <v>8.602146238565607E-13</v>
      </c>
      <c r="AL113" s="22">
        <f t="shared" si="58"/>
        <v>1.590873277977066E-12</v>
      </c>
      <c r="AM113" s="62">
        <f t="shared" si="59"/>
        <v>293.33333333333491</v>
      </c>
      <c r="AN113" s="62">
        <f ca="1">AVERAGE(OFFSET($AM$3,0,0,'Données projet'!$E$10+1,1))-AVERAGE(OFFSET($H$3,0,0,'Données projet'!$E$10+1,1))</f>
        <v>173.76802753906867</v>
      </c>
      <c r="AO113" s="62">
        <f t="shared" si="90"/>
        <v>153.4527010894717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2">
        <f t="shared" si="86"/>
        <v>15.486127779723555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70">
        <f t="shared" si="56"/>
        <v>413.29433088301869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287.69656598881124</v>
      </c>
      <c r="T114" s="62">
        <f t="shared" si="88"/>
        <v>221.9773436301067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0.6397943956063975</v>
      </c>
      <c r="AB114" s="23">
        <f>EXP(-LN(2)/2)*AB113+(1-EXP(-LN(2)/2))/(LN(2)/2)*V114*Y114*VLOOKUP('Données projet'!$B$9,Paramètres!$A$1:$I$89,3,0)*0.475*44/12</f>
        <v>9.1463706905111551E-12</v>
      </c>
      <c r="AC114" s="24">
        <f t="shared" si="57"/>
        <v>0.63979439561554385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1.1368683772161603E-13</v>
      </c>
      <c r="AJ114" s="14">
        <f>AI114*VLOOKUP('Données projet'!$B$10,Paramètres!$A$1:$I$89,3,0)*VLOOKUP('Données projet'!$B$10,Paramètres!$A$1:$I$89,5,0)</f>
        <v>5.3205440053716299E-14</v>
      </c>
      <c r="AK114" s="14">
        <f t="shared" si="89"/>
        <v>8.602146238565607E-13</v>
      </c>
      <c r="AL114" s="22">
        <f t="shared" si="58"/>
        <v>1.590873277977066E-12</v>
      </c>
      <c r="AM114" s="62">
        <f t="shared" si="59"/>
        <v>293.33333333333491</v>
      </c>
      <c r="AN114" s="62">
        <f ca="1">AVERAGE(OFFSET($AM$3,0,0,'Données projet'!$E$10+1,1))-AVERAGE(OFFSET($H$3,0,0,'Données projet'!$E$10+1,1))</f>
        <v>173.76802753906867</v>
      </c>
      <c r="AO114" s="62">
        <f t="shared" si="90"/>
        <v>153.4527010894717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2">
        <f t="shared" si="86"/>
        <v>15.609338516941946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70">
        <f t="shared" si="56"/>
        <v>414.34666458367406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287.69656598881124</v>
      </c>
      <c r="T115" s="62">
        <f t="shared" si="88"/>
        <v>221.9773436301067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0.62229918421321562</v>
      </c>
      <c r="AB115" s="23">
        <f>EXP(-LN(2)/2)*AB114+(1-EXP(-LN(2)/2))/(LN(2)/2)*V115*Y115*VLOOKUP('Données projet'!$B$9,Paramètres!$A$1:$I$89,3,0)*0.475*44/12</f>
        <v>6.467460738506323E-12</v>
      </c>
      <c r="AC115" s="24">
        <f t="shared" si="57"/>
        <v>0.62229918421968311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1.1368683772161603E-13</v>
      </c>
      <c r="AJ115" s="14">
        <f>AI115*VLOOKUP('Données projet'!$B$10,Paramètres!$A$1:$I$89,3,0)*VLOOKUP('Données projet'!$B$10,Paramètres!$A$1:$I$89,5,0)</f>
        <v>5.3205440053716299E-14</v>
      </c>
      <c r="AK115" s="14">
        <f t="shared" si="89"/>
        <v>8.602146238565607E-13</v>
      </c>
      <c r="AL115" s="22">
        <f t="shared" si="58"/>
        <v>1.590873277977066E-12</v>
      </c>
      <c r="AM115" s="62">
        <f t="shared" si="59"/>
        <v>293.33333333333491</v>
      </c>
      <c r="AN115" s="62">
        <f ca="1">AVERAGE(OFFSET($AM$3,0,0,'Données projet'!$E$10+1,1))-AVERAGE(OFFSET($H$3,0,0,'Données projet'!$E$10+1,1))</f>
        <v>173.76802753906867</v>
      </c>
      <c r="AO115" s="62">
        <f t="shared" si="90"/>
        <v>153.4527010894717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2">
        <f t="shared" si="86"/>
        <v>15.732421267720559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70">
        <f t="shared" si="56"/>
        <v>415.39877537461348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287.69656598881124</v>
      </c>
      <c r="T116" s="62">
        <f t="shared" si="88"/>
        <v>221.9773436301067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0.60528238029561343</v>
      </c>
      <c r="AB116" s="23">
        <f>EXP(-LN(2)/2)*AB115+(1-EXP(-LN(2)/2))/(LN(2)/2)*V116*Y116*VLOOKUP('Données projet'!$B$9,Paramètres!$A$1:$I$89,3,0)*0.475*44/12</f>
        <v>4.5731853452555775E-12</v>
      </c>
      <c r="AC116" s="24">
        <f t="shared" si="57"/>
        <v>0.60528238030018666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1.1368683772161603E-13</v>
      </c>
      <c r="AJ116" s="14">
        <f>AI116*VLOOKUP('Données projet'!$B$10,Paramètres!$A$1:$I$89,3,0)*VLOOKUP('Données projet'!$B$10,Paramètres!$A$1:$I$89,5,0)</f>
        <v>5.3205440053716299E-14</v>
      </c>
      <c r="AK116" s="14">
        <f t="shared" si="89"/>
        <v>8.602146238565607E-13</v>
      </c>
      <c r="AL116" s="22">
        <f t="shared" si="58"/>
        <v>1.590873277977066E-12</v>
      </c>
      <c r="AM116" s="62">
        <f t="shared" si="59"/>
        <v>293.33333333333491</v>
      </c>
      <c r="AN116" s="62">
        <f ca="1">AVERAGE(OFFSET($AM$3,0,0,'Données projet'!$E$10+1,1))-AVERAGE(OFFSET($H$3,0,0,'Données projet'!$E$10+1,1))</f>
        <v>173.76802753906867</v>
      </c>
      <c r="AO116" s="62">
        <f t="shared" si="90"/>
        <v>153.4527010894717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2">
        <f t="shared" si="86"/>
        <v>15.855377295902201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70">
        <f t="shared" si="56"/>
        <v>416.45066545702986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287.69656598881124</v>
      </c>
      <c r="T117" s="62">
        <f t="shared" si="88"/>
        <v>221.9773436301067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0.58873090177601295</v>
      </c>
      <c r="AB117" s="23">
        <f>EXP(-LN(2)/2)*AB116+(1-EXP(-LN(2)/2))/(LN(2)/2)*V117*Y117*VLOOKUP('Données projet'!$B$9,Paramètres!$A$1:$I$89,3,0)*0.475*44/12</f>
        <v>3.2337303692531615E-12</v>
      </c>
      <c r="AC117" s="24">
        <f t="shared" si="57"/>
        <v>0.5887309017792467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1.1368683772161603E-13</v>
      </c>
      <c r="AJ117" s="14">
        <f>AI117*VLOOKUP('Données projet'!$B$10,Paramètres!$A$1:$I$89,3,0)*VLOOKUP('Données projet'!$B$10,Paramètres!$A$1:$I$89,5,0)</f>
        <v>5.3205440053716299E-14</v>
      </c>
      <c r="AK117" s="14">
        <f t="shared" si="89"/>
        <v>8.602146238565607E-13</v>
      </c>
      <c r="AL117" s="22">
        <f t="shared" si="58"/>
        <v>1.590873277977066E-12</v>
      </c>
      <c r="AM117" s="62">
        <f t="shared" si="59"/>
        <v>293.33333333333491</v>
      </c>
      <c r="AN117" s="62">
        <f ca="1">AVERAGE(OFFSET($AM$3,0,0,'Données projet'!$E$10+1,1))-AVERAGE(OFFSET($H$3,0,0,'Données projet'!$E$10+1,1))</f>
        <v>173.76802753906867</v>
      </c>
      <c r="AO117" s="62">
        <f t="shared" si="90"/>
        <v>153.4527010894717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2">
        <f t="shared" si="86"/>
        <v>15.978207841877643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70">
        <f t="shared" si="56"/>
        <v>417.5023369912704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287.69656598881124</v>
      </c>
      <c r="T118" s="62">
        <f t="shared" si="88"/>
        <v>221.9773436301067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0.57263202430693527</v>
      </c>
      <c r="AB118" s="23">
        <f>EXP(-LN(2)/2)*AB117+(1-EXP(-LN(2)/2))/(LN(2)/2)*V118*Y118*VLOOKUP('Données projet'!$B$9,Paramètres!$A$1:$I$89,3,0)*0.475*44/12</f>
        <v>2.2865926726277888E-12</v>
      </c>
      <c r="AC118" s="24">
        <f t="shared" si="57"/>
        <v>0.57263202430922189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1.1368683772161603E-13</v>
      </c>
      <c r="AJ118" s="14">
        <f>AI118*VLOOKUP('Données projet'!$B$10,Paramètres!$A$1:$I$89,3,0)*VLOOKUP('Données projet'!$B$10,Paramètres!$A$1:$I$89,5,0)</f>
        <v>5.3205440053716299E-14</v>
      </c>
      <c r="AK118" s="14">
        <f t="shared" si="89"/>
        <v>8.602146238565607E-13</v>
      </c>
      <c r="AL118" s="22">
        <f t="shared" si="58"/>
        <v>1.590873277977066E-12</v>
      </c>
      <c r="AM118" s="62">
        <f t="shared" si="59"/>
        <v>293.33333333333491</v>
      </c>
      <c r="AN118" s="62">
        <f ca="1">AVERAGE(OFFSET($AM$3,0,0,'Données projet'!$E$10+1,1))-AVERAGE(OFFSET($H$3,0,0,'Données projet'!$E$10+1,1))</f>
        <v>173.76802753906867</v>
      </c>
      <c r="AO118" s="62">
        <f t="shared" si="90"/>
        <v>153.4527010894717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2">
        <f t="shared" si="86"/>
        <v>16.100914123220836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70">
        <f t="shared" si="56"/>
        <v>418.55379209794313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287.69656598881124</v>
      </c>
      <c r="T119" s="62">
        <f t="shared" si="88"/>
        <v>221.9773436301067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0.55697337148885273</v>
      </c>
      <c r="AB119" s="23">
        <f>EXP(-LN(2)/2)*AB118+(1-EXP(-LN(2)/2))/(LN(2)/2)*V119*Y119*VLOOKUP('Données projet'!$B$9,Paramètres!$A$1:$I$89,3,0)*0.475*44/12</f>
        <v>1.6168651846265807E-12</v>
      </c>
      <c r="AC119" s="24">
        <f t="shared" si="57"/>
        <v>0.55697337149046955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1.1368683772161603E-13</v>
      </c>
      <c r="AJ119" s="14">
        <f>AI119*VLOOKUP('Données projet'!$B$10,Paramètres!$A$1:$I$89,3,0)*VLOOKUP('Données projet'!$B$10,Paramètres!$A$1:$I$89,5,0)</f>
        <v>5.3205440053716299E-14</v>
      </c>
      <c r="AK119" s="14">
        <f t="shared" si="89"/>
        <v>8.602146238565607E-13</v>
      </c>
      <c r="AL119" s="22">
        <f t="shared" si="58"/>
        <v>1.590873277977066E-12</v>
      </c>
      <c r="AM119" s="62">
        <f t="shared" si="59"/>
        <v>293.33333333333491</v>
      </c>
      <c r="AN119" s="62">
        <f ca="1">AVERAGE(OFFSET($AM$3,0,0,'Données projet'!$E$10+1,1))-AVERAGE(OFFSET($H$3,0,0,'Données projet'!$E$10+1,1))</f>
        <v>173.76802753906867</v>
      </c>
      <c r="AO119" s="62">
        <f t="shared" si="90"/>
        <v>153.4527010894717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2">
        <f t="shared" si="86"/>
        <v>16.22349733530163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70">
        <f t="shared" si="56"/>
        <v>419.60503285898386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287.69656598881124</v>
      </c>
      <c r="T120" s="62">
        <f t="shared" si="88"/>
        <v>221.9773436301067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0.54174290535553338</v>
      </c>
      <c r="AB120" s="23">
        <f>EXP(-LN(2)/2)*AB119+(1-EXP(-LN(2)/2))/(LN(2)/2)*V120*Y120*VLOOKUP('Données projet'!$B$9,Paramètres!$A$1:$I$89,3,0)*0.475*44/12</f>
        <v>1.1432963363138944E-12</v>
      </c>
      <c r="AC120" s="24">
        <f t="shared" si="57"/>
        <v>0.54174290535667669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1.1368683772161603E-13</v>
      </c>
      <c r="AJ120" s="14">
        <f>AI120*VLOOKUP('Données projet'!$B$10,Paramètres!$A$1:$I$89,3,0)*VLOOKUP('Données projet'!$B$10,Paramètres!$A$1:$I$89,5,0)</f>
        <v>5.3205440053716299E-14</v>
      </c>
      <c r="AK120" s="14">
        <f t="shared" si="89"/>
        <v>8.602146238565607E-13</v>
      </c>
      <c r="AL120" s="22">
        <f t="shared" si="58"/>
        <v>1.590873277977066E-12</v>
      </c>
      <c r="AM120" s="62">
        <f t="shared" si="59"/>
        <v>293.33333333333491</v>
      </c>
      <c r="AN120" s="62">
        <f ca="1">AVERAGE(OFFSET($AM$3,0,0,'Données projet'!$E$10+1,1))-AVERAGE(OFFSET($H$3,0,0,'Données projet'!$E$10+1,1))</f>
        <v>173.76802753906867</v>
      </c>
      <c r="AO120" s="62">
        <f t="shared" si="90"/>
        <v>153.4527010894717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2">
        <f t="shared" si="86"/>
        <v>16.345958651876956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70">
        <f t="shared" si="56"/>
        <v>420.65606131868589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287.69656598881124</v>
      </c>
      <c r="T121" s="62">
        <f t="shared" si="88"/>
        <v>221.9773436301067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0.52692891711956513</v>
      </c>
      <c r="AB121" s="23">
        <f>EXP(-LN(2)/2)*AB120+(1-EXP(-LN(2)/2))/(LN(2)/2)*V121*Y121*VLOOKUP('Données projet'!$B$9,Paramètres!$A$1:$I$89,3,0)*0.475*44/12</f>
        <v>8.0843259231329037E-13</v>
      </c>
      <c r="AC121" s="24">
        <f t="shared" si="57"/>
        <v>0.5269289171203736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1.1368683772161603E-13</v>
      </c>
      <c r="AJ121" s="14">
        <f>AI121*VLOOKUP('Données projet'!$B$10,Paramètres!$A$1:$I$89,3,0)*VLOOKUP('Données projet'!$B$10,Paramètres!$A$1:$I$89,5,0)</f>
        <v>5.3205440053716299E-14</v>
      </c>
      <c r="AK121" s="14">
        <f t="shared" si="89"/>
        <v>8.602146238565607E-13</v>
      </c>
      <c r="AL121" s="22">
        <f t="shared" si="58"/>
        <v>1.590873277977066E-12</v>
      </c>
      <c r="AM121" s="62">
        <f t="shared" si="59"/>
        <v>293.33333333333491</v>
      </c>
      <c r="AN121" s="62">
        <f ca="1">AVERAGE(OFFSET($AM$3,0,0,'Données projet'!$E$10+1,1))-AVERAGE(OFFSET($H$3,0,0,'Données projet'!$E$10+1,1))</f>
        <v>173.76802753906867</v>
      </c>
      <c r="AO121" s="62">
        <f t="shared" si="90"/>
        <v>153.4527010894717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2">
        <f t="shared" si="86"/>
        <v>16.468299225661315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70">
        <f t="shared" si="56"/>
        <v>421.70687948469367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287.69656598881124</v>
      </c>
      <c r="T122" s="62">
        <f t="shared" si="88"/>
        <v>221.9773436301067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0.51252001817094317</v>
      </c>
      <c r="AB122" s="23">
        <f>EXP(-LN(2)/2)*AB121+(1-EXP(-LN(2)/2))/(LN(2)/2)*V122*Y122*VLOOKUP('Données projet'!$B$9,Paramètres!$A$1:$I$89,3,0)*0.475*44/12</f>
        <v>5.7164816815694719E-13</v>
      </c>
      <c r="AC122" s="24">
        <f t="shared" si="57"/>
        <v>0.51252001817151482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1.1368683772161603E-13</v>
      </c>
      <c r="AJ122" s="14">
        <f>AI122*VLOOKUP('Données projet'!$B$10,Paramètres!$A$1:$I$89,3,0)*VLOOKUP('Données projet'!$B$10,Paramètres!$A$1:$I$89,5,0)</f>
        <v>5.3205440053716299E-14</v>
      </c>
      <c r="AK122" s="14">
        <f t="shared" si="89"/>
        <v>8.602146238565607E-13</v>
      </c>
      <c r="AL122" s="22">
        <f t="shared" si="58"/>
        <v>1.590873277977066E-12</v>
      </c>
      <c r="AM122" s="62">
        <f t="shared" si="59"/>
        <v>293.33333333333491</v>
      </c>
      <c r="AN122" s="62">
        <f ca="1">AVERAGE(OFFSET($AM$3,0,0,'Données projet'!$E$10+1,1))-AVERAGE(OFFSET($H$3,0,0,'Données projet'!$E$10+1,1))</f>
        <v>173.76802753906867</v>
      </c>
      <c r="AO122" s="62">
        <f t="shared" si="90"/>
        <v>153.4527010894717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2">
        <f t="shared" si="86"/>
        <v>16.590520188877683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70">
        <f t="shared" si="56"/>
        <v>422.75748932896221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287.69656598881124</v>
      </c>
      <c r="T123" s="62">
        <f t="shared" si="88"/>
        <v>221.9773436301067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0.49850513132180235</v>
      </c>
      <c r="AB123" s="23">
        <f>EXP(-LN(2)/2)*AB122+(1-EXP(-LN(2)/2))/(LN(2)/2)*V123*Y123*VLOOKUP('Données projet'!$B$9,Paramètres!$A$1:$I$89,3,0)*0.475*44/12</f>
        <v>4.0421629615664519E-13</v>
      </c>
      <c r="AC123" s="24">
        <f t="shared" si="57"/>
        <v>0.49850513132220658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1.1368683772161603E-13</v>
      </c>
      <c r="AJ123" s="14">
        <f>AI123*VLOOKUP('Données projet'!$B$10,Paramètres!$A$1:$I$89,3,0)*VLOOKUP('Données projet'!$B$10,Paramètres!$A$1:$I$89,5,0)</f>
        <v>5.3205440053716299E-14</v>
      </c>
      <c r="AK123" s="14">
        <f t="shared" si="89"/>
        <v>8.602146238565607E-13</v>
      </c>
      <c r="AL123" s="22">
        <f t="shared" si="58"/>
        <v>1.590873277977066E-12</v>
      </c>
      <c r="AM123" s="62">
        <f t="shared" si="59"/>
        <v>293.33333333333491</v>
      </c>
      <c r="AN123" s="62">
        <f ca="1">AVERAGE(OFFSET($AM$3,0,0,'Données projet'!$E$10+1,1))-AVERAGE(OFFSET($H$3,0,0,'Données projet'!$E$10+1,1))</f>
        <v>173.76802753906867</v>
      </c>
      <c r="AO123" s="62">
        <f t="shared" si="90"/>
        <v>153.4527010894717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2">
        <f t="shared" si="86"/>
        <v>16.712622653789325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70">
        <f t="shared" si="56"/>
        <v>423.80789278868326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287.69656598881124</v>
      </c>
      <c r="T124" s="62">
        <f t="shared" si="88"/>
        <v>221.9773436301067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0.48487348229056215</v>
      </c>
      <c r="AB124" s="23">
        <f>EXP(-LN(2)/2)*AB123+(1-EXP(-LN(2)/2))/(LN(2)/2)*V124*Y124*VLOOKUP('Données projet'!$B$9,Paramètres!$A$1:$I$89,3,0)*0.475*44/12</f>
        <v>2.858240840784736E-13</v>
      </c>
      <c r="AC124" s="24">
        <f t="shared" si="57"/>
        <v>0.48487348229084798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1.1368683772161603E-13</v>
      </c>
      <c r="AJ124" s="14">
        <f>AI124*VLOOKUP('Données projet'!$B$10,Paramètres!$A$1:$I$89,3,0)*VLOOKUP('Données projet'!$B$10,Paramètres!$A$1:$I$89,5,0)</f>
        <v>5.3205440053716299E-14</v>
      </c>
      <c r="AK124" s="14">
        <f t="shared" si="89"/>
        <v>8.602146238565607E-13</v>
      </c>
      <c r="AL124" s="22">
        <f t="shared" si="58"/>
        <v>1.590873277977066E-12</v>
      </c>
      <c r="AM124" s="62">
        <f t="shared" si="59"/>
        <v>293.33333333333491</v>
      </c>
      <c r="AN124" s="62">
        <f ca="1">AVERAGE(OFFSET($AM$3,0,0,'Données projet'!$E$10+1,1))-AVERAGE(OFFSET($H$3,0,0,'Données projet'!$E$10+1,1))</f>
        <v>173.76802753906867</v>
      </c>
      <c r="AO124" s="62">
        <f t="shared" si="90"/>
        <v>153.4527010894717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2">
        <f t="shared" si="86"/>
        <v>16.834607713213771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70">
        <f t="shared" si="56"/>
        <v>424.85809176718089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287.69656598881124</v>
      </c>
      <c r="T125" s="62">
        <f t="shared" si="88"/>
        <v>221.9773436301067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0.47161459141893847</v>
      </c>
      <c r="AB125" s="23">
        <f>EXP(-LN(2)/2)*AB124+(1-EXP(-LN(2)/2))/(LN(2)/2)*V125*Y125*VLOOKUP('Données projet'!$B$9,Paramètres!$A$1:$I$89,3,0)*0.475*44/12</f>
        <v>2.0210814807832259E-13</v>
      </c>
      <c r="AC125" s="24">
        <f t="shared" si="57"/>
        <v>0.47161459141914058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1.1368683772161603E-13</v>
      </c>
      <c r="AJ125" s="14">
        <f>AI125*VLOOKUP('Données projet'!$B$10,Paramètres!$A$1:$I$89,3,0)*VLOOKUP('Données projet'!$B$10,Paramètres!$A$1:$I$89,5,0)</f>
        <v>5.3205440053716299E-14</v>
      </c>
      <c r="AK125" s="14">
        <f t="shared" si="89"/>
        <v>8.602146238565607E-13</v>
      </c>
      <c r="AL125" s="22">
        <f t="shared" si="58"/>
        <v>1.590873277977066E-12</v>
      </c>
      <c r="AM125" s="62">
        <f t="shared" si="59"/>
        <v>293.33333333333491</v>
      </c>
      <c r="AN125" s="62">
        <f ca="1">AVERAGE(OFFSET($AM$3,0,0,'Données projet'!$E$10+1,1))-AVERAGE(OFFSET($H$3,0,0,'Données projet'!$E$10+1,1))</f>
        <v>173.76802753906867</v>
      </c>
      <c r="AO125" s="62">
        <f t="shared" si="90"/>
        <v>153.4527010894717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2">
        <f t="shared" si="86"/>
        <v>16.956476441019255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70">
        <f t="shared" si="56"/>
        <v>425.90808813477543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287.69656598881124</v>
      </c>
      <c r="T126" s="62">
        <f t="shared" si="88"/>
        <v>221.9773436301067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0.45871826561545415</v>
      </c>
      <c r="AB126" s="23">
        <f>EXP(-LN(2)/2)*AB125+(1-EXP(-LN(2)/2))/(LN(2)/2)*V126*Y126*VLOOKUP('Données projet'!$B$9,Paramètres!$A$1:$I$89,3,0)*0.475*44/12</f>
        <v>1.429120420392368E-13</v>
      </c>
      <c r="AC126" s="24">
        <f t="shared" si="57"/>
        <v>0.45871826561559703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1.1368683772161603E-13</v>
      </c>
      <c r="AJ126" s="14">
        <f>AI126*VLOOKUP('Données projet'!$B$10,Paramètres!$A$1:$I$89,3,0)*VLOOKUP('Données projet'!$B$10,Paramètres!$A$1:$I$89,5,0)</f>
        <v>5.3205440053716299E-14</v>
      </c>
      <c r="AK126" s="14">
        <f t="shared" si="89"/>
        <v>8.602146238565607E-13</v>
      </c>
      <c r="AL126" s="22">
        <f t="shared" si="58"/>
        <v>1.590873277977066E-12</v>
      </c>
      <c r="AM126" s="62">
        <f t="shared" si="59"/>
        <v>293.33333333333491</v>
      </c>
      <c r="AN126" s="62">
        <f ca="1">AVERAGE(OFFSET($AM$3,0,0,'Données projet'!$E$10+1,1))-AVERAGE(OFFSET($H$3,0,0,'Données projet'!$E$10+1,1))</f>
        <v>173.76802753906867</v>
      </c>
      <c r="AO126" s="62">
        <f t="shared" si="90"/>
        <v>153.4527010894717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2">
        <f t="shared" si="86"/>
        <v>17.07822989260459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70">
        <f t="shared" si="56"/>
        <v>426.95788372961988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287.69656598881124</v>
      </c>
      <c r="T127" s="62">
        <f t="shared" si="88"/>
        <v>221.9773436301067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0.4461745905192544</v>
      </c>
      <c r="AB127" s="23">
        <f>EXP(-LN(2)/2)*AB126+(1-EXP(-LN(2)/2))/(LN(2)/2)*V127*Y127*VLOOKUP('Données projet'!$B$9,Paramètres!$A$1:$I$89,3,0)*0.475*44/12</f>
        <v>1.010540740391613E-13</v>
      </c>
      <c r="AC127" s="24">
        <f t="shared" si="57"/>
        <v>0.44617459051935543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1.1368683772161603E-13</v>
      </c>
      <c r="AJ127" s="14">
        <f>AI127*VLOOKUP('Données projet'!$B$10,Paramètres!$A$1:$I$89,3,0)*VLOOKUP('Données projet'!$B$10,Paramètres!$A$1:$I$89,5,0)</f>
        <v>5.3205440053716299E-14</v>
      </c>
      <c r="AK127" s="14">
        <f t="shared" si="89"/>
        <v>8.602146238565607E-13</v>
      </c>
      <c r="AL127" s="22">
        <f t="shared" si="58"/>
        <v>1.590873277977066E-12</v>
      </c>
      <c r="AM127" s="62">
        <f t="shared" si="59"/>
        <v>293.33333333333491</v>
      </c>
      <c r="AN127" s="62">
        <f ca="1">AVERAGE(OFFSET($AM$3,0,0,'Données projet'!$E$10+1,1))-AVERAGE(OFFSET($H$3,0,0,'Données projet'!$E$10+1,1))</f>
        <v>173.76802753906867</v>
      </c>
      <c r="AO127" s="62">
        <f t="shared" si="90"/>
        <v>153.4527010894717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2">
        <f t="shared" si="86"/>
        <v>17.199869105363234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70">
        <f t="shared" si="56"/>
        <v>428.00748035850785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287.69656598881124</v>
      </c>
      <c r="T128" s="62">
        <f t="shared" si="88"/>
        <v>221.9773436301067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0.43397392287820341</v>
      </c>
      <c r="AB128" s="23">
        <f>EXP(-LN(2)/2)*AB127+(1-EXP(-LN(2)/2))/(LN(2)/2)*V128*Y128*VLOOKUP('Données projet'!$B$9,Paramètres!$A$1:$I$89,3,0)*0.475*44/12</f>
        <v>7.1456021019618399E-14</v>
      </c>
      <c r="AC128" s="24">
        <f t="shared" si="57"/>
        <v>0.43397392287827485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1.1368683772161603E-13</v>
      </c>
      <c r="AJ128" s="14">
        <f>AI128*VLOOKUP('Données projet'!$B$10,Paramètres!$A$1:$I$89,3,0)*VLOOKUP('Données projet'!$B$10,Paramètres!$A$1:$I$89,5,0)</f>
        <v>5.3205440053716299E-14</v>
      </c>
      <c r="AK128" s="14">
        <f t="shared" si="89"/>
        <v>8.602146238565607E-13</v>
      </c>
      <c r="AL128" s="22">
        <f t="shared" si="58"/>
        <v>1.590873277977066E-12</v>
      </c>
      <c r="AM128" s="62">
        <f t="shared" si="59"/>
        <v>293.33333333333491</v>
      </c>
      <c r="AN128" s="62">
        <f ca="1">AVERAGE(OFFSET($AM$3,0,0,'Données projet'!$E$10+1,1))-AVERAGE(OFFSET($H$3,0,0,'Données projet'!$E$10+1,1))</f>
        <v>173.76802753906867</v>
      </c>
      <c r="AO128" s="62">
        <f t="shared" si="90"/>
        <v>153.4527010894717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2">
        <f t="shared" si="86"/>
        <v>17.321395099131934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70">
        <f t="shared" si="56"/>
        <v>429.05687979765503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287.69656598881124</v>
      </c>
      <c r="T129" s="62">
        <f t="shared" si="88"/>
        <v>221.9773436301067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0.42210688313540218</v>
      </c>
      <c r="AB129" s="23">
        <f>EXP(-LN(2)/2)*AB128+(1-EXP(-LN(2)/2))/(LN(2)/2)*V129*Y129*VLOOKUP('Données projet'!$B$9,Paramètres!$A$1:$I$89,3,0)*0.475*44/12</f>
        <v>5.0527037019580648E-14</v>
      </c>
      <c r="AC129" s="24">
        <f t="shared" si="57"/>
        <v>0.42210688313545269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1.1368683772161603E-13</v>
      </c>
      <c r="AJ129" s="14">
        <f>AI129*VLOOKUP('Données projet'!$B$10,Paramètres!$A$1:$I$89,3,0)*VLOOKUP('Données projet'!$B$10,Paramètres!$A$1:$I$89,5,0)</f>
        <v>5.3205440053716299E-14</v>
      </c>
      <c r="AK129" s="14">
        <f t="shared" si="89"/>
        <v>8.602146238565607E-13</v>
      </c>
      <c r="AL129" s="22">
        <f t="shared" si="58"/>
        <v>1.590873277977066E-12</v>
      </c>
      <c r="AM129" s="62">
        <f t="shared" si="59"/>
        <v>293.33333333333491</v>
      </c>
      <c r="AN129" s="62">
        <f ca="1">AVERAGE(OFFSET($AM$3,0,0,'Données projet'!$E$10+1,1))-AVERAGE(OFFSET($H$3,0,0,'Données projet'!$E$10+1,1))</f>
        <v>173.76802753906867</v>
      </c>
      <c r="AO129" s="62">
        <f t="shared" si="90"/>
        <v>153.4527010894717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2">
        <f t="shared" si="86"/>
        <v>17.442808876624763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70">
        <f t="shared" si="56"/>
        <v>430.10608379345501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287.69656598881124</v>
      </c>
      <c r="T130" s="62">
        <f t="shared" si="88"/>
        <v>221.9773436301067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0.41056434821842835</v>
      </c>
      <c r="AB130" s="23">
        <f>EXP(-LN(2)/2)*AB129+(1-EXP(-LN(2)/2))/(LN(2)/2)*V130*Y130*VLOOKUP('Données projet'!$B$9,Paramètres!$A$1:$I$89,3,0)*0.475*44/12</f>
        <v>3.5728010509809199E-14</v>
      </c>
      <c r="AC130" s="24">
        <f t="shared" si="57"/>
        <v>0.4105643482184641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1.1368683772161603E-13</v>
      </c>
      <c r="AJ130" s="14">
        <f>AI130*VLOOKUP('Données projet'!$B$10,Paramètres!$A$1:$I$89,3,0)*VLOOKUP('Données projet'!$B$10,Paramètres!$A$1:$I$89,5,0)</f>
        <v>5.3205440053716299E-14</v>
      </c>
      <c r="AK130" s="14">
        <f t="shared" si="89"/>
        <v>8.602146238565607E-13</v>
      </c>
      <c r="AL130" s="22">
        <f t="shared" si="58"/>
        <v>1.590873277977066E-12</v>
      </c>
      <c r="AM130" s="62">
        <f t="shared" si="59"/>
        <v>293.33333333333491</v>
      </c>
      <c r="AN130" s="62">
        <f ca="1">AVERAGE(OFFSET($AM$3,0,0,'Données projet'!$E$10+1,1))-AVERAGE(OFFSET($H$3,0,0,'Données projet'!$E$10+1,1))</f>
        <v>173.76802753906867</v>
      </c>
      <c r="AO130" s="62">
        <f t="shared" si="90"/>
        <v>153.4527010894717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2">
        <f t="shared" si="86"/>
        <v>17.564111423853195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70">
        <f t="shared" si="56"/>
        <v>431.15509406321121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287.69656598881124</v>
      </c>
      <c r="T131" s="62">
        <f t="shared" si="88"/>
        <v>221.9773436301067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0.3993374445257547</v>
      </c>
      <c r="AB131" s="23">
        <f>EXP(-LN(2)/2)*AB130+(1-EXP(-LN(2)/2))/(LN(2)/2)*V131*Y131*VLOOKUP('Données projet'!$B$9,Paramètres!$A$1:$I$89,3,0)*0.475*44/12</f>
        <v>2.5263518509790324E-14</v>
      </c>
      <c r="AC131" s="24">
        <f t="shared" si="57"/>
        <v>0.39933744452577996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1.1368683772161603E-13</v>
      </c>
      <c r="AJ131" s="14">
        <f>AI131*VLOOKUP('Données projet'!$B$10,Paramètres!$A$1:$I$89,3,0)*VLOOKUP('Données projet'!$B$10,Paramètres!$A$1:$I$89,5,0)</f>
        <v>5.3205440053716299E-14</v>
      </c>
      <c r="AK131" s="14">
        <f t="shared" si="89"/>
        <v>8.602146238565607E-13</v>
      </c>
      <c r="AL131" s="22">
        <f t="shared" si="58"/>
        <v>1.590873277977066E-12</v>
      </c>
      <c r="AM131" s="62">
        <f t="shared" si="59"/>
        <v>293.33333333333491</v>
      </c>
      <c r="AN131" s="62">
        <f ca="1">AVERAGE(OFFSET($AM$3,0,0,'Données projet'!$E$10+1,1))-AVERAGE(OFFSET($H$3,0,0,'Données projet'!$E$10+1,1))</f>
        <v>173.76802753906867</v>
      </c>
      <c r="AO131" s="62">
        <f t="shared" si="90"/>
        <v>153.4527010894717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2">
        <f t="shared" si="86"/>
        <v>17.685303710532512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70">
        <f t="shared" ref="H132:H195" si="110">(B132+E132+F132)*44/12+(C132+D132)*0.475*44/12</f>
        <v>432.20391229584436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287.69656598881124</v>
      </c>
      <c r="T132" s="62">
        <f t="shared" si="88"/>
        <v>221.9773436301067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0.38841754110495441</v>
      </c>
      <c r="AB132" s="23">
        <f>EXP(-LN(2)/2)*AB131+(1-EXP(-LN(2)/2))/(LN(2)/2)*V132*Y132*VLOOKUP('Données projet'!$B$9,Paramètres!$A$1:$I$89,3,0)*0.475*44/12</f>
        <v>1.78640052549046E-14</v>
      </c>
      <c r="AC132" s="24">
        <f t="shared" ref="AC132:AC153" si="111">SUM(Z132:AB132)</f>
        <v>0.38841754110497229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1.1368683772161603E-13</v>
      </c>
      <c r="AJ132" s="14">
        <f>AI132*VLOOKUP('Données projet'!$B$10,Paramètres!$A$1:$I$89,3,0)*VLOOKUP('Données projet'!$B$10,Paramètres!$A$1:$I$89,5,0)</f>
        <v>5.3205440053716299E-14</v>
      </c>
      <c r="AK132" s="14">
        <f t="shared" si="89"/>
        <v>8.602146238565607E-13</v>
      </c>
      <c r="AL132" s="22">
        <f t="shared" ref="AL132:AL153" si="112">(AJ132+AK132)*0.475*44/12</f>
        <v>1.590873277977066E-12</v>
      </c>
      <c r="AM132" s="62">
        <f t="shared" ref="AM132:AM195" si="113">AL132+(AD132+AE132)*44/12</f>
        <v>293.33333333333491</v>
      </c>
      <c r="AN132" s="62">
        <f ca="1">AVERAGE(OFFSET($AM$3,0,0,'Données projet'!$E$10+1,1))-AVERAGE(OFFSET($H$3,0,0,'Données projet'!$E$10+1,1))</f>
        <v>173.76802753906867</v>
      </c>
      <c r="AO132" s="62">
        <f t="shared" si="90"/>
        <v>153.4527010894717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2">
        <f t="shared" ref="D133:D196" si="140">IFERROR(EXP(-1.0587+0.8836*LN(C133)+0.284),0)</f>
        <v>17.806386690475353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70">
        <f t="shared" si="110"/>
        <v>433.25254015257815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287.69656598881124</v>
      </c>
      <c r="T133" s="62">
        <f t="shared" ref="T133:T196" si="142">$T$3</f>
        <v>221.9773436301067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0.37779624301744869</v>
      </c>
      <c r="AB133" s="23">
        <f>EXP(-LN(2)/2)*AB132+(1-EXP(-LN(2)/2))/(LN(2)/2)*V133*Y133*VLOOKUP('Données projet'!$B$9,Paramètres!$A$1:$I$89,3,0)*0.475*44/12</f>
        <v>1.2631759254895162E-14</v>
      </c>
      <c r="AC133" s="24">
        <f t="shared" si="111"/>
        <v>0.37779624301746134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1.1368683772161603E-13</v>
      </c>
      <c r="AJ133" s="14">
        <f>AI133*VLOOKUP('Données projet'!$B$10,Paramètres!$A$1:$I$89,3,0)*VLOOKUP('Données projet'!$B$10,Paramètres!$A$1:$I$89,5,0)</f>
        <v>5.3205440053716299E-14</v>
      </c>
      <c r="AK133" s="14">
        <f t="shared" ref="AK133:AK153" si="143">EXP(-1.0587+0.8836*LN(AJ133)+0.284)</f>
        <v>8.602146238565607E-13</v>
      </c>
      <c r="AL133" s="22">
        <f t="shared" si="112"/>
        <v>1.590873277977066E-12</v>
      </c>
      <c r="AM133" s="62">
        <f t="shared" si="113"/>
        <v>293.33333333333491</v>
      </c>
      <c r="AN133" s="62">
        <f ca="1">AVERAGE(OFFSET($AM$3,0,0,'Données projet'!$E$10+1,1))-AVERAGE(OFFSET($H$3,0,0,'Données projet'!$E$10+1,1))</f>
        <v>173.76802753906867</v>
      </c>
      <c r="AO133" s="62">
        <f t="shared" ref="AO133:AO196" si="144">$AO$3</f>
        <v>153.4527010894717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2">
        <f t="shared" si="140"/>
        <v>17.927361301972791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70">
        <f t="shared" si="110"/>
        <v>434.30097926760288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287.69656598881124</v>
      </c>
      <c r="T134" s="62">
        <f t="shared" si="142"/>
        <v>221.9773436301067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0.3674653848846956</v>
      </c>
      <c r="AB134" s="23">
        <f>EXP(-LN(2)/2)*AB133+(1-EXP(-LN(2)/2))/(LN(2)/2)*V134*Y134*VLOOKUP('Données projet'!$B$9,Paramètres!$A$1:$I$89,3,0)*0.475*44/12</f>
        <v>8.9320026274522999E-15</v>
      </c>
      <c r="AC134" s="24">
        <f t="shared" si="111"/>
        <v>0.36746538488470454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1.1368683772161603E-13</v>
      </c>
      <c r="AJ134" s="14">
        <f>AI134*VLOOKUP('Données projet'!$B$10,Paramètres!$A$1:$I$89,3,0)*VLOOKUP('Données projet'!$B$10,Paramètres!$A$1:$I$89,5,0)</f>
        <v>5.3205440053716299E-14</v>
      </c>
      <c r="AK134" s="14">
        <f t="shared" si="143"/>
        <v>8.602146238565607E-13</v>
      </c>
      <c r="AL134" s="22">
        <f t="shared" si="112"/>
        <v>1.590873277977066E-12</v>
      </c>
      <c r="AM134" s="62">
        <f t="shared" si="113"/>
        <v>293.33333333333491</v>
      </c>
      <c r="AN134" s="62">
        <f ca="1">AVERAGE(OFFSET($AM$3,0,0,'Données projet'!$E$10+1,1))-AVERAGE(OFFSET($H$3,0,0,'Données projet'!$E$10+1,1))</f>
        <v>173.76802753906867</v>
      </c>
      <c r="AO134" s="62">
        <f t="shared" si="144"/>
        <v>153.4527010894717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2">
        <f t="shared" si="140"/>
        <v>18.048228468163416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70">
        <f t="shared" si="110"/>
        <v>435.34923124871818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287.69656598881124</v>
      </c>
      <c r="T135" s="62">
        <f t="shared" si="142"/>
        <v>221.9773436301067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0.35741702461085884</v>
      </c>
      <c r="AB135" s="23">
        <f>EXP(-LN(2)/2)*AB134+(1-EXP(-LN(2)/2))/(LN(2)/2)*V135*Y135*VLOOKUP('Données projet'!$B$9,Paramètres!$A$1:$I$89,3,0)*0.475*44/12</f>
        <v>6.315879627447581E-15</v>
      </c>
      <c r="AC135" s="24">
        <f t="shared" si="111"/>
        <v>0.35741702461086516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1.1368683772161603E-13</v>
      </c>
      <c r="AJ135" s="14">
        <f>AI135*VLOOKUP('Données projet'!$B$10,Paramètres!$A$1:$I$89,3,0)*VLOOKUP('Données projet'!$B$10,Paramètres!$A$1:$I$89,5,0)</f>
        <v>5.3205440053716299E-14</v>
      </c>
      <c r="AK135" s="14">
        <f t="shared" si="143"/>
        <v>8.602146238565607E-13</v>
      </c>
      <c r="AL135" s="22">
        <f t="shared" si="112"/>
        <v>1.590873277977066E-12</v>
      </c>
      <c r="AM135" s="62">
        <f t="shared" si="113"/>
        <v>293.33333333333491</v>
      </c>
      <c r="AN135" s="62">
        <f ca="1">AVERAGE(OFFSET($AM$3,0,0,'Données projet'!$E$10+1,1))-AVERAGE(OFFSET($H$3,0,0,'Données projet'!$E$10+1,1))</f>
        <v>173.76802753906867</v>
      </c>
      <c r="AO135" s="62">
        <f t="shared" si="144"/>
        <v>153.4527010894717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2">
        <f t="shared" si="140"/>
        <v>18.168989097390945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70">
        <f t="shared" si="110"/>
        <v>436.39729767795615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287.69656598881124</v>
      </c>
      <c r="T136" s="62">
        <f t="shared" si="142"/>
        <v>221.9773436301067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0.34764343727713048</v>
      </c>
      <c r="AB136" s="23">
        <f>EXP(-LN(2)/2)*AB135+(1-EXP(-LN(2)/2))/(LN(2)/2)*V136*Y136*VLOOKUP('Données projet'!$B$9,Paramètres!$A$1:$I$89,3,0)*0.475*44/12</f>
        <v>4.4660013137261499E-15</v>
      </c>
      <c r="AC136" s="24">
        <f t="shared" si="111"/>
        <v>0.34764343727713493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1.1368683772161603E-13</v>
      </c>
      <c r="AJ136" s="14">
        <f>AI136*VLOOKUP('Données projet'!$B$10,Paramètres!$A$1:$I$89,3,0)*VLOOKUP('Données projet'!$B$10,Paramètres!$A$1:$I$89,5,0)</f>
        <v>5.3205440053716299E-14</v>
      </c>
      <c r="AK136" s="14">
        <f t="shared" si="143"/>
        <v>8.602146238565607E-13</v>
      </c>
      <c r="AL136" s="22">
        <f t="shared" si="112"/>
        <v>1.590873277977066E-12</v>
      </c>
      <c r="AM136" s="62">
        <f t="shared" si="113"/>
        <v>293.33333333333491</v>
      </c>
      <c r="AN136" s="62">
        <f ca="1">AVERAGE(OFFSET($AM$3,0,0,'Données projet'!$E$10+1,1))-AVERAGE(OFFSET($H$3,0,0,'Données projet'!$E$10+1,1))</f>
        <v>173.76802753906867</v>
      </c>
      <c r="AO136" s="62">
        <f t="shared" si="144"/>
        <v>153.4527010894717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2">
        <f t="shared" si="140"/>
        <v>18.289644083550719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70">
        <f t="shared" si="110"/>
        <v>437.4451801121844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287.69656598881124</v>
      </c>
      <c r="T137" s="62">
        <f t="shared" si="142"/>
        <v>221.9773436301067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0.33813710920301354</v>
      </c>
      <c r="AB137" s="23">
        <f>EXP(-LN(2)/2)*AB136+(1-EXP(-LN(2)/2))/(LN(2)/2)*V137*Y137*VLOOKUP('Données projet'!$B$9,Paramètres!$A$1:$I$89,3,0)*0.475*44/12</f>
        <v>3.1579398137237905E-15</v>
      </c>
      <c r="AC137" s="24">
        <f t="shared" si="111"/>
        <v>0.33813710920301671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1.1368683772161603E-13</v>
      </c>
      <c r="AJ137" s="14">
        <f>AI137*VLOOKUP('Données projet'!$B$10,Paramètres!$A$1:$I$89,3,0)*VLOOKUP('Données projet'!$B$10,Paramètres!$A$1:$I$89,5,0)</f>
        <v>5.3205440053716299E-14</v>
      </c>
      <c r="AK137" s="14">
        <f t="shared" si="143"/>
        <v>8.602146238565607E-13</v>
      </c>
      <c r="AL137" s="22">
        <f t="shared" si="112"/>
        <v>1.590873277977066E-12</v>
      </c>
      <c r="AM137" s="62">
        <f t="shared" si="113"/>
        <v>293.33333333333491</v>
      </c>
      <c r="AN137" s="62">
        <f ca="1">AVERAGE(OFFSET($AM$3,0,0,'Données projet'!$E$10+1,1))-AVERAGE(OFFSET($H$3,0,0,'Données projet'!$E$10+1,1))</f>
        <v>173.76802753906867</v>
      </c>
      <c r="AO137" s="62">
        <f t="shared" si="144"/>
        <v>153.4527010894717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2">
        <f t="shared" si="140"/>
        <v>18.41019430642563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70">
        <f t="shared" si="110"/>
        <v>438.49288008369155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287.69656598881124</v>
      </c>
      <c r="T138" s="62">
        <f t="shared" si="142"/>
        <v>221.9773436301067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0.32889073216999937</v>
      </c>
      <c r="AB138" s="23">
        <f>EXP(-LN(2)/2)*AB137+(1-EXP(-LN(2)/2))/(LN(2)/2)*V138*Y138*VLOOKUP('Données projet'!$B$9,Paramètres!$A$1:$I$89,3,0)*0.475*44/12</f>
        <v>2.233000656863075E-15</v>
      </c>
      <c r="AC138" s="24">
        <f t="shared" si="111"/>
        <v>0.32889073217000159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1.1368683772161603E-13</v>
      </c>
      <c r="AJ138" s="14">
        <f>AI138*VLOOKUP('Données projet'!$B$10,Paramètres!$A$1:$I$89,3,0)*VLOOKUP('Données projet'!$B$10,Paramètres!$A$1:$I$89,5,0)</f>
        <v>5.3205440053716299E-14</v>
      </c>
      <c r="AK138" s="14">
        <f t="shared" si="143"/>
        <v>8.602146238565607E-13</v>
      </c>
      <c r="AL138" s="22">
        <f t="shared" si="112"/>
        <v>1.590873277977066E-12</v>
      </c>
      <c r="AM138" s="62">
        <f t="shared" si="113"/>
        <v>293.33333333333491</v>
      </c>
      <c r="AN138" s="62">
        <f ca="1">AVERAGE(OFFSET($AM$3,0,0,'Données projet'!$E$10+1,1))-AVERAGE(OFFSET($H$3,0,0,'Données projet'!$E$10+1,1))</f>
        <v>173.76802753906867</v>
      </c>
      <c r="AO138" s="62">
        <f t="shared" si="144"/>
        <v>153.4527010894717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2">
        <f t="shared" si="140"/>
        <v>18.530640632011767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70">
        <f t="shared" si="110"/>
        <v>439.54039910075409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287.69656598881124</v>
      </c>
      <c r="T139" s="62">
        <f t="shared" si="142"/>
        <v>221.9773436301067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0.31989719780319881</v>
      </c>
      <c r="AB139" s="23">
        <f>EXP(-LN(2)/2)*AB138+(1-EXP(-LN(2)/2))/(LN(2)/2)*V139*Y139*VLOOKUP('Données projet'!$B$9,Paramètres!$A$1:$I$89,3,0)*0.475*44/12</f>
        <v>1.5789699068618953E-15</v>
      </c>
      <c r="AC139" s="24">
        <f t="shared" si="111"/>
        <v>0.31989719780320036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1.1368683772161603E-13</v>
      </c>
      <c r="AJ139" s="14">
        <f>AI139*VLOOKUP('Données projet'!$B$10,Paramètres!$A$1:$I$89,3,0)*VLOOKUP('Données projet'!$B$10,Paramètres!$A$1:$I$89,5,0)</f>
        <v>5.3205440053716299E-14</v>
      </c>
      <c r="AK139" s="14">
        <f t="shared" si="143"/>
        <v>8.602146238565607E-13</v>
      </c>
      <c r="AL139" s="22">
        <f t="shared" si="112"/>
        <v>1.590873277977066E-12</v>
      </c>
      <c r="AM139" s="62">
        <f t="shared" si="113"/>
        <v>293.33333333333491</v>
      </c>
      <c r="AN139" s="62">
        <f ca="1">AVERAGE(OFFSET($AM$3,0,0,'Données projet'!$E$10+1,1))-AVERAGE(OFFSET($H$3,0,0,'Données projet'!$E$10+1,1))</f>
        <v>173.76802753906867</v>
      </c>
      <c r="AO139" s="62">
        <f t="shared" si="144"/>
        <v>153.4527010894717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2">
        <f t="shared" si="140"/>
        <v>18.65098391283415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70">
        <f t="shared" si="110"/>
        <v>440.58773864818636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287.69656598881124</v>
      </c>
      <c r="T140" s="62">
        <f t="shared" si="142"/>
        <v>221.9773436301067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0.31114959210660786</v>
      </c>
      <c r="AB140" s="23">
        <f>EXP(-LN(2)/2)*AB139+(1-EXP(-LN(2)/2))/(LN(2)/2)*V140*Y140*VLOOKUP('Données projet'!$B$9,Paramètres!$A$1:$I$89,3,0)*0.475*44/12</f>
        <v>1.1165003284315375E-15</v>
      </c>
      <c r="AC140" s="24">
        <f t="shared" si="111"/>
        <v>0.31114959210660897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1.1368683772161603E-13</v>
      </c>
      <c r="AJ140" s="14">
        <f>AI140*VLOOKUP('Données projet'!$B$10,Paramètres!$A$1:$I$89,3,0)*VLOOKUP('Données projet'!$B$10,Paramètres!$A$1:$I$89,5,0)</f>
        <v>5.3205440053716299E-14</v>
      </c>
      <c r="AK140" s="14">
        <f t="shared" si="143"/>
        <v>8.602146238565607E-13</v>
      </c>
      <c r="AL140" s="22">
        <f t="shared" si="112"/>
        <v>1.590873277977066E-12</v>
      </c>
      <c r="AM140" s="62">
        <f t="shared" si="113"/>
        <v>293.33333333333491</v>
      </c>
      <c r="AN140" s="62">
        <f ca="1">AVERAGE(OFFSET($AM$3,0,0,'Données projet'!$E$10+1,1))-AVERAGE(OFFSET($H$3,0,0,'Données projet'!$E$10+1,1))</f>
        <v>173.76802753906867</v>
      </c>
      <c r="AO140" s="62">
        <f t="shared" si="144"/>
        <v>153.4527010894717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2">
        <f t="shared" si="140"/>
        <v>18.771224988253135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70">
        <f t="shared" si="110"/>
        <v>441.63490018787445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287.69656598881124</v>
      </c>
      <c r="T141" s="62">
        <f t="shared" si="142"/>
        <v>221.9773436301067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0.30264119014780677</v>
      </c>
      <c r="AB141" s="23">
        <f>EXP(-LN(2)/2)*AB140+(1-EXP(-LN(2)/2))/(LN(2)/2)*V141*Y141*VLOOKUP('Données projet'!$B$9,Paramètres!$A$1:$I$89,3,0)*0.475*44/12</f>
        <v>7.8948495343094763E-16</v>
      </c>
      <c r="AC141" s="24">
        <f t="shared" si="111"/>
        <v>0.30264119014780755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1.1368683772161603E-13</v>
      </c>
      <c r="AJ141" s="14">
        <f>AI141*VLOOKUP('Données projet'!$B$10,Paramètres!$A$1:$I$89,3,0)*VLOOKUP('Données projet'!$B$10,Paramètres!$A$1:$I$89,5,0)</f>
        <v>5.3205440053716299E-14</v>
      </c>
      <c r="AK141" s="14">
        <f t="shared" si="143"/>
        <v>8.602146238565607E-13</v>
      </c>
      <c r="AL141" s="22">
        <f t="shared" si="112"/>
        <v>1.590873277977066E-12</v>
      </c>
      <c r="AM141" s="62">
        <f t="shared" si="113"/>
        <v>293.33333333333491</v>
      </c>
      <c r="AN141" s="62">
        <f ca="1">AVERAGE(OFFSET($AM$3,0,0,'Données projet'!$E$10+1,1))-AVERAGE(OFFSET($H$3,0,0,'Données projet'!$E$10+1,1))</f>
        <v>173.76802753906867</v>
      </c>
      <c r="AO141" s="62">
        <f t="shared" si="144"/>
        <v>153.4527010894717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2">
        <f t="shared" si="140"/>
        <v>18.891364684761506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70">
        <f t="shared" si="110"/>
        <v>442.68188515929319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287.69656598881124</v>
      </c>
      <c r="T142" s="62">
        <f t="shared" si="142"/>
        <v>221.9773436301067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0.29436545088800647</v>
      </c>
      <c r="AB142" s="23">
        <f>EXP(-LN(2)/2)*AB141+(1-EXP(-LN(2)/2))/(LN(2)/2)*V142*Y142*VLOOKUP('Données projet'!$B$9,Paramètres!$A$1:$I$89,3,0)*0.475*44/12</f>
        <v>5.5825016421576874E-16</v>
      </c>
      <c r="AC142" s="24">
        <f t="shared" si="111"/>
        <v>0.29436545088800703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1.1368683772161603E-13</v>
      </c>
      <c r="AJ142" s="14">
        <f>AI142*VLOOKUP('Données projet'!$B$10,Paramètres!$A$1:$I$89,3,0)*VLOOKUP('Données projet'!$B$10,Paramètres!$A$1:$I$89,5,0)</f>
        <v>5.3205440053716299E-14</v>
      </c>
      <c r="AK142" s="14">
        <f t="shared" si="143"/>
        <v>8.602146238565607E-13</v>
      </c>
      <c r="AL142" s="22">
        <f t="shared" si="112"/>
        <v>1.590873277977066E-12</v>
      </c>
      <c r="AM142" s="62">
        <f t="shared" si="113"/>
        <v>293.33333333333491</v>
      </c>
      <c r="AN142" s="62">
        <f ca="1">AVERAGE(OFFSET($AM$3,0,0,'Données projet'!$E$10+1,1))-AVERAGE(OFFSET($H$3,0,0,'Données projet'!$E$10+1,1))</f>
        <v>173.76802753906867</v>
      </c>
      <c r="AO142" s="62">
        <f t="shared" si="144"/>
        <v>153.4527010894717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2">
        <f t="shared" si="140"/>
        <v>19.011403816272956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70">
        <f t="shared" si="110"/>
        <v>443.72869498000898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287.69656598881124</v>
      </c>
      <c r="T143" s="62">
        <f t="shared" si="142"/>
        <v>221.9773436301067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0.28631601215346764</v>
      </c>
      <c r="AB143" s="23">
        <f>EXP(-LN(2)/2)*AB142+(1-EXP(-LN(2)/2))/(LN(2)/2)*V143*Y143*VLOOKUP('Données projet'!$B$9,Paramètres!$A$1:$I$89,3,0)*0.475*44/12</f>
        <v>3.9474247671547381E-16</v>
      </c>
      <c r="AC143" s="24">
        <f t="shared" si="111"/>
        <v>0.28631601215346802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1.1368683772161603E-13</v>
      </c>
      <c r="AJ143" s="14">
        <f>AI143*VLOOKUP('Données projet'!$B$10,Paramètres!$A$1:$I$89,3,0)*VLOOKUP('Données projet'!$B$10,Paramètres!$A$1:$I$89,5,0)</f>
        <v>5.3205440053716299E-14</v>
      </c>
      <c r="AK143" s="14">
        <f t="shared" si="143"/>
        <v>8.602146238565607E-13</v>
      </c>
      <c r="AL143" s="22">
        <f t="shared" si="112"/>
        <v>1.590873277977066E-12</v>
      </c>
      <c r="AM143" s="62">
        <f t="shared" si="113"/>
        <v>293.33333333333491</v>
      </c>
      <c r="AN143" s="62">
        <f ca="1">AVERAGE(OFFSET($AM$3,0,0,'Données projet'!$E$10+1,1))-AVERAGE(OFFSET($H$3,0,0,'Données projet'!$E$10+1,1))</f>
        <v>173.76802753906867</v>
      </c>
      <c r="AO143" s="62">
        <f t="shared" si="144"/>
        <v>153.4527010894717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2">
        <f t="shared" si="140"/>
        <v>19.13134318440186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70">
        <f t="shared" si="110"/>
        <v>444.7753310461668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287.69656598881124</v>
      </c>
      <c r="T144" s="62">
        <f t="shared" si="142"/>
        <v>221.9773436301067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0.27848668574442637</v>
      </c>
      <c r="AB144" s="23">
        <f>EXP(-LN(2)/2)*AB143+(1-EXP(-LN(2)/2))/(LN(2)/2)*V144*Y144*VLOOKUP('Données projet'!$B$9,Paramètres!$A$1:$I$89,3,0)*0.475*44/12</f>
        <v>2.7912508210788437E-16</v>
      </c>
      <c r="AC144" s="24">
        <f t="shared" si="111"/>
        <v>0.27848668574442664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1.1368683772161603E-13</v>
      </c>
      <c r="AJ144" s="14">
        <f>AI144*VLOOKUP('Données projet'!$B$10,Paramètres!$A$1:$I$89,3,0)*VLOOKUP('Données projet'!$B$10,Paramètres!$A$1:$I$89,5,0)</f>
        <v>5.3205440053716299E-14</v>
      </c>
      <c r="AK144" s="14">
        <f t="shared" si="143"/>
        <v>8.602146238565607E-13</v>
      </c>
      <c r="AL144" s="22">
        <f t="shared" si="112"/>
        <v>1.590873277977066E-12</v>
      </c>
      <c r="AM144" s="62">
        <f t="shared" si="113"/>
        <v>293.33333333333491</v>
      </c>
      <c r="AN144" s="62">
        <f ca="1">AVERAGE(OFFSET($AM$3,0,0,'Données projet'!$E$10+1,1))-AVERAGE(OFFSET($H$3,0,0,'Données projet'!$E$10+1,1))</f>
        <v>173.76802753906867</v>
      </c>
      <c r="AO144" s="62">
        <f t="shared" si="144"/>
        <v>153.4527010894717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2">
        <f t="shared" si="140"/>
        <v>19.251183578735148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70">
        <f t="shared" si="110"/>
        <v>445.82179473296389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287.69656598881124</v>
      </c>
      <c r="T145" s="62">
        <f t="shared" si="142"/>
        <v>221.9773436301067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0.27087145267776669</v>
      </c>
      <c r="AB145" s="23">
        <f>EXP(-LN(2)/2)*AB144+(1-EXP(-LN(2)/2))/(LN(2)/2)*V145*Y145*VLOOKUP('Données projet'!$B$9,Paramètres!$A$1:$I$89,3,0)*0.475*44/12</f>
        <v>1.9737123835773691E-16</v>
      </c>
      <c r="AC145" s="24">
        <f t="shared" si="111"/>
        <v>0.27087145267776691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1.1368683772161603E-13</v>
      </c>
      <c r="AJ145" s="14">
        <f>AI145*VLOOKUP('Données projet'!$B$10,Paramètres!$A$1:$I$89,3,0)*VLOOKUP('Données projet'!$B$10,Paramètres!$A$1:$I$89,5,0)</f>
        <v>5.3205440053716299E-14</v>
      </c>
      <c r="AK145" s="14">
        <f t="shared" si="143"/>
        <v>8.602146238565607E-13</v>
      </c>
      <c r="AL145" s="22">
        <f t="shared" si="112"/>
        <v>1.590873277977066E-12</v>
      </c>
      <c r="AM145" s="62">
        <f t="shared" si="113"/>
        <v>293.33333333333491</v>
      </c>
      <c r="AN145" s="62">
        <f ca="1">AVERAGE(OFFSET($AM$3,0,0,'Données projet'!$E$10+1,1))-AVERAGE(OFFSET($H$3,0,0,'Données projet'!$E$10+1,1))</f>
        <v>173.76802753906867</v>
      </c>
      <c r="AO145" s="62">
        <f t="shared" si="144"/>
        <v>153.4527010894717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2">
        <f t="shared" si="140"/>
        <v>19.370925777096051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70">
        <f t="shared" si="110"/>
        <v>446.86808739510911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287.69656598881124</v>
      </c>
      <c r="T146" s="62">
        <f t="shared" si="142"/>
        <v>221.9773436301067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0.26346445855978257</v>
      </c>
      <c r="AB146" s="23">
        <f>EXP(-LN(2)/2)*AB145+(1-EXP(-LN(2)/2))/(LN(2)/2)*V146*Y146*VLOOKUP('Données projet'!$B$9,Paramètres!$A$1:$I$89,3,0)*0.475*44/12</f>
        <v>1.3956254105394219E-16</v>
      </c>
      <c r="AC146" s="24">
        <f t="shared" si="111"/>
        <v>0.26346445855978273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1.1368683772161603E-13</v>
      </c>
      <c r="AJ146" s="14">
        <f>AI146*VLOOKUP('Données projet'!$B$10,Paramètres!$A$1:$I$89,3,0)*VLOOKUP('Données projet'!$B$10,Paramètres!$A$1:$I$89,5,0)</f>
        <v>5.3205440053716299E-14</v>
      </c>
      <c r="AK146" s="14">
        <f t="shared" si="143"/>
        <v>8.602146238565607E-13</v>
      </c>
      <c r="AL146" s="22">
        <f t="shared" si="112"/>
        <v>1.590873277977066E-12</v>
      </c>
      <c r="AM146" s="62">
        <f t="shared" si="113"/>
        <v>293.33333333333491</v>
      </c>
      <c r="AN146" s="62">
        <f ca="1">AVERAGE(OFFSET($AM$3,0,0,'Données projet'!$E$10+1,1))-AVERAGE(OFFSET($H$3,0,0,'Données projet'!$E$10+1,1))</f>
        <v>173.76802753906867</v>
      </c>
      <c r="AO146" s="62">
        <f t="shared" si="144"/>
        <v>153.4527010894717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2">
        <f t="shared" si="140"/>
        <v>19.49057054580048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70">
        <f t="shared" si="110"/>
        <v>447.91421036726933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287.69656598881124</v>
      </c>
      <c r="T147" s="62">
        <f t="shared" si="142"/>
        <v>221.9773436301067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0.25626000908547159</v>
      </c>
      <c r="AB147" s="23">
        <f>EXP(-LN(2)/2)*AB146+(1-EXP(-LN(2)/2))/(LN(2)/2)*V147*Y147*VLOOKUP('Données projet'!$B$9,Paramètres!$A$1:$I$89,3,0)*0.475*44/12</f>
        <v>9.8685619178868454E-17</v>
      </c>
      <c r="AC147" s="24">
        <f t="shared" si="111"/>
        <v>0.2562600090854717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1.1368683772161603E-13</v>
      </c>
      <c r="AJ147" s="14">
        <f>AI147*VLOOKUP('Données projet'!$B$10,Paramètres!$A$1:$I$89,3,0)*VLOOKUP('Données projet'!$B$10,Paramètres!$A$1:$I$89,5,0)</f>
        <v>5.3205440053716299E-14</v>
      </c>
      <c r="AK147" s="14">
        <f t="shared" si="143"/>
        <v>8.602146238565607E-13</v>
      </c>
      <c r="AL147" s="22">
        <f t="shared" si="112"/>
        <v>1.590873277977066E-12</v>
      </c>
      <c r="AM147" s="62">
        <f t="shared" si="113"/>
        <v>293.33333333333491</v>
      </c>
      <c r="AN147" s="62">
        <f ca="1">AVERAGE(OFFSET($AM$3,0,0,'Données projet'!$E$10+1,1))-AVERAGE(OFFSET($H$3,0,0,'Données projet'!$E$10+1,1))</f>
        <v>173.76802753906867</v>
      </c>
      <c r="AO147" s="62">
        <f t="shared" si="144"/>
        <v>153.4527010894717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2">
        <f t="shared" si="140"/>
        <v>19.610118639905842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70">
        <f t="shared" si="110"/>
        <v>448.96016496450284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287.69656598881124</v>
      </c>
      <c r="T148" s="62">
        <f t="shared" si="142"/>
        <v>221.9773436301067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0.24925256566090118</v>
      </c>
      <c r="AB148" s="23">
        <f>EXP(-LN(2)/2)*AB147+(1-EXP(-LN(2)/2))/(LN(2)/2)*V148*Y148*VLOOKUP('Données projet'!$B$9,Paramètres!$A$1:$I$89,3,0)*0.475*44/12</f>
        <v>6.9781270526971093E-17</v>
      </c>
      <c r="AC148" s="24">
        <f t="shared" si="111"/>
        <v>0.24925256566090126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1.1368683772161603E-13</v>
      </c>
      <c r="AJ148" s="14">
        <f>AI148*VLOOKUP('Données projet'!$B$10,Paramètres!$A$1:$I$89,3,0)*VLOOKUP('Données projet'!$B$10,Paramètres!$A$1:$I$89,5,0)</f>
        <v>5.3205440053716299E-14</v>
      </c>
      <c r="AK148" s="14">
        <f t="shared" si="143"/>
        <v>8.602146238565607E-13</v>
      </c>
      <c r="AL148" s="22">
        <f t="shared" si="112"/>
        <v>1.590873277977066E-12</v>
      </c>
      <c r="AM148" s="62">
        <f t="shared" si="113"/>
        <v>293.33333333333491</v>
      </c>
      <c r="AN148" s="62">
        <f ca="1">AVERAGE(OFFSET($AM$3,0,0,'Données projet'!$E$10+1,1))-AVERAGE(OFFSET($H$3,0,0,'Données projet'!$E$10+1,1))</f>
        <v>173.76802753906867</v>
      </c>
      <c r="AO148" s="62">
        <f t="shared" si="144"/>
        <v>153.4527010894717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2">
        <f t="shared" si="140"/>
        <v>19.729570803453061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70">
        <f t="shared" si="110"/>
        <v>450.00595248268087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287.69656598881124</v>
      </c>
      <c r="T149" s="62">
        <f t="shared" si="142"/>
        <v>221.9773436301067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0.24243674114528108</v>
      </c>
      <c r="AB149" s="23">
        <f>EXP(-LN(2)/2)*AB148+(1-EXP(-LN(2)/2))/(LN(2)/2)*V149*Y149*VLOOKUP('Données projet'!$B$9,Paramètres!$A$1:$I$89,3,0)*0.475*44/12</f>
        <v>4.9342809589434227E-17</v>
      </c>
      <c r="AC149" s="24">
        <f t="shared" si="111"/>
        <v>0.24243674114528113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1.1368683772161603E-13</v>
      </c>
      <c r="AJ149" s="14">
        <f>AI149*VLOOKUP('Données projet'!$B$10,Paramètres!$A$1:$I$89,3,0)*VLOOKUP('Données projet'!$B$10,Paramètres!$A$1:$I$89,5,0)</f>
        <v>5.3205440053716299E-14</v>
      </c>
      <c r="AK149" s="14">
        <f t="shared" si="143"/>
        <v>8.602146238565607E-13</v>
      </c>
      <c r="AL149" s="22">
        <f t="shared" si="112"/>
        <v>1.590873277977066E-12</v>
      </c>
      <c r="AM149" s="62">
        <f t="shared" si="113"/>
        <v>293.33333333333491</v>
      </c>
      <c r="AN149" s="62">
        <f ca="1">AVERAGE(OFFSET($AM$3,0,0,'Données projet'!$E$10+1,1))-AVERAGE(OFFSET($H$3,0,0,'Données projet'!$E$10+1,1))</f>
        <v>173.76802753906867</v>
      </c>
      <c r="AO149" s="62">
        <f t="shared" si="144"/>
        <v>153.4527010894717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2">
        <f t="shared" si="140"/>
        <v>19.848927769701536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70">
        <f t="shared" si="110"/>
        <v>451.05157419889701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287.69656598881124</v>
      </c>
      <c r="T150" s="62">
        <f t="shared" si="142"/>
        <v>221.9773436301067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0.23580729570946923</v>
      </c>
      <c r="AB150" s="23">
        <f>EXP(-LN(2)/2)*AB149+(1-EXP(-LN(2)/2))/(LN(2)/2)*V150*Y150*VLOOKUP('Données projet'!$B$9,Paramètres!$A$1:$I$89,3,0)*0.475*44/12</f>
        <v>3.4890635263485546E-17</v>
      </c>
      <c r="AC150" s="24">
        <f t="shared" si="111"/>
        <v>0.23580729570946926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1.1368683772161603E-13</v>
      </c>
      <c r="AJ150" s="14">
        <f>AI150*VLOOKUP('Données projet'!$B$10,Paramètres!$A$1:$I$89,3,0)*VLOOKUP('Données projet'!$B$10,Paramètres!$A$1:$I$89,5,0)</f>
        <v>5.3205440053716299E-14</v>
      </c>
      <c r="AK150" s="14">
        <f t="shared" si="143"/>
        <v>8.602146238565607E-13</v>
      </c>
      <c r="AL150" s="22">
        <f t="shared" si="112"/>
        <v>1.590873277977066E-12</v>
      </c>
      <c r="AM150" s="62">
        <f t="shared" si="113"/>
        <v>293.33333333333491</v>
      </c>
      <c r="AN150" s="62">
        <f ca="1">AVERAGE(OFFSET($AM$3,0,0,'Données projet'!$E$10+1,1))-AVERAGE(OFFSET($H$3,0,0,'Données projet'!$E$10+1,1))</f>
        <v>173.76802753906867</v>
      </c>
      <c r="AO150" s="62">
        <f t="shared" si="144"/>
        <v>153.4527010894717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2">
        <f t="shared" si="140"/>
        <v>19.968190261357677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70">
        <f t="shared" si="110"/>
        <v>452.09703137186477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287.69656598881124</v>
      </c>
      <c r="T151" s="62">
        <f t="shared" si="142"/>
        <v>221.9773436301067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0.22935913280772707</v>
      </c>
      <c r="AB151" s="23">
        <f>EXP(-LN(2)/2)*AB150+(1-EXP(-LN(2)/2))/(LN(2)/2)*V151*Y151*VLOOKUP('Données projet'!$B$9,Paramètres!$A$1:$I$89,3,0)*0.475*44/12</f>
        <v>2.4671404794717113E-17</v>
      </c>
      <c r="AC151" s="24">
        <f t="shared" si="111"/>
        <v>0.2293591328077271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1.1368683772161603E-13</v>
      </c>
      <c r="AJ151" s="14">
        <f>AI151*VLOOKUP('Données projet'!$B$10,Paramètres!$A$1:$I$89,3,0)*VLOOKUP('Données projet'!$B$10,Paramètres!$A$1:$I$89,5,0)</f>
        <v>5.3205440053716299E-14</v>
      </c>
      <c r="AK151" s="14">
        <f t="shared" si="143"/>
        <v>8.602146238565607E-13</v>
      </c>
      <c r="AL151" s="22">
        <f t="shared" si="112"/>
        <v>1.590873277977066E-12</v>
      </c>
      <c r="AM151" s="62">
        <f t="shared" si="113"/>
        <v>293.33333333333491</v>
      </c>
      <c r="AN151" s="62">
        <f ca="1">AVERAGE(OFFSET($AM$3,0,0,'Données projet'!$E$10+1,1))-AVERAGE(OFFSET($H$3,0,0,'Données projet'!$E$10+1,1))</f>
        <v>173.76802753906867</v>
      </c>
      <c r="AO151" s="62">
        <f t="shared" si="144"/>
        <v>153.4527010894717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2">
        <f t="shared" si="140"/>
        <v>20.087358990796993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70">
        <f t="shared" si="110"/>
        <v>453.14232524230488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287.69656598881124</v>
      </c>
      <c r="T152" s="62">
        <f t="shared" si="142"/>
        <v>221.9773436301067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0.2230872952596272</v>
      </c>
      <c r="AB152" s="23">
        <f>EXP(-LN(2)/2)*AB151+(1-EXP(-LN(2)/2))/(LN(2)/2)*V152*Y152*VLOOKUP('Données projet'!$B$9,Paramètres!$A$1:$I$89,3,0)*0.475*44/12</f>
        <v>1.7445317631742773E-17</v>
      </c>
      <c r="AC152" s="24">
        <f t="shared" si="111"/>
        <v>0.22308729525962723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1.1368683772161603E-13</v>
      </c>
      <c r="AJ152" s="14">
        <f>AI152*VLOOKUP('Données projet'!$B$10,Paramètres!$A$1:$I$89,3,0)*VLOOKUP('Données projet'!$B$10,Paramètres!$A$1:$I$89,5,0)</f>
        <v>5.3205440053716299E-14</v>
      </c>
      <c r="AK152" s="14">
        <f t="shared" si="143"/>
        <v>8.602146238565607E-13</v>
      </c>
      <c r="AL152" s="22">
        <f t="shared" si="112"/>
        <v>1.590873277977066E-12</v>
      </c>
      <c r="AM152" s="62">
        <f t="shared" si="113"/>
        <v>293.33333333333491</v>
      </c>
      <c r="AN152" s="62">
        <f ca="1">AVERAGE(OFFSET($AM$3,0,0,'Données projet'!$E$10+1,1))-AVERAGE(OFFSET($H$3,0,0,'Données projet'!$E$10+1,1))</f>
        <v>173.76802753906867</v>
      </c>
      <c r="AO152" s="62">
        <f t="shared" si="144"/>
        <v>153.4527010894717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2">
        <f t="shared" si="140"/>
        <v>20.206434660280181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70">
        <f t="shared" si="110"/>
        <v>454.18745703332144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287.69656598881124</v>
      </c>
      <c r="T153" s="62">
        <f t="shared" si="142"/>
        <v>221.9773436301067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0.21698696143910171</v>
      </c>
      <c r="AB153" s="23">
        <f>EXP(-LN(2)/2)*AB152+(1-EXP(-LN(2)/2))/(LN(2)/2)*V153*Y153*VLOOKUP('Données projet'!$B$9,Paramètres!$A$1:$I$89,3,0)*0.475*44/12</f>
        <v>1.2335702397358557E-17</v>
      </c>
      <c r="AC153" s="24">
        <f t="shared" si="111"/>
        <v>0.21698696143910171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1.1368683772161603E-13</v>
      </c>
      <c r="AJ153" s="14">
        <f>AI153*VLOOKUP('Données projet'!$B$10,Paramètres!$A$1:$I$89,3,0)*VLOOKUP('Données projet'!$B$10,Paramètres!$A$1:$I$89,5,0)</f>
        <v>5.3205440053716299E-14</v>
      </c>
      <c r="AK153" s="14">
        <f t="shared" si="143"/>
        <v>8.602146238565607E-13</v>
      </c>
      <c r="AL153" s="22">
        <f t="shared" si="112"/>
        <v>1.590873277977066E-12</v>
      </c>
      <c r="AM153" s="62">
        <f t="shared" si="113"/>
        <v>293.33333333333491</v>
      </c>
      <c r="AN153" s="62">
        <f ca="1">AVERAGE(OFFSET($AM$3,0,0,'Données projet'!$E$10+1,1))-AVERAGE(OFFSET($H$3,0,0,'Données projet'!$E$10+1,1))</f>
        <v>173.76802753906867</v>
      </c>
      <c r="AO153" s="62">
        <f t="shared" si="144"/>
        <v>153.4527010894717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2">
        <f t="shared" si="140"/>
        <v>20.325417962163076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70">
        <f t="shared" si="110"/>
        <v>455.23242795076749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287.69656598881124</v>
      </c>
      <c r="T154" s="62">
        <f t="shared" si="142"/>
        <v>221.9773436301067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0.21105344156770109</v>
      </c>
      <c r="AB154" s="23">
        <f>EXP(-LN(2)/2)*AB153+(1-EXP(-LN(2)/2))/(LN(2)/2)*V154*Y154*VLOOKUP('Données projet'!$B$9,Paramètres!$A$1:$I$89,3,0)*0.475*44/12</f>
        <v>8.7226588158713866E-18</v>
      </c>
      <c r="AC154" s="24">
        <f t="shared" ref="AC154:AC203" si="163">SUM(Z154:AB154)</f>
        <v>0.21105344156770109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1.1368683772161603E-13</v>
      </c>
      <c r="AJ154" s="14">
        <f>AI154*VLOOKUP('Données projet'!$B$10,Paramètres!$A$1:$I$89,3,0)*VLOOKUP('Données projet'!$B$10,Paramètres!$A$1:$I$89,5,0)</f>
        <v>5.3205440053716299E-14</v>
      </c>
      <c r="AK154" s="14">
        <f t="shared" ref="AK154:AK203" si="164">EXP(-1.0587+0.8836*LN(AJ154)+0.284)</f>
        <v>8.602146238565607E-13</v>
      </c>
      <c r="AL154" s="22">
        <f t="shared" ref="AL154:AL203" si="165">(AJ154+AK154)*0.475*44/12</f>
        <v>1.590873277977066E-12</v>
      </c>
      <c r="AM154" s="62">
        <f t="shared" si="113"/>
        <v>293.33333333333491</v>
      </c>
      <c r="AN154" s="62">
        <f ca="1">AVERAGE(OFFSET($AM$3,0,0,'Données projet'!$E$10+1,1))-AVERAGE(OFFSET($H$3,0,0,'Données projet'!$E$10+1,1))</f>
        <v>173.76802753906867</v>
      </c>
      <c r="AO154" s="62">
        <f t="shared" si="144"/>
        <v>153.4527010894717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2">
        <f t="shared" si="140"/>
        <v>20.444309579101091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70">
        <f t="shared" si="110"/>
        <v>456.27723918360118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287.69656598881124</v>
      </c>
      <c r="T155" s="62">
        <f t="shared" si="142"/>
        <v>221.9773436301067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0.20528217410921418</v>
      </c>
      <c r="AB155" s="23">
        <f>EXP(-LN(2)/2)*AB154+(1-EXP(-LN(2)/2))/(LN(2)/2)*V155*Y155*VLOOKUP('Données projet'!$B$9,Paramètres!$A$1:$I$89,3,0)*0.475*44/12</f>
        <v>6.1678511986792784E-18</v>
      </c>
      <c r="AC155" s="24">
        <f t="shared" si="163"/>
        <v>0.20528217410921418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1.1368683772161603E-13</v>
      </c>
      <c r="AJ155" s="14">
        <f>AI155*VLOOKUP('Données projet'!$B$10,Paramètres!$A$1:$I$89,3,0)*VLOOKUP('Données projet'!$B$10,Paramètres!$A$1:$I$89,5,0)</f>
        <v>5.3205440053716299E-14</v>
      </c>
      <c r="AK155" s="14">
        <f t="shared" si="164"/>
        <v>8.602146238565607E-13</v>
      </c>
      <c r="AL155" s="22">
        <f t="shared" si="165"/>
        <v>1.590873277977066E-12</v>
      </c>
      <c r="AM155" s="62">
        <f t="shared" si="113"/>
        <v>293.33333333333491</v>
      </c>
      <c r="AN155" s="62">
        <f ca="1">AVERAGE(OFFSET($AM$3,0,0,'Données projet'!$E$10+1,1))-AVERAGE(OFFSET($H$3,0,0,'Données projet'!$E$10+1,1))</f>
        <v>173.76802753906867</v>
      </c>
      <c r="AO155" s="62">
        <f t="shared" si="144"/>
        <v>153.4527010894717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2">
        <f t="shared" si="140"/>
        <v>20.563110184247964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70">
        <f t="shared" si="110"/>
        <v>457.32189190423196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287.69656598881124</v>
      </c>
      <c r="T156" s="62">
        <f t="shared" si="142"/>
        <v>221.9773436301067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0.19966872226287735</v>
      </c>
      <c r="AB156" s="23">
        <f>EXP(-LN(2)/2)*AB155+(1-EXP(-LN(2)/2))/(LN(2)/2)*V156*Y156*VLOOKUP('Données projet'!$B$9,Paramètres!$A$1:$I$89,3,0)*0.475*44/12</f>
        <v>4.3613294079356933E-18</v>
      </c>
      <c r="AC156" s="24">
        <f t="shared" si="163"/>
        <v>0.19966872226287735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1.1368683772161603E-13</v>
      </c>
      <c r="AJ156" s="14">
        <f>AI156*VLOOKUP('Données projet'!$B$10,Paramètres!$A$1:$I$89,3,0)*VLOOKUP('Données projet'!$B$10,Paramètres!$A$1:$I$89,5,0)</f>
        <v>5.3205440053716299E-14</v>
      </c>
      <c r="AK156" s="14">
        <f t="shared" si="164"/>
        <v>8.602146238565607E-13</v>
      </c>
      <c r="AL156" s="22">
        <f t="shared" si="165"/>
        <v>1.590873277977066E-12</v>
      </c>
      <c r="AM156" s="62">
        <f t="shared" si="113"/>
        <v>293.33333333333491</v>
      </c>
      <c r="AN156" s="62">
        <f ca="1">AVERAGE(OFFSET($AM$3,0,0,'Données projet'!$E$10+1,1))-AVERAGE(OFFSET($H$3,0,0,'Données projet'!$E$10+1,1))</f>
        <v>173.76802753906867</v>
      </c>
      <c r="AO156" s="62">
        <f t="shared" si="144"/>
        <v>153.4527010894717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2">
        <f t="shared" si="140"/>
        <v>20.681820441449297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70">
        <f t="shared" si="110"/>
        <v>458.36638726885758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287.69656598881124</v>
      </c>
      <c r="T157" s="62">
        <f t="shared" si="142"/>
        <v>221.9773436301067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0.19420877055247721</v>
      </c>
      <c r="AB157" s="23">
        <f>EXP(-LN(2)/2)*AB156+(1-EXP(-LN(2)/2))/(LN(2)/2)*V157*Y157*VLOOKUP('Données projet'!$B$9,Paramètres!$A$1:$I$89,3,0)*0.475*44/12</f>
        <v>3.0839255993396392E-18</v>
      </c>
      <c r="AC157" s="24">
        <f t="shared" si="163"/>
        <v>0.19420877055247721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1.1368683772161603E-13</v>
      </c>
      <c r="AJ157" s="14">
        <f>AI157*VLOOKUP('Données projet'!$B$10,Paramètres!$A$1:$I$89,3,0)*VLOOKUP('Données projet'!$B$10,Paramètres!$A$1:$I$89,5,0)</f>
        <v>5.3205440053716299E-14</v>
      </c>
      <c r="AK157" s="14">
        <f t="shared" si="164"/>
        <v>8.602146238565607E-13</v>
      </c>
      <c r="AL157" s="22">
        <f t="shared" si="165"/>
        <v>1.590873277977066E-12</v>
      </c>
      <c r="AM157" s="62">
        <f t="shared" si="113"/>
        <v>293.33333333333491</v>
      </c>
      <c r="AN157" s="62">
        <f ca="1">AVERAGE(OFFSET($AM$3,0,0,'Données projet'!$E$10+1,1))-AVERAGE(OFFSET($H$3,0,0,'Données projet'!$E$10+1,1))</f>
        <v>173.76802753906867</v>
      </c>
      <c r="AO157" s="62">
        <f t="shared" si="144"/>
        <v>153.4527010894717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2">
        <f t="shared" si="140"/>
        <v>20.800441005430773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70">
        <f t="shared" si="110"/>
        <v>459.41072641779198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287.69656598881124</v>
      </c>
      <c r="T158" s="62">
        <f t="shared" si="142"/>
        <v>221.9773436301067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0.18889812150872434</v>
      </c>
      <c r="AB158" s="23">
        <f>EXP(-LN(2)/2)*AB157+(1-EXP(-LN(2)/2))/(LN(2)/2)*V158*Y158*VLOOKUP('Données projet'!$B$9,Paramètres!$A$1:$I$89,3,0)*0.475*44/12</f>
        <v>2.1806647039678466E-18</v>
      </c>
      <c r="AC158" s="24">
        <f t="shared" si="163"/>
        <v>0.18889812150872434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1.1368683772161603E-13</v>
      </c>
      <c r="AJ158" s="14">
        <f>AI158*VLOOKUP('Données projet'!$B$10,Paramètres!$A$1:$I$89,3,0)*VLOOKUP('Données projet'!$B$10,Paramètres!$A$1:$I$89,5,0)</f>
        <v>5.3205440053716299E-14</v>
      </c>
      <c r="AK158" s="14">
        <f t="shared" si="164"/>
        <v>8.602146238565607E-13</v>
      </c>
      <c r="AL158" s="22">
        <f t="shared" si="165"/>
        <v>1.590873277977066E-12</v>
      </c>
      <c r="AM158" s="62">
        <f t="shared" si="113"/>
        <v>293.33333333333491</v>
      </c>
      <c r="AN158" s="62">
        <f ca="1">AVERAGE(OFFSET($AM$3,0,0,'Données projet'!$E$10+1,1))-AVERAGE(OFFSET($H$3,0,0,'Données projet'!$E$10+1,1))</f>
        <v>173.76802753906867</v>
      </c>
      <c r="AO158" s="62">
        <f t="shared" si="144"/>
        <v>153.4527010894717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2">
        <f t="shared" si="140"/>
        <v>20.918972521981534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70">
        <f t="shared" si="110"/>
        <v>460.45491047578457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287.69656598881124</v>
      </c>
      <c r="T159" s="62">
        <f t="shared" si="142"/>
        <v>221.9773436301067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0.1837326924423478</v>
      </c>
      <c r="AB159" s="23">
        <f>EXP(-LN(2)/2)*AB158+(1-EXP(-LN(2)/2))/(LN(2)/2)*V159*Y159*VLOOKUP('Données projet'!$B$9,Paramètres!$A$1:$I$89,3,0)*0.475*44/12</f>
        <v>1.5419627996698196E-18</v>
      </c>
      <c r="AC159" s="24">
        <f t="shared" si="163"/>
        <v>0.1837326924423478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1.1368683772161603E-13</v>
      </c>
      <c r="AJ159" s="14">
        <f>AI159*VLOOKUP('Données projet'!$B$10,Paramètres!$A$1:$I$89,3,0)*VLOOKUP('Données projet'!$B$10,Paramètres!$A$1:$I$89,5,0)</f>
        <v>5.3205440053716299E-14</v>
      </c>
      <c r="AK159" s="14">
        <f t="shared" si="164"/>
        <v>8.602146238565607E-13</v>
      </c>
      <c r="AL159" s="22">
        <f t="shared" si="165"/>
        <v>1.590873277977066E-12</v>
      </c>
      <c r="AM159" s="62">
        <f t="shared" si="113"/>
        <v>293.33333333333491</v>
      </c>
      <c r="AN159" s="62">
        <f ca="1">AVERAGE(OFFSET($AM$3,0,0,'Données projet'!$E$10+1,1))-AVERAGE(OFFSET($H$3,0,0,'Données projet'!$E$10+1,1))</f>
        <v>173.76802753906867</v>
      </c>
      <c r="AO159" s="62">
        <f t="shared" si="144"/>
        <v>153.4527010894717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2">
        <f t="shared" si="140"/>
        <v>21.037415628132592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70">
        <f t="shared" si="110"/>
        <v>461.49894055233096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287.69656598881124</v>
      </c>
      <c r="T160" s="62">
        <f t="shared" si="142"/>
        <v>221.9773436301067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0.17870851230542942</v>
      </c>
      <c r="AB160" s="23">
        <f>EXP(-LN(2)/2)*AB159+(1-EXP(-LN(2)/2))/(LN(2)/2)*V160*Y160*VLOOKUP('Données projet'!$B$9,Paramètres!$A$1:$I$89,3,0)*0.475*44/12</f>
        <v>1.0903323519839233E-18</v>
      </c>
      <c r="AC160" s="24">
        <f t="shared" si="163"/>
        <v>0.17870851230542942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1.1368683772161603E-13</v>
      </c>
      <c r="AJ160" s="14">
        <f>AI160*VLOOKUP('Données projet'!$B$10,Paramètres!$A$1:$I$89,3,0)*VLOOKUP('Données projet'!$B$10,Paramètres!$A$1:$I$89,5,0)</f>
        <v>5.3205440053716299E-14</v>
      </c>
      <c r="AK160" s="14">
        <f t="shared" si="164"/>
        <v>8.602146238565607E-13</v>
      </c>
      <c r="AL160" s="22">
        <f t="shared" si="165"/>
        <v>1.590873277977066E-12</v>
      </c>
      <c r="AM160" s="62">
        <f t="shared" si="113"/>
        <v>293.33333333333491</v>
      </c>
      <c r="AN160" s="62">
        <f ca="1">AVERAGE(OFFSET($AM$3,0,0,'Données projet'!$E$10+1,1))-AVERAGE(OFFSET($H$3,0,0,'Données projet'!$E$10+1,1))</f>
        <v>173.76802753906867</v>
      </c>
      <c r="AO160" s="62">
        <f t="shared" si="144"/>
        <v>153.4527010894717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2">
        <f t="shared" si="140"/>
        <v>21.155770952330599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70">
        <f t="shared" si="110"/>
        <v>462.5428177419758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287.69656598881124</v>
      </c>
      <c r="T161" s="62">
        <f t="shared" si="142"/>
        <v>221.9773436301067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0.17382171863856524</v>
      </c>
      <c r="AB161" s="23">
        <f>EXP(-LN(2)/2)*AB160+(1-EXP(-LN(2)/2))/(LN(2)/2)*V161*Y161*VLOOKUP('Données projet'!$B$9,Paramètres!$A$1:$I$89,3,0)*0.475*44/12</f>
        <v>7.7098139983490979E-19</v>
      </c>
      <c r="AC161" s="24">
        <f t="shared" si="163"/>
        <v>0.17382171863856524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1.1368683772161603E-13</v>
      </c>
      <c r="AJ161" s="14">
        <f>AI161*VLOOKUP('Données projet'!$B$10,Paramètres!$A$1:$I$89,3,0)*VLOOKUP('Données projet'!$B$10,Paramètres!$A$1:$I$89,5,0)</f>
        <v>5.3205440053716299E-14</v>
      </c>
      <c r="AK161" s="14">
        <f t="shared" si="164"/>
        <v>8.602146238565607E-13</v>
      </c>
      <c r="AL161" s="22">
        <f t="shared" si="165"/>
        <v>1.590873277977066E-12</v>
      </c>
      <c r="AM161" s="62">
        <f t="shared" si="113"/>
        <v>293.33333333333491</v>
      </c>
      <c r="AN161" s="62">
        <f ca="1">AVERAGE(OFFSET($AM$3,0,0,'Données projet'!$E$10+1,1))-AVERAGE(OFFSET($H$3,0,0,'Données projet'!$E$10+1,1))</f>
        <v>173.76802753906867</v>
      </c>
      <c r="AO161" s="62">
        <f t="shared" si="144"/>
        <v>153.4527010894717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2">
        <f t="shared" si="140"/>
        <v>21.274039114607188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70">
        <f t="shared" si="110"/>
        <v>463.58654312460754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287.69656598881124</v>
      </c>
      <c r="T162" s="62">
        <f t="shared" si="142"/>
        <v>221.9773436301067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0.16906855460150677</v>
      </c>
      <c r="AB162" s="23">
        <f>EXP(-LN(2)/2)*AB161+(1-EXP(-LN(2)/2))/(LN(2)/2)*V162*Y162*VLOOKUP('Données projet'!$B$9,Paramètres!$A$1:$I$89,3,0)*0.475*44/12</f>
        <v>5.4516617599196166E-19</v>
      </c>
      <c r="AC162" s="24">
        <f t="shared" si="163"/>
        <v>0.16906855460150677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1.1368683772161603E-13</v>
      </c>
      <c r="AJ162" s="14">
        <f>AI162*VLOOKUP('Données projet'!$B$10,Paramètres!$A$1:$I$89,3,0)*VLOOKUP('Données projet'!$B$10,Paramètres!$A$1:$I$89,5,0)</f>
        <v>5.3205440053716299E-14</v>
      </c>
      <c r="AK162" s="14">
        <f t="shared" si="164"/>
        <v>8.602146238565607E-13</v>
      </c>
      <c r="AL162" s="22">
        <f t="shared" si="165"/>
        <v>1.590873277977066E-12</v>
      </c>
      <c r="AM162" s="62">
        <f t="shared" si="113"/>
        <v>293.33333333333491</v>
      </c>
      <c r="AN162" s="62">
        <f ca="1">AVERAGE(OFFSET($AM$3,0,0,'Données projet'!$E$10+1,1))-AVERAGE(OFFSET($H$3,0,0,'Données projet'!$E$10+1,1))</f>
        <v>173.76802753906867</v>
      </c>
      <c r="AO162" s="62">
        <f t="shared" si="144"/>
        <v>153.4527010894717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2">
        <f t="shared" si="140"/>
        <v>21.392220726743776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70">
        <f t="shared" si="110"/>
        <v>464.63011776574541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287.69656598881124</v>
      </c>
      <c r="T163" s="62">
        <f t="shared" si="142"/>
        <v>221.9773436301067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0.16444536608499968</v>
      </c>
      <c r="AB163" s="23">
        <f>EXP(-LN(2)/2)*AB162+(1-EXP(-LN(2)/2))/(LN(2)/2)*V163*Y163*VLOOKUP('Données projet'!$B$9,Paramètres!$A$1:$I$89,3,0)*0.475*44/12</f>
        <v>3.854906999174549E-19</v>
      </c>
      <c r="AC163" s="24">
        <f t="shared" si="163"/>
        <v>0.16444536608499968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1.1368683772161603E-13</v>
      </c>
      <c r="AJ163" s="14">
        <f>AI163*VLOOKUP('Données projet'!$B$10,Paramètres!$A$1:$I$89,3,0)*VLOOKUP('Données projet'!$B$10,Paramètres!$A$1:$I$89,5,0)</f>
        <v>5.3205440053716299E-14</v>
      </c>
      <c r="AK163" s="14">
        <f t="shared" si="164"/>
        <v>8.602146238565607E-13</v>
      </c>
      <c r="AL163" s="22">
        <f t="shared" si="165"/>
        <v>1.590873277977066E-12</v>
      </c>
      <c r="AM163" s="62">
        <f t="shared" si="113"/>
        <v>293.33333333333491</v>
      </c>
      <c r="AN163" s="62">
        <f ca="1">AVERAGE(OFFSET($AM$3,0,0,'Données projet'!$E$10+1,1))-AVERAGE(OFFSET($H$3,0,0,'Données projet'!$E$10+1,1))</f>
        <v>173.76802753906867</v>
      </c>
      <c r="AO163" s="62">
        <f t="shared" si="144"/>
        <v>153.4527010894717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2">
        <f t="shared" si="140"/>
        <v>21.51031639243222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70">
        <f t="shared" si="110"/>
        <v>465.67354271681944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287.69656598881124</v>
      </c>
      <c r="T164" s="62">
        <f t="shared" si="142"/>
        <v>221.9773436301067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0.1599485989015994</v>
      </c>
      <c r="AB164" s="23">
        <f>EXP(-LN(2)/2)*AB163+(1-EXP(-LN(2)/2))/(LN(2)/2)*V164*Y164*VLOOKUP('Données projet'!$B$9,Paramètres!$A$1:$I$89,3,0)*0.475*44/12</f>
        <v>2.7258308799598083E-19</v>
      </c>
      <c r="AC164" s="24">
        <f t="shared" si="163"/>
        <v>0.1599485989015994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1.1368683772161603E-13</v>
      </c>
      <c r="AJ164" s="14">
        <f>AI164*VLOOKUP('Données projet'!$B$10,Paramètres!$A$1:$I$89,3,0)*VLOOKUP('Données projet'!$B$10,Paramètres!$A$1:$I$89,5,0)</f>
        <v>5.3205440053716299E-14</v>
      </c>
      <c r="AK164" s="14">
        <f t="shared" si="164"/>
        <v>8.602146238565607E-13</v>
      </c>
      <c r="AL164" s="22">
        <f t="shared" si="165"/>
        <v>1.590873277977066E-12</v>
      </c>
      <c r="AM164" s="62">
        <f t="shared" si="113"/>
        <v>293.33333333333491</v>
      </c>
      <c r="AN164" s="62">
        <f ca="1">AVERAGE(OFFSET($AM$3,0,0,'Données projet'!$E$10+1,1))-AVERAGE(OFFSET($H$3,0,0,'Données projet'!$E$10+1,1))</f>
        <v>173.76802753906867</v>
      </c>
      <c r="AO164" s="62">
        <f t="shared" si="144"/>
        <v>153.4527010894717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2">
        <f t="shared" si="140"/>
        <v>21.628326707431373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70">
        <f t="shared" si="110"/>
        <v>466.71681901544298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287.69656598881124</v>
      </c>
      <c r="T165" s="62">
        <f t="shared" si="142"/>
        <v>221.9773436301067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0.15557479605330393</v>
      </c>
      <c r="AB165" s="23">
        <f>EXP(-LN(2)/2)*AB164+(1-EXP(-LN(2)/2))/(LN(2)/2)*V165*Y165*VLOOKUP('Données projet'!$B$9,Paramètres!$A$1:$I$89,3,0)*0.475*44/12</f>
        <v>1.9274534995872745E-19</v>
      </c>
      <c r="AC165" s="24">
        <f t="shared" si="163"/>
        <v>0.15557479605330393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1.1368683772161603E-13</v>
      </c>
      <c r="AJ165" s="14">
        <f>AI165*VLOOKUP('Données projet'!$B$10,Paramètres!$A$1:$I$89,3,0)*VLOOKUP('Données projet'!$B$10,Paramètres!$A$1:$I$89,5,0)</f>
        <v>5.3205440053716299E-14</v>
      </c>
      <c r="AK165" s="14">
        <f t="shared" si="164"/>
        <v>8.602146238565607E-13</v>
      </c>
      <c r="AL165" s="22">
        <f t="shared" si="165"/>
        <v>1.590873277977066E-12</v>
      </c>
      <c r="AM165" s="62">
        <f t="shared" si="113"/>
        <v>293.33333333333491</v>
      </c>
      <c r="AN165" s="62">
        <f ca="1">AVERAGE(OFFSET($AM$3,0,0,'Données projet'!$E$10+1,1))-AVERAGE(OFFSET($H$3,0,0,'Données projet'!$E$10+1,1))</f>
        <v>173.76802753906867</v>
      </c>
      <c r="AO165" s="62">
        <f t="shared" si="144"/>
        <v>153.4527010894717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2">
        <f t="shared" si="140"/>
        <v>21.74625225971964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70">
        <f t="shared" si="110"/>
        <v>467.75994768567836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287.69656598881124</v>
      </c>
      <c r="T166" s="62">
        <f t="shared" si="142"/>
        <v>221.9773436301067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0.15132059507390339</v>
      </c>
      <c r="AB166" s="23">
        <f>EXP(-LN(2)/2)*AB165+(1-EXP(-LN(2)/2))/(LN(2)/2)*V166*Y166*VLOOKUP('Données projet'!$B$9,Paramètres!$A$1:$I$89,3,0)*0.475*44/12</f>
        <v>1.3629154399799042E-19</v>
      </c>
      <c r="AC166" s="24">
        <f t="shared" si="163"/>
        <v>0.15132059507390339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1.1368683772161603E-13</v>
      </c>
      <c r="AJ166" s="14">
        <f>AI166*VLOOKUP('Données projet'!$B$10,Paramètres!$A$1:$I$89,3,0)*VLOOKUP('Données projet'!$B$10,Paramètres!$A$1:$I$89,5,0)</f>
        <v>5.3205440053716299E-14</v>
      </c>
      <c r="AK166" s="14">
        <f t="shared" si="164"/>
        <v>8.602146238565607E-13</v>
      </c>
      <c r="AL166" s="22">
        <f t="shared" si="165"/>
        <v>1.590873277977066E-12</v>
      </c>
      <c r="AM166" s="62">
        <f t="shared" si="113"/>
        <v>293.33333333333491</v>
      </c>
      <c r="AN166" s="62">
        <f ca="1">AVERAGE(OFFSET($AM$3,0,0,'Données projet'!$E$10+1,1))-AVERAGE(OFFSET($H$3,0,0,'Données projet'!$E$10+1,1))</f>
        <v>173.76802753906867</v>
      </c>
      <c r="AO166" s="62">
        <f t="shared" si="144"/>
        <v>153.4527010894717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2">
        <f t="shared" si="140"/>
        <v>21.864093629643623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70">
        <f t="shared" si="110"/>
        <v>468.80292973829592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287.69656598881124</v>
      </c>
      <c r="T167" s="62">
        <f t="shared" si="142"/>
        <v>221.9773436301067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0.14718272544400324</v>
      </c>
      <c r="AB167" s="23">
        <f>EXP(-LN(2)/2)*AB166+(1-EXP(-LN(2)/2))/(LN(2)/2)*V167*Y167*VLOOKUP('Données projet'!$B$9,Paramètres!$A$1:$I$89,3,0)*0.475*44/12</f>
        <v>9.6372674979363724E-20</v>
      </c>
      <c r="AC167" s="24">
        <f t="shared" si="163"/>
        <v>0.14718272544400324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1.1368683772161603E-13</v>
      </c>
      <c r="AJ167" s="14">
        <f>AI167*VLOOKUP('Données projet'!$B$10,Paramètres!$A$1:$I$89,3,0)*VLOOKUP('Données projet'!$B$10,Paramètres!$A$1:$I$89,5,0)</f>
        <v>5.3205440053716299E-14</v>
      </c>
      <c r="AK167" s="14">
        <f t="shared" si="164"/>
        <v>8.602146238565607E-13</v>
      </c>
      <c r="AL167" s="22">
        <f t="shared" si="165"/>
        <v>1.590873277977066E-12</v>
      </c>
      <c r="AM167" s="62">
        <f t="shared" si="113"/>
        <v>293.33333333333491</v>
      </c>
      <c r="AN167" s="62">
        <f ca="1">AVERAGE(OFFSET($AM$3,0,0,'Données projet'!$E$10+1,1))-AVERAGE(OFFSET($H$3,0,0,'Données projet'!$E$10+1,1))</f>
        <v>173.76802753906867</v>
      </c>
      <c r="AO167" s="62">
        <f t="shared" si="144"/>
        <v>153.4527010894717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2">
        <f t="shared" si="140"/>
        <v>21.981851390063195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70">
        <f t="shared" si="110"/>
        <v>469.8457661710267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287.69656598881124</v>
      </c>
      <c r="T168" s="62">
        <f t="shared" si="142"/>
        <v>221.9773436301067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0.14315800607673382</v>
      </c>
      <c r="AB168" s="23">
        <f>EXP(-LN(2)/2)*AB167+(1-EXP(-LN(2)/2))/(LN(2)/2)*V168*Y168*VLOOKUP('Données projet'!$B$9,Paramètres!$A$1:$I$89,3,0)*0.475*44/12</f>
        <v>6.8145771998995208E-20</v>
      </c>
      <c r="AC168" s="24">
        <f t="shared" si="163"/>
        <v>0.14315800607673382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1.1368683772161603E-13</v>
      </c>
      <c r="AJ168" s="14">
        <f>AI168*VLOOKUP('Données projet'!$B$10,Paramètres!$A$1:$I$89,3,0)*VLOOKUP('Données projet'!$B$10,Paramètres!$A$1:$I$89,5,0)</f>
        <v>5.3205440053716299E-14</v>
      </c>
      <c r="AK168" s="14">
        <f t="shared" si="164"/>
        <v>8.602146238565607E-13</v>
      </c>
      <c r="AL168" s="22">
        <f t="shared" si="165"/>
        <v>1.590873277977066E-12</v>
      </c>
      <c r="AM168" s="62">
        <f t="shared" si="113"/>
        <v>293.33333333333491</v>
      </c>
      <c r="AN168" s="62">
        <f ca="1">AVERAGE(OFFSET($AM$3,0,0,'Données projet'!$E$10+1,1))-AVERAGE(OFFSET($H$3,0,0,'Données projet'!$E$10+1,1))</f>
        <v>173.76802753906867</v>
      </c>
      <c r="AO168" s="62">
        <f t="shared" si="144"/>
        <v>153.4527010894717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2">
        <f t="shared" si="140"/>
        <v>22.099526106492764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70">
        <f t="shared" si="110"/>
        <v>470.88845796880821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287.69656598881124</v>
      </c>
      <c r="T169" s="62">
        <f t="shared" si="142"/>
        <v>221.9773436301067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0.13924334287221318</v>
      </c>
      <c r="AB169" s="23">
        <f>EXP(-LN(2)/2)*AB168+(1-EXP(-LN(2)/2))/(LN(2)/2)*V169*Y169*VLOOKUP('Données projet'!$B$9,Paramètres!$A$1:$I$89,3,0)*0.475*44/12</f>
        <v>4.8186337489681862E-20</v>
      </c>
      <c r="AC169" s="24">
        <f t="shared" si="163"/>
        <v>0.13924334287221318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1.1368683772161603E-13</v>
      </c>
      <c r="AJ169" s="14">
        <f>AI169*VLOOKUP('Données projet'!$B$10,Paramètres!$A$1:$I$89,3,0)*VLOOKUP('Données projet'!$B$10,Paramètres!$A$1:$I$89,5,0)</f>
        <v>5.3205440053716299E-14</v>
      </c>
      <c r="AK169" s="14">
        <f t="shared" si="164"/>
        <v>8.602146238565607E-13</v>
      </c>
      <c r="AL169" s="22">
        <f t="shared" si="165"/>
        <v>1.590873277977066E-12</v>
      </c>
      <c r="AM169" s="62">
        <f t="shared" si="113"/>
        <v>293.33333333333491</v>
      </c>
      <c r="AN169" s="62">
        <f ca="1">AVERAGE(OFFSET($AM$3,0,0,'Données projet'!$E$10+1,1))-AVERAGE(OFFSET($H$3,0,0,'Données projet'!$E$10+1,1))</f>
        <v>173.76802753906867</v>
      </c>
      <c r="AO169" s="62">
        <f t="shared" si="144"/>
        <v>153.4527010894717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2">
        <f t="shared" si="140"/>
        <v>22.217118337239182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70">
        <f t="shared" si="110"/>
        <v>471.93100610402485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287.69656598881124</v>
      </c>
      <c r="T170" s="62">
        <f t="shared" si="142"/>
        <v>221.9773436301067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0.13543572633888334</v>
      </c>
      <c r="AB170" s="23">
        <f>EXP(-LN(2)/2)*AB169+(1-EXP(-LN(2)/2))/(LN(2)/2)*V170*Y170*VLOOKUP('Données projet'!$B$9,Paramètres!$A$1:$I$89,3,0)*0.475*44/12</f>
        <v>3.4072885999497604E-20</v>
      </c>
      <c r="AC170" s="24">
        <f t="shared" si="163"/>
        <v>0.13543572633888334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1.1368683772161603E-13</v>
      </c>
      <c r="AJ170" s="14">
        <f>AI170*VLOOKUP('Données projet'!$B$10,Paramètres!$A$1:$I$89,3,0)*VLOOKUP('Données projet'!$B$10,Paramètres!$A$1:$I$89,5,0)</f>
        <v>5.3205440053716299E-14</v>
      </c>
      <c r="AK170" s="14">
        <f t="shared" si="164"/>
        <v>8.602146238565607E-13</v>
      </c>
      <c r="AL170" s="22">
        <f t="shared" si="165"/>
        <v>1.590873277977066E-12</v>
      </c>
      <c r="AM170" s="62">
        <f t="shared" si="113"/>
        <v>293.33333333333491</v>
      </c>
      <c r="AN170" s="62">
        <f ca="1">AVERAGE(OFFSET($AM$3,0,0,'Données projet'!$E$10+1,1))-AVERAGE(OFFSET($H$3,0,0,'Données projet'!$E$10+1,1))</f>
        <v>173.76802753906867</v>
      </c>
      <c r="AO170" s="62">
        <f t="shared" si="144"/>
        <v>153.4527010894717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2">
        <f t="shared" si="140"/>
        <v>22.334628633536209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70">
        <f t="shared" si="110"/>
        <v>472.97341153674216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287.69656598881124</v>
      </c>
      <c r="T171" s="62">
        <f t="shared" si="142"/>
        <v>221.9773436301067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0.13173222927989128</v>
      </c>
      <c r="AB171" s="23">
        <f>EXP(-LN(2)/2)*AB170+(1-EXP(-LN(2)/2))/(LN(2)/2)*V171*Y171*VLOOKUP('Données projet'!$B$9,Paramètres!$A$1:$I$89,3,0)*0.475*44/12</f>
        <v>2.4093168744840931E-20</v>
      </c>
      <c r="AC171" s="24">
        <f t="shared" si="163"/>
        <v>0.13173222927989128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1.1368683772161603E-13</v>
      </c>
      <c r="AJ171" s="14">
        <f>AI171*VLOOKUP('Données projet'!$B$10,Paramètres!$A$1:$I$89,3,0)*VLOOKUP('Données projet'!$B$10,Paramètres!$A$1:$I$89,5,0)</f>
        <v>5.3205440053716299E-14</v>
      </c>
      <c r="AK171" s="14">
        <f t="shared" si="164"/>
        <v>8.602146238565607E-13</v>
      </c>
      <c r="AL171" s="22">
        <f t="shared" si="165"/>
        <v>1.590873277977066E-12</v>
      </c>
      <c r="AM171" s="62">
        <f t="shared" si="113"/>
        <v>293.33333333333491</v>
      </c>
      <c r="AN171" s="62">
        <f ca="1">AVERAGE(OFFSET($AM$3,0,0,'Données projet'!$E$10+1,1))-AVERAGE(OFFSET($H$3,0,0,'Données projet'!$E$10+1,1))</f>
        <v>173.76802753906867</v>
      </c>
      <c r="AO171" s="62">
        <f t="shared" si="144"/>
        <v>153.4527010894717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2">
        <f t="shared" si="140"/>
        <v>22.452057539675593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70">
        <f t="shared" si="110"/>
        <v>474.0156752149349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287.69656598881124</v>
      </c>
      <c r="T172" s="62">
        <f t="shared" si="142"/>
        <v>221.9773436301067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0.12813000454273579</v>
      </c>
      <c r="AB172" s="23">
        <f>EXP(-LN(2)/2)*AB171+(1-EXP(-LN(2)/2))/(LN(2)/2)*V172*Y172*VLOOKUP('Données projet'!$B$9,Paramètres!$A$1:$I$89,3,0)*0.475*44/12</f>
        <v>1.7036442999748802E-20</v>
      </c>
      <c r="AC172" s="24">
        <f t="shared" si="163"/>
        <v>0.12813000454273579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1.1368683772161603E-13</v>
      </c>
      <c r="AJ172" s="14">
        <f>AI172*VLOOKUP('Données projet'!$B$10,Paramètres!$A$1:$I$89,3,0)*VLOOKUP('Données projet'!$B$10,Paramètres!$A$1:$I$89,5,0)</f>
        <v>5.3205440053716299E-14</v>
      </c>
      <c r="AK172" s="14">
        <f t="shared" si="164"/>
        <v>8.602146238565607E-13</v>
      </c>
      <c r="AL172" s="22">
        <f t="shared" si="165"/>
        <v>1.590873277977066E-12</v>
      </c>
      <c r="AM172" s="62">
        <f t="shared" si="113"/>
        <v>293.33333333333491</v>
      </c>
      <c r="AN172" s="62">
        <f ca="1">AVERAGE(OFFSET($AM$3,0,0,'Données projet'!$E$10+1,1))-AVERAGE(OFFSET($H$3,0,0,'Données projet'!$E$10+1,1))</f>
        <v>173.76802753906867</v>
      </c>
      <c r="AO172" s="62">
        <f t="shared" si="144"/>
        <v>153.4527010894717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2">
        <f t="shared" si="140"/>
        <v>22.569405593135201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70">
        <f t="shared" si="110"/>
        <v>475.05779807471038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287.69656598881124</v>
      </c>
      <c r="T173" s="62">
        <f t="shared" si="142"/>
        <v>221.9773436301067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0.12462628283045059</v>
      </c>
      <c r="AB173" s="23">
        <f>EXP(-LN(2)/2)*AB172+(1-EXP(-LN(2)/2))/(LN(2)/2)*V173*Y173*VLOOKUP('Données projet'!$B$9,Paramètres!$A$1:$I$89,3,0)*0.475*44/12</f>
        <v>1.2046584372420466E-20</v>
      </c>
      <c r="AC173" s="24">
        <f t="shared" si="163"/>
        <v>0.12462628283045059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1.1368683772161603E-13</v>
      </c>
      <c r="AJ173" s="14">
        <f>AI173*VLOOKUP('Données projet'!$B$10,Paramètres!$A$1:$I$89,3,0)*VLOOKUP('Données projet'!$B$10,Paramètres!$A$1:$I$89,5,0)</f>
        <v>5.3205440053716299E-14</v>
      </c>
      <c r="AK173" s="14">
        <f t="shared" si="164"/>
        <v>8.602146238565607E-13</v>
      </c>
      <c r="AL173" s="22">
        <f t="shared" si="165"/>
        <v>1.590873277977066E-12</v>
      </c>
      <c r="AM173" s="62">
        <f t="shared" si="113"/>
        <v>293.33333333333491</v>
      </c>
      <c r="AN173" s="62">
        <f ca="1">AVERAGE(OFFSET($AM$3,0,0,'Données projet'!$E$10+1,1))-AVERAGE(OFFSET($H$3,0,0,'Données projet'!$E$10+1,1))</f>
        <v>173.76802753906867</v>
      </c>
      <c r="AO173" s="62">
        <f t="shared" si="144"/>
        <v>153.4527010894717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2">
        <f t="shared" si="140"/>
        <v>22.686673324703712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70">
        <f t="shared" si="110"/>
        <v>476.0997810405255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287.69656598881124</v>
      </c>
      <c r="T174" s="62">
        <f t="shared" si="142"/>
        <v>221.9773436301067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0.12121837057264054</v>
      </c>
      <c r="AB174" s="23">
        <f>EXP(-LN(2)/2)*AB173+(1-EXP(-LN(2)/2))/(LN(2)/2)*V174*Y174*VLOOKUP('Données projet'!$B$9,Paramètres!$A$1:$I$89,3,0)*0.475*44/12</f>
        <v>8.518221499874401E-21</v>
      </c>
      <c r="AC174" s="24">
        <f t="shared" si="163"/>
        <v>0.12121837057264054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1.1368683772161603E-13</v>
      </c>
      <c r="AJ174" s="14">
        <f>AI174*VLOOKUP('Données projet'!$B$10,Paramètres!$A$1:$I$89,3,0)*VLOOKUP('Données projet'!$B$10,Paramètres!$A$1:$I$89,5,0)</f>
        <v>5.3205440053716299E-14</v>
      </c>
      <c r="AK174" s="14">
        <f t="shared" si="164"/>
        <v>8.602146238565607E-13</v>
      </c>
      <c r="AL174" s="22">
        <f t="shared" si="165"/>
        <v>1.590873277977066E-12</v>
      </c>
      <c r="AM174" s="62">
        <f t="shared" si="113"/>
        <v>293.33333333333491</v>
      </c>
      <c r="AN174" s="62">
        <f ca="1">AVERAGE(OFFSET($AM$3,0,0,'Données projet'!$E$10+1,1))-AVERAGE(OFFSET($H$3,0,0,'Données projet'!$E$10+1,1))</f>
        <v>173.76802753906867</v>
      </c>
      <c r="AO174" s="62">
        <f t="shared" si="144"/>
        <v>153.4527010894717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2">
        <f t="shared" si="140"/>
        <v>22.803861258602598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70">
        <f t="shared" si="110"/>
        <v>477.14162502539943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287.69656598881124</v>
      </c>
      <c r="T175" s="62">
        <f t="shared" si="142"/>
        <v>221.9773436301067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0.11790364785473462</v>
      </c>
      <c r="AB175" s="23">
        <f>EXP(-LN(2)/2)*AB174+(1-EXP(-LN(2)/2))/(LN(2)/2)*V175*Y175*VLOOKUP('Données projet'!$B$9,Paramètres!$A$1:$I$89,3,0)*0.475*44/12</f>
        <v>6.0232921862102328E-21</v>
      </c>
      <c r="AC175" s="24">
        <f t="shared" si="163"/>
        <v>0.11790364785473462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1.1368683772161603E-13</v>
      </c>
      <c r="AJ175" s="14">
        <f>AI175*VLOOKUP('Données projet'!$B$10,Paramètres!$A$1:$I$89,3,0)*VLOOKUP('Données projet'!$B$10,Paramètres!$A$1:$I$89,5,0)</f>
        <v>5.3205440053716299E-14</v>
      </c>
      <c r="AK175" s="14">
        <f t="shared" si="164"/>
        <v>8.602146238565607E-13</v>
      </c>
      <c r="AL175" s="22">
        <f t="shared" si="165"/>
        <v>1.590873277977066E-12</v>
      </c>
      <c r="AM175" s="62">
        <f t="shared" si="113"/>
        <v>293.33333333333491</v>
      </c>
      <c r="AN175" s="62">
        <f ca="1">AVERAGE(OFFSET($AM$3,0,0,'Données projet'!$E$10+1,1))-AVERAGE(OFFSET($H$3,0,0,'Données projet'!$E$10+1,1))</f>
        <v>173.76802753906867</v>
      </c>
      <c r="AO175" s="62">
        <f t="shared" si="144"/>
        <v>153.4527010894717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2">
        <f t="shared" si="140"/>
        <v>22.920969912605038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70">
        <f t="shared" si="110"/>
        <v>478.18333093112028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287.69656598881124</v>
      </c>
      <c r="T176" s="62">
        <f t="shared" si="142"/>
        <v>221.9773436301067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0.11467956640386354</v>
      </c>
      <c r="AB176" s="23">
        <f>EXP(-LN(2)/2)*AB175+(1-EXP(-LN(2)/2))/(LN(2)/2)*V176*Y176*VLOOKUP('Données projet'!$B$9,Paramètres!$A$1:$I$89,3,0)*0.475*44/12</f>
        <v>4.2591107499372005E-21</v>
      </c>
      <c r="AC176" s="24">
        <f t="shared" si="163"/>
        <v>0.11467956640386354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1.1368683772161603E-13</v>
      </c>
      <c r="AJ176" s="14">
        <f>AI176*VLOOKUP('Données projet'!$B$10,Paramètres!$A$1:$I$89,3,0)*VLOOKUP('Données projet'!$B$10,Paramètres!$A$1:$I$89,5,0)</f>
        <v>5.3205440053716299E-14</v>
      </c>
      <c r="AK176" s="14">
        <f t="shared" si="164"/>
        <v>8.602146238565607E-13</v>
      </c>
      <c r="AL176" s="22">
        <f t="shared" si="165"/>
        <v>1.590873277977066E-12</v>
      </c>
      <c r="AM176" s="62">
        <f t="shared" si="113"/>
        <v>293.33333333333491</v>
      </c>
      <c r="AN176" s="62">
        <f ca="1">AVERAGE(OFFSET($AM$3,0,0,'Données projet'!$E$10+1,1))-AVERAGE(OFFSET($H$3,0,0,'Données projet'!$E$10+1,1))</f>
        <v>173.76802753906867</v>
      </c>
      <c r="AO176" s="62">
        <f t="shared" si="144"/>
        <v>153.4527010894717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2">
        <f t="shared" si="140"/>
        <v>23.037999798152033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70">
        <f t="shared" si="110"/>
        <v>479.224899648448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287.69656598881124</v>
      </c>
      <c r="T177" s="62">
        <f t="shared" si="142"/>
        <v>221.9773436301067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0.1115436476298136</v>
      </c>
      <c r="AB177" s="23">
        <f>EXP(-LN(2)/2)*AB176+(1-EXP(-LN(2)/2))/(LN(2)/2)*V177*Y177*VLOOKUP('Données projet'!$B$9,Paramètres!$A$1:$I$89,3,0)*0.475*44/12</f>
        <v>3.0116460931051164E-21</v>
      </c>
      <c r="AC177" s="24">
        <f t="shared" si="163"/>
        <v>0.1115436476298136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1.1368683772161603E-13</v>
      </c>
      <c r="AJ177" s="14">
        <f>AI177*VLOOKUP('Données projet'!$B$10,Paramètres!$A$1:$I$89,3,0)*VLOOKUP('Données projet'!$B$10,Paramètres!$A$1:$I$89,5,0)</f>
        <v>5.3205440053716299E-14</v>
      </c>
      <c r="AK177" s="14">
        <f t="shared" si="164"/>
        <v>8.602146238565607E-13</v>
      </c>
      <c r="AL177" s="22">
        <f t="shared" si="165"/>
        <v>1.590873277977066E-12</v>
      </c>
      <c r="AM177" s="62">
        <f t="shared" si="113"/>
        <v>293.33333333333491</v>
      </c>
      <c r="AN177" s="62">
        <f ca="1">AVERAGE(OFFSET($AM$3,0,0,'Données projet'!$E$10+1,1))-AVERAGE(OFFSET($H$3,0,0,'Données projet'!$E$10+1,1))</f>
        <v>173.76802753906867</v>
      </c>
      <c r="AO177" s="62">
        <f t="shared" si="144"/>
        <v>153.4527010894717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2">
        <f t="shared" si="140"/>
        <v>23.154951420465835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70">
        <f t="shared" si="110"/>
        <v>480.26633205731122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287.69656598881124</v>
      </c>
      <c r="T178" s="62">
        <f t="shared" si="142"/>
        <v>221.9773436301067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0.10849348071955085</v>
      </c>
      <c r="AB178" s="23">
        <f>EXP(-LN(2)/2)*AB177+(1-EXP(-LN(2)/2))/(LN(2)/2)*V178*Y178*VLOOKUP('Données projet'!$B$9,Paramètres!$A$1:$I$89,3,0)*0.475*44/12</f>
        <v>2.1295553749686002E-21</v>
      </c>
      <c r="AC178" s="24">
        <f t="shared" si="163"/>
        <v>0.10849348071955085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1.1368683772161603E-13</v>
      </c>
      <c r="AJ178" s="14">
        <f>AI178*VLOOKUP('Données projet'!$B$10,Paramètres!$A$1:$I$89,3,0)*VLOOKUP('Données projet'!$B$10,Paramètres!$A$1:$I$89,5,0)</f>
        <v>5.3205440053716299E-14</v>
      </c>
      <c r="AK178" s="14">
        <f t="shared" si="164"/>
        <v>8.602146238565607E-13</v>
      </c>
      <c r="AL178" s="22">
        <f t="shared" si="165"/>
        <v>1.590873277977066E-12</v>
      </c>
      <c r="AM178" s="62">
        <f t="shared" si="113"/>
        <v>293.33333333333491</v>
      </c>
      <c r="AN178" s="62">
        <f ca="1">AVERAGE(OFFSET($AM$3,0,0,'Données projet'!$E$10+1,1))-AVERAGE(OFFSET($H$3,0,0,'Données projet'!$E$10+1,1))</f>
        <v>173.76802753906867</v>
      </c>
      <c r="AO178" s="62">
        <f t="shared" si="144"/>
        <v>153.4527010894717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2">
        <f t="shared" si="140"/>
        <v>23.271825278660558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70">
        <f t="shared" si="110"/>
        <v>481.3076290270003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287.69656598881124</v>
      </c>
      <c r="T179" s="62">
        <f t="shared" si="142"/>
        <v>221.9773436301067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0.10552672078385054</v>
      </c>
      <c r="AB179" s="23">
        <f>EXP(-LN(2)/2)*AB178+(1-EXP(-LN(2)/2))/(LN(2)/2)*V179*Y179*VLOOKUP('Données projet'!$B$9,Paramètres!$A$1:$I$89,3,0)*0.475*44/12</f>
        <v>1.5058230465525582E-21</v>
      </c>
      <c r="AC179" s="24">
        <f t="shared" si="163"/>
        <v>0.10552672078385054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1.1368683772161603E-13</v>
      </c>
      <c r="AJ179" s="14">
        <f>AI179*VLOOKUP('Données projet'!$B$10,Paramètres!$A$1:$I$89,3,0)*VLOOKUP('Données projet'!$B$10,Paramètres!$A$1:$I$89,5,0)</f>
        <v>5.3205440053716299E-14</v>
      </c>
      <c r="AK179" s="14">
        <f t="shared" si="164"/>
        <v>8.602146238565607E-13</v>
      </c>
      <c r="AL179" s="22">
        <f t="shared" si="165"/>
        <v>1.590873277977066E-12</v>
      </c>
      <c r="AM179" s="62">
        <f t="shared" si="113"/>
        <v>293.33333333333491</v>
      </c>
      <c r="AN179" s="62">
        <f ca="1">AVERAGE(OFFSET($AM$3,0,0,'Données projet'!$E$10+1,1))-AVERAGE(OFFSET($H$3,0,0,'Données projet'!$E$10+1,1))</f>
        <v>173.76802753906867</v>
      </c>
      <c r="AO179" s="62">
        <f t="shared" si="144"/>
        <v>153.4527010894717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2">
        <f t="shared" si="140"/>
        <v>23.388621865850421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70">
        <f t="shared" si="110"/>
        <v>482.34879141635599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287.69656598881124</v>
      </c>
      <c r="T180" s="62">
        <f t="shared" si="142"/>
        <v>221.9773436301067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0.10264108705460709</v>
      </c>
      <c r="AB180" s="23">
        <f>EXP(-LN(2)/2)*AB179+(1-EXP(-LN(2)/2))/(LN(2)/2)*V180*Y180*VLOOKUP('Données projet'!$B$9,Paramètres!$A$1:$I$89,3,0)*0.475*44/12</f>
        <v>1.0647776874843001E-21</v>
      </c>
      <c r="AC180" s="24">
        <f t="shared" si="163"/>
        <v>0.10264108705460709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1.1368683772161603E-13</v>
      </c>
      <c r="AJ180" s="14">
        <f>AI180*VLOOKUP('Données projet'!$B$10,Paramètres!$A$1:$I$89,3,0)*VLOOKUP('Données projet'!$B$10,Paramètres!$A$1:$I$89,5,0)</f>
        <v>5.3205440053716299E-14</v>
      </c>
      <c r="AK180" s="14">
        <f t="shared" si="164"/>
        <v>8.602146238565607E-13</v>
      </c>
      <c r="AL180" s="22">
        <f t="shared" si="165"/>
        <v>1.590873277977066E-12</v>
      </c>
      <c r="AM180" s="62">
        <f t="shared" si="113"/>
        <v>293.33333333333491</v>
      </c>
      <c r="AN180" s="62">
        <f ca="1">AVERAGE(OFFSET($AM$3,0,0,'Données projet'!$E$10+1,1))-AVERAGE(OFFSET($H$3,0,0,'Données projet'!$E$10+1,1))</f>
        <v>173.76802753906867</v>
      </c>
      <c r="AO180" s="62">
        <f t="shared" si="144"/>
        <v>153.4527010894717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2">
        <f t="shared" si="140"/>
        <v>23.505341669255241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70">
        <f t="shared" si="110"/>
        <v>483.38982007395271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287.69656598881124</v>
      </c>
      <c r="T181" s="62">
        <f t="shared" si="142"/>
        <v>221.9773436301067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9.9834361131438676E-2</v>
      </c>
      <c r="AB181" s="23">
        <f>EXP(-LN(2)/2)*AB180+(1-EXP(-LN(2)/2))/(LN(2)/2)*V181*Y181*VLOOKUP('Données projet'!$B$9,Paramètres!$A$1:$I$89,3,0)*0.475*44/12</f>
        <v>7.529115232762791E-22</v>
      </c>
      <c r="AC181" s="24">
        <f t="shared" si="163"/>
        <v>9.9834361131438676E-2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1.1368683772161603E-13</v>
      </c>
      <c r="AJ181" s="14">
        <f>AI181*VLOOKUP('Données projet'!$B$10,Paramètres!$A$1:$I$89,3,0)*VLOOKUP('Données projet'!$B$10,Paramètres!$A$1:$I$89,5,0)</f>
        <v>5.3205440053716299E-14</v>
      </c>
      <c r="AK181" s="14">
        <f t="shared" si="164"/>
        <v>8.602146238565607E-13</v>
      </c>
      <c r="AL181" s="22">
        <f t="shared" si="165"/>
        <v>1.590873277977066E-12</v>
      </c>
      <c r="AM181" s="62">
        <f t="shared" si="113"/>
        <v>293.33333333333491</v>
      </c>
      <c r="AN181" s="62">
        <f ca="1">AVERAGE(OFFSET($AM$3,0,0,'Données projet'!$E$10+1,1))-AVERAGE(OFFSET($H$3,0,0,'Données projet'!$E$10+1,1))</f>
        <v>173.76802753906867</v>
      </c>
      <c r="AO181" s="62">
        <f t="shared" si="144"/>
        <v>153.4527010894717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2">
        <f t="shared" si="140"/>
        <v>23.621985170303667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70">
        <f t="shared" si="110"/>
        <v>484.43071583827873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287.69656598881124</v>
      </c>
      <c r="T182" s="62">
        <f t="shared" si="142"/>
        <v>221.9773436301067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9.7104385276238603E-2</v>
      </c>
      <c r="AB182" s="23">
        <f>EXP(-LN(2)/2)*AB181+(1-EXP(-LN(2)/2))/(LN(2)/2)*V182*Y182*VLOOKUP('Données projet'!$B$9,Paramètres!$A$1:$I$89,3,0)*0.475*44/12</f>
        <v>5.3238884374215006E-22</v>
      </c>
      <c r="AC182" s="24">
        <f t="shared" si="163"/>
        <v>9.7104385276238603E-2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1.1368683772161603E-13</v>
      </c>
      <c r="AJ182" s="14">
        <f>AI182*VLOOKUP('Données projet'!$B$10,Paramètres!$A$1:$I$89,3,0)*VLOOKUP('Données projet'!$B$10,Paramètres!$A$1:$I$89,5,0)</f>
        <v>5.3205440053716299E-14</v>
      </c>
      <c r="AK182" s="14">
        <f t="shared" si="164"/>
        <v>8.602146238565607E-13</v>
      </c>
      <c r="AL182" s="22">
        <f t="shared" si="165"/>
        <v>1.590873277977066E-12</v>
      </c>
      <c r="AM182" s="62">
        <f t="shared" si="113"/>
        <v>293.33333333333491</v>
      </c>
      <c r="AN182" s="62">
        <f ca="1">AVERAGE(OFFSET($AM$3,0,0,'Données projet'!$E$10+1,1))-AVERAGE(OFFSET($H$3,0,0,'Données projet'!$E$10+1,1))</f>
        <v>173.76802753906867</v>
      </c>
      <c r="AO182" s="62">
        <f t="shared" si="144"/>
        <v>153.4527010894717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2">
        <f t="shared" si="140"/>
        <v>23.738552844733956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70">
        <f t="shared" si="110"/>
        <v>485.47147953791148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287.69656598881124</v>
      </c>
      <c r="T183" s="62">
        <f t="shared" si="142"/>
        <v>221.9773436301067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9.4449060754362171E-2</v>
      </c>
      <c r="AB183" s="23">
        <f>EXP(-LN(2)/2)*AB182+(1-EXP(-LN(2)/2))/(LN(2)/2)*V183*Y183*VLOOKUP('Données projet'!$B$9,Paramètres!$A$1:$I$89,3,0)*0.475*44/12</f>
        <v>3.7645576163813955E-22</v>
      </c>
      <c r="AC183" s="24">
        <f t="shared" si="163"/>
        <v>9.4449060754362171E-2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1.1368683772161603E-13</v>
      </c>
      <c r="AJ183" s="14">
        <f>AI183*VLOOKUP('Données projet'!$B$10,Paramètres!$A$1:$I$89,3,0)*VLOOKUP('Données projet'!$B$10,Paramètres!$A$1:$I$89,5,0)</f>
        <v>5.3205440053716299E-14</v>
      </c>
      <c r="AK183" s="14">
        <f t="shared" si="164"/>
        <v>8.602146238565607E-13</v>
      </c>
      <c r="AL183" s="22">
        <f t="shared" si="165"/>
        <v>1.590873277977066E-12</v>
      </c>
      <c r="AM183" s="62">
        <f t="shared" si="113"/>
        <v>293.33333333333491</v>
      </c>
      <c r="AN183" s="62">
        <f ca="1">AVERAGE(OFFSET($AM$3,0,0,'Données projet'!$E$10+1,1))-AVERAGE(OFFSET($H$3,0,0,'Données projet'!$E$10+1,1))</f>
        <v>173.76802753906867</v>
      </c>
      <c r="AO183" s="62">
        <f t="shared" si="144"/>
        <v>153.4527010894717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2">
        <f t="shared" si="140"/>
        <v>23.855045162692459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70">
        <f t="shared" si="110"/>
        <v>486.51211199168915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287.69656598881124</v>
      </c>
      <c r="T184" s="62">
        <f t="shared" si="142"/>
        <v>221.9773436301067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9.18663462211739E-2</v>
      </c>
      <c r="AB184" s="23">
        <f>EXP(-LN(2)/2)*AB183+(1-EXP(-LN(2)/2))/(LN(2)/2)*V184*Y184*VLOOKUP('Données projet'!$B$9,Paramètres!$A$1:$I$89,3,0)*0.475*44/12</f>
        <v>2.6619442187107503E-22</v>
      </c>
      <c r="AC184" s="24">
        <f t="shared" si="163"/>
        <v>9.18663462211739E-2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1.1368683772161603E-13</v>
      </c>
      <c r="AJ184" s="14">
        <f>AI184*VLOOKUP('Données projet'!$B$10,Paramètres!$A$1:$I$89,3,0)*VLOOKUP('Données projet'!$B$10,Paramètres!$A$1:$I$89,5,0)</f>
        <v>5.3205440053716299E-14</v>
      </c>
      <c r="AK184" s="14">
        <f t="shared" si="164"/>
        <v>8.602146238565607E-13</v>
      </c>
      <c r="AL184" s="22">
        <f t="shared" si="165"/>
        <v>1.590873277977066E-12</v>
      </c>
      <c r="AM184" s="62">
        <f t="shared" si="113"/>
        <v>293.33333333333491</v>
      </c>
      <c r="AN184" s="62">
        <f ca="1">AVERAGE(OFFSET($AM$3,0,0,'Données projet'!$E$10+1,1))-AVERAGE(OFFSET($H$3,0,0,'Données projet'!$E$10+1,1))</f>
        <v>173.76802753906867</v>
      </c>
      <c r="AO184" s="62">
        <f t="shared" si="144"/>
        <v>153.4527010894717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2">
        <f t="shared" si="140"/>
        <v>23.971462588829898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70">
        <f t="shared" si="110"/>
        <v>487.55261400887855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287.69656598881124</v>
      </c>
      <c r="T185" s="62">
        <f t="shared" si="142"/>
        <v>221.9773436301067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8.9354256152714709E-2</v>
      </c>
      <c r="AB185" s="23">
        <f>EXP(-LN(2)/2)*AB184+(1-EXP(-LN(2)/2))/(LN(2)/2)*V185*Y185*VLOOKUP('Données projet'!$B$9,Paramètres!$A$1:$I$89,3,0)*0.475*44/12</f>
        <v>1.8822788081906977E-22</v>
      </c>
      <c r="AC185" s="24">
        <f t="shared" si="163"/>
        <v>8.9354256152714709E-2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1.1368683772161603E-13</v>
      </c>
      <c r="AJ185" s="14">
        <f>AI185*VLOOKUP('Données projet'!$B$10,Paramètres!$A$1:$I$89,3,0)*VLOOKUP('Données projet'!$B$10,Paramètres!$A$1:$I$89,5,0)</f>
        <v>5.3205440053716299E-14</v>
      </c>
      <c r="AK185" s="14">
        <f t="shared" si="164"/>
        <v>8.602146238565607E-13</v>
      </c>
      <c r="AL185" s="22">
        <f t="shared" si="165"/>
        <v>1.590873277977066E-12</v>
      </c>
      <c r="AM185" s="62">
        <f t="shared" si="113"/>
        <v>293.33333333333491</v>
      </c>
      <c r="AN185" s="62">
        <f ca="1">AVERAGE(OFFSET($AM$3,0,0,'Données projet'!$E$10+1,1))-AVERAGE(OFFSET($H$3,0,0,'Données projet'!$E$10+1,1))</f>
        <v>173.76802753906867</v>
      </c>
      <c r="AO185" s="62">
        <f t="shared" si="144"/>
        <v>153.4527010894717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2">
        <f t="shared" si="140"/>
        <v>24.087805582395383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70">
        <f t="shared" si="110"/>
        <v>488.59298638933842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287.69656598881124</v>
      </c>
      <c r="T186" s="62">
        <f t="shared" si="142"/>
        <v>221.9773436301067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8.6910859319282621E-2</v>
      </c>
      <c r="AB186" s="23">
        <f>EXP(-LN(2)/2)*AB185+(1-EXP(-LN(2)/2))/(LN(2)/2)*V186*Y186*VLOOKUP('Données projet'!$B$9,Paramètres!$A$1:$I$89,3,0)*0.475*44/12</f>
        <v>1.3309721093553751E-22</v>
      </c>
      <c r="AC186" s="24">
        <f t="shared" si="163"/>
        <v>8.6910859319282621E-2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1.1368683772161603E-13</v>
      </c>
      <c r="AJ186" s="14">
        <f>AI186*VLOOKUP('Données projet'!$B$10,Paramètres!$A$1:$I$89,3,0)*VLOOKUP('Données projet'!$B$10,Paramètres!$A$1:$I$89,5,0)</f>
        <v>5.3205440053716299E-14</v>
      </c>
      <c r="AK186" s="14">
        <f t="shared" si="164"/>
        <v>8.602146238565607E-13</v>
      </c>
      <c r="AL186" s="22">
        <f t="shared" si="165"/>
        <v>1.590873277977066E-12</v>
      </c>
      <c r="AM186" s="62">
        <f t="shared" si="113"/>
        <v>293.33333333333491</v>
      </c>
      <c r="AN186" s="62">
        <f ca="1">AVERAGE(OFFSET($AM$3,0,0,'Données projet'!$E$10+1,1))-AVERAGE(OFFSET($H$3,0,0,'Données projet'!$E$10+1,1))</f>
        <v>173.76802753906867</v>
      </c>
      <c r="AO186" s="62">
        <f t="shared" si="144"/>
        <v>153.4527010894717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2">
        <f t="shared" si="140"/>
        <v>24.204074597328436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70">
        <f t="shared" si="110"/>
        <v>489.63322992368012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287.69656598881124</v>
      </c>
      <c r="T187" s="62">
        <f t="shared" si="142"/>
        <v>221.9773436301067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8.4534277300753385E-2</v>
      </c>
      <c r="AB187" s="23">
        <f>EXP(-LN(2)/2)*AB186+(1-EXP(-LN(2)/2))/(LN(2)/2)*V187*Y187*VLOOKUP('Données projet'!$B$9,Paramètres!$A$1:$I$89,3,0)*0.475*44/12</f>
        <v>9.4113940409534887E-23</v>
      </c>
      <c r="AC187" s="24">
        <f t="shared" si="163"/>
        <v>8.4534277300753385E-2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1.1368683772161603E-13</v>
      </c>
      <c r="AJ187" s="14">
        <f>AI187*VLOOKUP('Données projet'!$B$10,Paramètres!$A$1:$I$89,3,0)*VLOOKUP('Données projet'!$B$10,Paramètres!$A$1:$I$89,5,0)</f>
        <v>5.3205440053716299E-14</v>
      </c>
      <c r="AK187" s="14">
        <f t="shared" si="164"/>
        <v>8.602146238565607E-13</v>
      </c>
      <c r="AL187" s="22">
        <f t="shared" si="165"/>
        <v>1.590873277977066E-12</v>
      </c>
      <c r="AM187" s="62">
        <f t="shared" si="113"/>
        <v>293.33333333333491</v>
      </c>
      <c r="AN187" s="62">
        <f ca="1">AVERAGE(OFFSET($AM$3,0,0,'Données projet'!$E$10+1,1))-AVERAGE(OFFSET($H$3,0,0,'Données projet'!$E$10+1,1))</f>
        <v>173.76802753906867</v>
      </c>
      <c r="AO187" s="62">
        <f t="shared" si="144"/>
        <v>153.4527010894717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2">
        <f t="shared" si="140"/>
        <v>24.320270082348852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70">
        <f t="shared" si="110"/>
        <v>490.67334539342403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287.69656598881124</v>
      </c>
      <c r="T188" s="62">
        <f t="shared" si="142"/>
        <v>221.9773436301067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8.2222683042499842E-2</v>
      </c>
      <c r="AB188" s="23">
        <f>EXP(-LN(2)/2)*AB187+(1-EXP(-LN(2)/2))/(LN(2)/2)*V188*Y188*VLOOKUP('Données projet'!$B$9,Paramètres!$A$1:$I$89,3,0)*0.475*44/12</f>
        <v>6.6548605467768757E-23</v>
      </c>
      <c r="AC188" s="24">
        <f t="shared" si="163"/>
        <v>8.2222683042499842E-2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1.1368683772161603E-13</v>
      </c>
      <c r="AJ188" s="14">
        <f>AI188*VLOOKUP('Données projet'!$B$10,Paramètres!$A$1:$I$89,3,0)*VLOOKUP('Données projet'!$B$10,Paramètres!$A$1:$I$89,5,0)</f>
        <v>5.3205440053716299E-14</v>
      </c>
      <c r="AK188" s="14">
        <f t="shared" si="164"/>
        <v>8.602146238565607E-13</v>
      </c>
      <c r="AL188" s="22">
        <f t="shared" si="165"/>
        <v>1.590873277977066E-12</v>
      </c>
      <c r="AM188" s="62">
        <f t="shared" si="113"/>
        <v>293.33333333333491</v>
      </c>
      <c r="AN188" s="62">
        <f ca="1">AVERAGE(OFFSET($AM$3,0,0,'Données projet'!$E$10+1,1))-AVERAGE(OFFSET($H$3,0,0,'Données projet'!$E$10+1,1))</f>
        <v>173.76802753906867</v>
      </c>
      <c r="AO188" s="62">
        <f t="shared" si="144"/>
        <v>153.4527010894717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2">
        <f t="shared" si="140"/>
        <v>24.436392481044596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70">
        <f t="shared" si="110"/>
        <v>491.71333357115242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287.69656598881124</v>
      </c>
      <c r="T189" s="62">
        <f t="shared" si="142"/>
        <v>221.9773436301067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7.9974299450799702E-2</v>
      </c>
      <c r="AB189" s="23">
        <f>EXP(-LN(2)/2)*AB188+(1-EXP(-LN(2)/2))/(LN(2)/2)*V189*Y189*VLOOKUP('Données projet'!$B$9,Paramètres!$A$1:$I$89,3,0)*0.475*44/12</f>
        <v>4.7056970204767444E-23</v>
      </c>
      <c r="AC189" s="24">
        <f t="shared" si="163"/>
        <v>7.9974299450799702E-2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1.1368683772161603E-13</v>
      </c>
      <c r="AJ189" s="14">
        <f>AI189*VLOOKUP('Données projet'!$B$10,Paramètres!$A$1:$I$89,3,0)*VLOOKUP('Données projet'!$B$10,Paramètres!$A$1:$I$89,5,0)</f>
        <v>5.3205440053716299E-14</v>
      </c>
      <c r="AK189" s="14">
        <f t="shared" si="164"/>
        <v>8.602146238565607E-13</v>
      </c>
      <c r="AL189" s="22">
        <f t="shared" si="165"/>
        <v>1.590873277977066E-12</v>
      </c>
      <c r="AM189" s="62">
        <f t="shared" si="113"/>
        <v>293.33333333333491</v>
      </c>
      <c r="AN189" s="62">
        <f ca="1">AVERAGE(OFFSET($AM$3,0,0,'Données projet'!$E$10+1,1))-AVERAGE(OFFSET($H$3,0,0,'Données projet'!$E$10+1,1))</f>
        <v>173.76802753906867</v>
      </c>
      <c r="AO189" s="62">
        <f t="shared" si="144"/>
        <v>153.4527010894717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2">
        <f t="shared" si="140"/>
        <v>24.552442231957805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70">
        <f t="shared" si="110"/>
        <v>492.75319522065962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287.69656598881124</v>
      </c>
      <c r="T190" s="62">
        <f t="shared" si="142"/>
        <v>221.9773436301067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7.7787398026651966E-2</v>
      </c>
      <c r="AB190" s="23">
        <f>EXP(-LN(2)/2)*AB189+(1-EXP(-LN(2)/2))/(LN(2)/2)*V190*Y190*VLOOKUP('Données projet'!$B$9,Paramètres!$A$1:$I$89,3,0)*0.475*44/12</f>
        <v>3.3274302733884379E-23</v>
      </c>
      <c r="AC190" s="24">
        <f t="shared" si="163"/>
        <v>7.7787398026651966E-2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1.1368683772161603E-13</v>
      </c>
      <c r="AJ190" s="14">
        <f>AI190*VLOOKUP('Données projet'!$B$10,Paramètres!$A$1:$I$89,3,0)*VLOOKUP('Données projet'!$B$10,Paramètres!$A$1:$I$89,5,0)</f>
        <v>5.3205440053716299E-14</v>
      </c>
      <c r="AK190" s="14">
        <f t="shared" si="164"/>
        <v>8.602146238565607E-13</v>
      </c>
      <c r="AL190" s="22">
        <f t="shared" si="165"/>
        <v>1.590873277977066E-12</v>
      </c>
      <c r="AM190" s="62">
        <f t="shared" si="113"/>
        <v>293.33333333333491</v>
      </c>
      <c r="AN190" s="62">
        <f ca="1">AVERAGE(OFFSET($AM$3,0,0,'Données projet'!$E$10+1,1))-AVERAGE(OFFSET($H$3,0,0,'Données projet'!$E$10+1,1))</f>
        <v>173.76802753906867</v>
      </c>
      <c r="AO190" s="62">
        <f t="shared" si="144"/>
        <v>153.4527010894717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2">
        <f t="shared" si="140"/>
        <v>24.668419768668819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70">
        <f t="shared" si="110"/>
        <v>493.79293109709795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287.69656598881124</v>
      </c>
      <c r="T191" s="62">
        <f t="shared" si="142"/>
        <v>221.9773436301067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7.5660297536951693E-2</v>
      </c>
      <c r="AB191" s="23">
        <f>EXP(-LN(2)/2)*AB190+(1-EXP(-LN(2)/2))/(LN(2)/2)*V191*Y191*VLOOKUP('Données projet'!$B$9,Paramètres!$A$1:$I$89,3,0)*0.475*44/12</f>
        <v>2.3528485102383722E-23</v>
      </c>
      <c r="AC191" s="24">
        <f t="shared" si="163"/>
        <v>7.5660297536951693E-2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1.1368683772161603E-13</v>
      </c>
      <c r="AJ191" s="14">
        <f>AI191*VLOOKUP('Données projet'!$B$10,Paramètres!$A$1:$I$89,3,0)*VLOOKUP('Données projet'!$B$10,Paramètres!$A$1:$I$89,5,0)</f>
        <v>5.3205440053716299E-14</v>
      </c>
      <c r="AK191" s="14">
        <f t="shared" si="164"/>
        <v>8.602146238565607E-13</v>
      </c>
      <c r="AL191" s="22">
        <f t="shared" si="165"/>
        <v>1.590873277977066E-12</v>
      </c>
      <c r="AM191" s="62">
        <f t="shared" si="113"/>
        <v>293.33333333333491</v>
      </c>
      <c r="AN191" s="62">
        <f ca="1">AVERAGE(OFFSET($AM$3,0,0,'Données projet'!$E$10+1,1))-AVERAGE(OFFSET($H$3,0,0,'Données projet'!$E$10+1,1))</f>
        <v>173.76802753906867</v>
      </c>
      <c r="AO191" s="62">
        <f t="shared" si="144"/>
        <v>153.4527010894717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2">
        <f t="shared" si="140"/>
        <v>24.784325519878397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70">
        <f t="shared" si="110"/>
        <v>494.83254194712129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287.69656598881124</v>
      </c>
      <c r="T192" s="62">
        <f t="shared" si="142"/>
        <v>221.9773436301067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7.3591362722001619E-2</v>
      </c>
      <c r="AB192" s="23">
        <f>EXP(-LN(2)/2)*AB191+(1-EXP(-LN(2)/2))/(LN(2)/2)*V192*Y192*VLOOKUP('Données projet'!$B$9,Paramètres!$A$1:$I$89,3,0)*0.475*44/12</f>
        <v>1.6637151366942189E-23</v>
      </c>
      <c r="AC192" s="24">
        <f t="shared" si="163"/>
        <v>7.3591362722001619E-2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1.1368683772161603E-13</v>
      </c>
      <c r="AJ192" s="14">
        <f>AI192*VLOOKUP('Données projet'!$B$10,Paramètres!$A$1:$I$89,3,0)*VLOOKUP('Données projet'!$B$10,Paramètres!$A$1:$I$89,5,0)</f>
        <v>5.3205440053716299E-14</v>
      </c>
      <c r="AK192" s="14">
        <f t="shared" si="164"/>
        <v>8.602146238565607E-13</v>
      </c>
      <c r="AL192" s="22">
        <f t="shared" si="165"/>
        <v>1.590873277977066E-12</v>
      </c>
      <c r="AM192" s="62">
        <f t="shared" si="113"/>
        <v>293.33333333333491</v>
      </c>
      <c r="AN192" s="62">
        <f ca="1">AVERAGE(OFFSET($AM$3,0,0,'Données projet'!$E$10+1,1))-AVERAGE(OFFSET($H$3,0,0,'Données projet'!$E$10+1,1))</f>
        <v>173.76802753906867</v>
      </c>
      <c r="AO192" s="62">
        <f t="shared" si="144"/>
        <v>153.4527010894717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2">
        <f t="shared" si="140"/>
        <v>24.900159909488174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70">
        <f t="shared" si="110"/>
        <v>495.87202850902497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287.69656598881124</v>
      </c>
      <c r="T193" s="62">
        <f t="shared" si="142"/>
        <v>221.9773436301067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7.1579003038366909E-2</v>
      </c>
      <c r="AB193" s="23">
        <f>EXP(-LN(2)/2)*AB192+(1-EXP(-LN(2)/2))/(LN(2)/2)*V193*Y193*VLOOKUP('Données projet'!$B$9,Paramètres!$A$1:$I$89,3,0)*0.475*44/12</f>
        <v>1.1764242551191861E-23</v>
      </c>
      <c r="AC193" s="24">
        <f t="shared" si="163"/>
        <v>7.1579003038366909E-2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1.1368683772161603E-13</v>
      </c>
      <c r="AJ193" s="14">
        <f>AI193*VLOOKUP('Données projet'!$B$10,Paramètres!$A$1:$I$89,3,0)*VLOOKUP('Données projet'!$B$10,Paramètres!$A$1:$I$89,5,0)</f>
        <v>5.3205440053716299E-14</v>
      </c>
      <c r="AK193" s="14">
        <f t="shared" si="164"/>
        <v>8.602146238565607E-13</v>
      </c>
      <c r="AL193" s="22">
        <f t="shared" si="165"/>
        <v>1.590873277977066E-12</v>
      </c>
      <c r="AM193" s="62">
        <f t="shared" si="113"/>
        <v>293.33333333333491</v>
      </c>
      <c r="AN193" s="62">
        <f ca="1">AVERAGE(OFFSET($AM$3,0,0,'Données projet'!$E$10+1,1))-AVERAGE(OFFSET($H$3,0,0,'Données projet'!$E$10+1,1))</f>
        <v>173.76802753906867</v>
      </c>
      <c r="AO193" s="62">
        <f t="shared" si="144"/>
        <v>153.4527010894717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2">
        <f t="shared" si="140"/>
        <v>25.015923356679352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70">
        <f t="shared" si="110"/>
        <v>496.91139151288291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287.69656598881124</v>
      </c>
      <c r="T194" s="62">
        <f t="shared" si="142"/>
        <v>221.9773436301067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6.9621671436106591E-2</v>
      </c>
      <c r="AB194" s="23">
        <f>EXP(-LN(2)/2)*AB193+(1-EXP(-LN(2)/2))/(LN(2)/2)*V194*Y194*VLOOKUP('Données projet'!$B$9,Paramètres!$A$1:$I$89,3,0)*0.475*44/12</f>
        <v>8.3185756834710947E-24</v>
      </c>
      <c r="AC194" s="24">
        <f t="shared" si="163"/>
        <v>6.9621671436106591E-2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1.1368683772161603E-13</v>
      </c>
      <c r="AJ194" s="14">
        <f>AI194*VLOOKUP('Données projet'!$B$10,Paramètres!$A$1:$I$89,3,0)*VLOOKUP('Données projet'!$B$10,Paramètres!$A$1:$I$89,5,0)</f>
        <v>5.3205440053716299E-14</v>
      </c>
      <c r="AK194" s="14">
        <f t="shared" si="164"/>
        <v>8.602146238565607E-13</v>
      </c>
      <c r="AL194" s="22">
        <f t="shared" si="165"/>
        <v>1.590873277977066E-12</v>
      </c>
      <c r="AM194" s="62">
        <f t="shared" si="113"/>
        <v>293.33333333333491</v>
      </c>
      <c r="AN194" s="62">
        <f ca="1">AVERAGE(OFFSET($AM$3,0,0,'Données projet'!$E$10+1,1))-AVERAGE(OFFSET($H$3,0,0,'Données projet'!$E$10+1,1))</f>
        <v>173.76802753906867</v>
      </c>
      <c r="AO194" s="62">
        <f t="shared" si="144"/>
        <v>153.4527010894717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2">
        <f t="shared" si="140"/>
        <v>25.131616275989707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70">
        <f t="shared" si="110"/>
        <v>497.95063168068179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287.69656598881124</v>
      </c>
      <c r="T195" s="62">
        <f t="shared" si="142"/>
        <v>221.9773436301067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6.7717863169441672E-2</v>
      </c>
      <c r="AB195" s="23">
        <f>EXP(-LN(2)/2)*AB194+(1-EXP(-LN(2)/2))/(LN(2)/2)*V195*Y195*VLOOKUP('Données projet'!$B$9,Paramètres!$A$1:$I$89,3,0)*0.475*44/12</f>
        <v>5.8821212755959304E-24</v>
      </c>
      <c r="AC195" s="24">
        <f t="shared" si="163"/>
        <v>6.7717863169441672E-2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1.1368683772161603E-13</v>
      </c>
      <c r="AJ195" s="14">
        <f>AI195*VLOOKUP('Données projet'!$B$10,Paramètres!$A$1:$I$89,3,0)*VLOOKUP('Données projet'!$B$10,Paramètres!$A$1:$I$89,5,0)</f>
        <v>5.3205440053716299E-14</v>
      </c>
      <c r="AK195" s="14">
        <f t="shared" si="164"/>
        <v>8.602146238565607E-13</v>
      </c>
      <c r="AL195" s="22">
        <f t="shared" si="165"/>
        <v>1.590873277977066E-12</v>
      </c>
      <c r="AM195" s="62">
        <f t="shared" si="113"/>
        <v>293.33333333333491</v>
      </c>
      <c r="AN195" s="62">
        <f ca="1">AVERAGE(OFFSET($AM$3,0,0,'Données projet'!$E$10+1,1))-AVERAGE(OFFSET($H$3,0,0,'Données projet'!$E$10+1,1))</f>
        <v>173.76802753906867</v>
      </c>
      <c r="AO195" s="62">
        <f t="shared" si="144"/>
        <v>153.4527010894717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2">
        <f t="shared" si="140"/>
        <v>25.247239077388915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70">
        <f t="shared" ref="H196:H203" si="192">(B196+E196+F196)*44/12+(C196+D196)*0.475*44/12</f>
        <v>498.98974972645203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287.69656598881124</v>
      </c>
      <c r="T196" s="62">
        <f t="shared" si="142"/>
        <v>221.9773436301067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6.5866114639945642E-2</v>
      </c>
      <c r="AB196" s="23">
        <f>EXP(-LN(2)/2)*AB195+(1-EXP(-LN(2)/2))/(LN(2)/2)*V196*Y196*VLOOKUP('Données projet'!$B$9,Paramètres!$A$1:$I$89,3,0)*0.475*44/12</f>
        <v>4.1592878417355473E-24</v>
      </c>
      <c r="AC196" s="24">
        <f t="shared" si="163"/>
        <v>6.5866114639945642E-2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1.1368683772161603E-13</v>
      </c>
      <c r="AJ196" s="14">
        <f>AI196*VLOOKUP('Données projet'!$B$10,Paramètres!$A$1:$I$89,3,0)*VLOOKUP('Données projet'!$B$10,Paramètres!$A$1:$I$89,5,0)</f>
        <v>5.3205440053716299E-14</v>
      </c>
      <c r="AK196" s="14">
        <f t="shared" si="164"/>
        <v>8.602146238565607E-13</v>
      </c>
      <c r="AL196" s="22">
        <f t="shared" si="165"/>
        <v>1.590873277977066E-12</v>
      </c>
      <c r="AM196" s="62">
        <f t="shared" ref="AM196:AM203" si="193">AL196+(AD196+AE196)*44/12</f>
        <v>293.33333333333491</v>
      </c>
      <c r="AN196" s="62">
        <f ca="1">AVERAGE(OFFSET($AM$3,0,0,'Données projet'!$E$10+1,1))-AVERAGE(OFFSET($H$3,0,0,'Données projet'!$E$10+1,1))</f>
        <v>173.76802753906867</v>
      </c>
      <c r="AO196" s="62">
        <f t="shared" si="144"/>
        <v>153.4527010894717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2">
        <f t="shared" ref="D197:D203" si="202">IFERROR(EXP(-1.0587+0.8836*LN(C197)+0.284),0)</f>
        <v>25.362792166352278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70">
        <f t="shared" si="192"/>
        <v>500.0287463563966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287.69656598881124</v>
      </c>
      <c r="T197" s="62">
        <f t="shared" ref="T197:T203" si="204">$T$3</f>
        <v>221.9773436301067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6.4065002271367896E-2</v>
      </c>
      <c r="AB197" s="23">
        <f>EXP(-LN(2)/2)*AB196+(1-EXP(-LN(2)/2))/(LN(2)/2)*V197*Y197*VLOOKUP('Données projet'!$B$9,Paramètres!$A$1:$I$89,3,0)*0.475*44/12</f>
        <v>2.9410606377979652E-24</v>
      </c>
      <c r="AC197" s="24">
        <f t="shared" si="163"/>
        <v>6.4065002271367896E-2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1.1368683772161603E-13</v>
      </c>
      <c r="AJ197" s="14">
        <f>AI197*VLOOKUP('Données projet'!$B$10,Paramètres!$A$1:$I$89,3,0)*VLOOKUP('Données projet'!$B$10,Paramètres!$A$1:$I$89,5,0)</f>
        <v>5.3205440053716299E-14</v>
      </c>
      <c r="AK197" s="14">
        <f t="shared" si="164"/>
        <v>8.602146238565607E-13</v>
      </c>
      <c r="AL197" s="22">
        <f t="shared" si="165"/>
        <v>1.590873277977066E-12</v>
      </c>
      <c r="AM197" s="62">
        <f t="shared" si="193"/>
        <v>293.33333333333491</v>
      </c>
      <c r="AN197" s="62">
        <f ca="1">AVERAGE(OFFSET($AM$3,0,0,'Données projet'!$E$10+1,1))-AVERAGE(OFFSET($H$3,0,0,'Données projet'!$E$10+1,1))</f>
        <v>173.76802753906867</v>
      </c>
      <c r="AO197" s="62">
        <f t="shared" ref="AO197:AO203" si="205">$AO$3</f>
        <v>153.4527010894717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2">
        <f t="shared" si="202"/>
        <v>25.478275943932946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70">
        <f t="shared" si="192"/>
        <v>501.06762226901623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287.69656598881124</v>
      </c>
      <c r="T198" s="62">
        <f t="shared" si="204"/>
        <v>221.9773436301067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6.2313141415225294E-2</v>
      </c>
      <c r="AB198" s="23">
        <f>EXP(-LN(2)/2)*AB197+(1-EXP(-LN(2)/2))/(LN(2)/2)*V198*Y198*VLOOKUP('Données projet'!$B$9,Paramètres!$A$1:$I$89,3,0)*0.475*44/12</f>
        <v>2.0796439208677737E-24</v>
      </c>
      <c r="AC198" s="24">
        <f t="shared" si="163"/>
        <v>6.2313141415225294E-2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1.1368683772161603E-13</v>
      </c>
      <c r="AJ198" s="14">
        <f>AI198*VLOOKUP('Données projet'!$B$10,Paramètres!$A$1:$I$89,3,0)*VLOOKUP('Données projet'!$B$10,Paramètres!$A$1:$I$89,5,0)</f>
        <v>5.3205440053716299E-14</v>
      </c>
      <c r="AK198" s="14">
        <f t="shared" si="164"/>
        <v>8.602146238565607E-13</v>
      </c>
      <c r="AL198" s="22">
        <f t="shared" si="165"/>
        <v>1.590873277977066E-12</v>
      </c>
      <c r="AM198" s="62">
        <f t="shared" si="193"/>
        <v>293.33333333333491</v>
      </c>
      <c r="AN198" s="62">
        <f ca="1">AVERAGE(OFFSET($AM$3,0,0,'Données projet'!$E$10+1,1))-AVERAGE(OFFSET($H$3,0,0,'Données projet'!$E$10+1,1))</f>
        <v>173.76802753906867</v>
      </c>
      <c r="AO198" s="62">
        <f t="shared" si="205"/>
        <v>153.4527010894717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2">
        <f t="shared" si="202"/>
        <v>25.593690806832573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70">
        <f t="shared" si="192"/>
        <v>502.10637815523307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287.69656598881124</v>
      </c>
      <c r="T199" s="62">
        <f t="shared" si="204"/>
        <v>221.9773436301067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6.0609185286320269E-2</v>
      </c>
      <c r="AB199" s="23">
        <f>EXP(-LN(2)/2)*AB198+(1-EXP(-LN(2)/2))/(LN(2)/2)*V199*Y199*VLOOKUP('Données projet'!$B$9,Paramètres!$A$1:$I$89,3,0)*0.475*44/12</f>
        <v>1.4705303188989826E-24</v>
      </c>
      <c r="AC199" s="24">
        <f t="shared" si="163"/>
        <v>6.0609185286320269E-2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1.1368683772161603E-13</v>
      </c>
      <c r="AJ199" s="14">
        <f>AI199*VLOOKUP('Données projet'!$B$10,Paramètres!$A$1:$I$89,3,0)*VLOOKUP('Données projet'!$B$10,Paramètres!$A$1:$I$89,5,0)</f>
        <v>5.3205440053716299E-14</v>
      </c>
      <c r="AK199" s="14">
        <f t="shared" si="164"/>
        <v>8.602146238565607E-13</v>
      </c>
      <c r="AL199" s="22">
        <f t="shared" si="165"/>
        <v>1.590873277977066E-12</v>
      </c>
      <c r="AM199" s="62">
        <f t="shared" si="193"/>
        <v>293.33333333333491</v>
      </c>
      <c r="AN199" s="62">
        <f ca="1">AVERAGE(OFFSET($AM$3,0,0,'Données projet'!$E$10+1,1))-AVERAGE(OFFSET($H$3,0,0,'Données projet'!$E$10+1,1))</f>
        <v>173.76802753906867</v>
      </c>
      <c r="AO199" s="62">
        <f t="shared" si="205"/>
        <v>153.4527010894717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2">
        <f t="shared" si="202"/>
        <v>25.709037147470404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70">
        <f t="shared" si="192"/>
        <v>503.14501469851064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287.69656598881124</v>
      </c>
      <c r="T200" s="62">
        <f t="shared" si="204"/>
        <v>221.9773436301067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5.8951823927367308E-2</v>
      </c>
      <c r="AB200" s="23">
        <f>EXP(-LN(2)/2)*AB199+(1-EXP(-LN(2)/2))/(LN(2)/2)*V200*Y200*VLOOKUP('Données projet'!$B$9,Paramètres!$A$1:$I$89,3,0)*0.475*44/12</f>
        <v>1.0398219604338868E-24</v>
      </c>
      <c r="AC200" s="24">
        <f t="shared" si="163"/>
        <v>5.8951823927367308E-2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1.1368683772161603E-13</v>
      </c>
      <c r="AJ200" s="14">
        <f>AI200*VLOOKUP('Données projet'!$B$10,Paramètres!$A$1:$I$89,3,0)*VLOOKUP('Données projet'!$B$10,Paramètres!$A$1:$I$89,5,0)</f>
        <v>5.3205440053716299E-14</v>
      </c>
      <c r="AK200" s="14">
        <f t="shared" si="164"/>
        <v>8.602146238565607E-13</v>
      </c>
      <c r="AL200" s="22">
        <f t="shared" si="165"/>
        <v>1.590873277977066E-12</v>
      </c>
      <c r="AM200" s="62">
        <f t="shared" si="193"/>
        <v>293.33333333333491</v>
      </c>
      <c r="AN200" s="62">
        <f ca="1">AVERAGE(OFFSET($AM$3,0,0,'Données projet'!$E$10+1,1))-AVERAGE(OFFSET($H$3,0,0,'Données projet'!$E$10+1,1))</f>
        <v>173.76802753906867</v>
      </c>
      <c r="AO200" s="62">
        <f t="shared" si="205"/>
        <v>153.4527010894717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2">
        <f t="shared" si="202"/>
        <v>25.824315354051095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70">
        <f t="shared" si="192"/>
        <v>504.18353257497199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287.69656598881124</v>
      </c>
      <c r="T201" s="62">
        <f t="shared" si="204"/>
        <v>221.9773436301067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5.7339783201931768E-2</v>
      </c>
      <c r="AB201" s="23">
        <f>EXP(-LN(2)/2)*AB200+(1-EXP(-LN(2)/2))/(LN(2)/2)*V201*Y201*VLOOKUP('Données projet'!$B$9,Paramètres!$A$1:$I$89,3,0)*0.475*44/12</f>
        <v>7.3526515944949131E-25</v>
      </c>
      <c r="AC201" s="24">
        <f t="shared" si="163"/>
        <v>5.7339783201931768E-2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1.1368683772161603E-13</v>
      </c>
      <c r="AJ201" s="14">
        <f>AI201*VLOOKUP('Données projet'!$B$10,Paramètres!$A$1:$I$89,3,0)*VLOOKUP('Données projet'!$B$10,Paramètres!$A$1:$I$89,5,0)</f>
        <v>5.3205440053716299E-14</v>
      </c>
      <c r="AK201" s="14">
        <f t="shared" si="164"/>
        <v>8.602146238565607E-13</v>
      </c>
      <c r="AL201" s="22">
        <f t="shared" si="165"/>
        <v>1.590873277977066E-12</v>
      </c>
      <c r="AM201" s="62">
        <f t="shared" si="193"/>
        <v>293.33333333333491</v>
      </c>
      <c r="AN201" s="62">
        <f ca="1">AVERAGE(OFFSET($AM$3,0,0,'Données projet'!$E$10+1,1))-AVERAGE(OFFSET($H$3,0,0,'Données projet'!$E$10+1,1))</f>
        <v>173.76802753906867</v>
      </c>
      <c r="AO201" s="62">
        <f t="shared" si="205"/>
        <v>153.4527010894717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2">
        <f t="shared" si="202"/>
        <v>25.939525810630993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70">
        <f t="shared" si="192"/>
        <v>505.22193245351531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287.69656598881124</v>
      </c>
      <c r="T202" s="62">
        <f t="shared" si="204"/>
        <v>221.9773436301067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5.57718238149068E-2</v>
      </c>
      <c r="AB202" s="23">
        <f>EXP(-LN(2)/2)*AB201+(1-EXP(-LN(2)/2))/(LN(2)/2)*V202*Y202*VLOOKUP('Données projet'!$B$9,Paramètres!$A$1:$I$89,3,0)*0.475*44/12</f>
        <v>5.1991098021694342E-25</v>
      </c>
      <c r="AC202" s="24">
        <f t="shared" si="163"/>
        <v>5.57718238149068E-2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1.1368683772161603E-13</v>
      </c>
      <c r="AJ202" s="14">
        <f>AI202*VLOOKUP('Données projet'!$B$10,Paramètres!$A$1:$I$89,3,0)*VLOOKUP('Données projet'!$B$10,Paramètres!$A$1:$I$89,5,0)</f>
        <v>5.3205440053716299E-14</v>
      </c>
      <c r="AK202" s="14">
        <f t="shared" si="164"/>
        <v>8.602146238565607E-13</v>
      </c>
      <c r="AL202" s="22">
        <f t="shared" si="165"/>
        <v>1.590873277977066E-12</v>
      </c>
      <c r="AM202" s="62">
        <f t="shared" si="193"/>
        <v>293.33333333333491</v>
      </c>
      <c r="AN202" s="62">
        <f ca="1">AVERAGE(OFFSET($AM$3,0,0,'Données projet'!$E$10+1,1))-AVERAGE(OFFSET($H$3,0,0,'Données projet'!$E$10+1,1))</f>
        <v>173.76802753906867</v>
      </c>
      <c r="AO202" s="62">
        <f t="shared" si="205"/>
        <v>153.4527010894717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2">
        <f t="shared" si="202"/>
        <v>26.054668897183067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70">
        <f t="shared" si="192"/>
        <v>506.26021499592679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287.69656598881124</v>
      </c>
      <c r="T203" s="62">
        <f t="shared" si="204"/>
        <v>221.9773436301067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5.4246740359775426E-2</v>
      </c>
      <c r="AB203" s="23">
        <f>EXP(-LN(2)/2)*AB202+(1-EXP(-LN(2)/2))/(LN(2)/2)*V203*Y203*VLOOKUP('Données projet'!$B$9,Paramètres!$A$1:$I$89,3,0)*0.475*44/12</f>
        <v>3.6763257972474565E-25</v>
      </c>
      <c r="AC203" s="24">
        <f t="shared" si="163"/>
        <v>5.4246740359775426E-2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1.1368683772161603E-13</v>
      </c>
      <c r="AJ203" s="14">
        <f>AI203*VLOOKUP('Données projet'!$B$10,Paramètres!$A$1:$I$89,3,0)*VLOOKUP('Données projet'!$B$10,Paramètres!$A$1:$I$89,5,0)</f>
        <v>5.3205440053716299E-14</v>
      </c>
      <c r="AK203" s="14">
        <f t="shared" si="164"/>
        <v>8.602146238565607E-13</v>
      </c>
      <c r="AL203" s="22">
        <f t="shared" si="165"/>
        <v>1.590873277977066E-12</v>
      </c>
      <c r="AM203" s="62">
        <f t="shared" si="193"/>
        <v>293.33333333333491</v>
      </c>
      <c r="AN203" s="62">
        <f ca="1">AVERAGE(OFFSET($AM$3,0,0,'Données projet'!$E$10+1,1))-AVERAGE(OFFSET($H$3,0,0,'Données projet'!$E$10+1,1))</f>
        <v>173.76802753906867</v>
      </c>
      <c r="AO203" s="62">
        <f t="shared" si="205"/>
        <v>153.4527010894717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1.2677537154322802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9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0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9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1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1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0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9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0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M28" sqref="M2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10" t="s">
        <v>271</v>
      </c>
      <c r="B2" s="311"/>
      <c r="C2" s="311"/>
      <c r="D2" s="311"/>
      <c r="E2" s="311"/>
      <c r="F2" s="311"/>
      <c r="G2" s="311"/>
      <c r="H2" s="311"/>
      <c r="I2" s="311"/>
      <c r="J2" s="311"/>
      <c r="K2" s="311"/>
      <c r="L2" s="312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1.0606599999999999</v>
      </c>
      <c r="C6" s="156">
        <f ca="1">IF(OR('Données projet'!B9="",'Données projet'!C9="",'Données projet'!C9=0%),0,Calculateur!S3)</f>
        <v>287.69656598881124</v>
      </c>
      <c r="D6" s="156">
        <f>IF(OR('Données projet'!B9="",'Données projet'!C9="",'Données projet'!C9=0%),0,Calculateur!T3)</f>
        <v>221.9773436301067</v>
      </c>
      <c r="E6" s="156">
        <f ca="1">MIN(C6,D6)</f>
        <v>221.9773436301067</v>
      </c>
      <c r="F6" s="156">
        <f ca="1">E6*B6</f>
        <v>235.44248929470896</v>
      </c>
      <c r="G6" s="156">
        <f ca="1">F6*(100%-'Données projet'!$C$24)*(100%-'Données projet'!$C$25)*(100%-'Données projet'!$C$26)*(100%-'Données projet'!$C$27)</f>
        <v>190.70841632871426</v>
      </c>
      <c r="H6" s="157">
        <f>IF(OR('Données projet'!B9="",'Données projet'!C9="",'Données projet'!C9=0%),0,AVERAGE(Calculateur!$AC$3:$AC$33)*B6)</f>
        <v>2.9867323098712957</v>
      </c>
      <c r="I6" s="158">
        <f>H6*(100%-'Données projet'!$C$24)*(100%-'Données projet'!$C$25)*(100%-'Données projet'!$C$26)*(100%-'Données projet'!$C$27)</f>
        <v>2.4192531709957499</v>
      </c>
      <c r="J6" s="159">
        <f>IF(OR('Données projet'!B9="",'Données projet'!C9="",'Données projet'!C9=0%),0,SUM(Calculateur!$V$3:$V$33)*VLOOKUP('Données projet'!$B$9,Paramètres!$A$1:$I$89,9,0)*B6)</f>
        <v>30.557614599999997</v>
      </c>
      <c r="K6" s="160">
        <f>J6*(100%-'Données projet'!$C$24)*(100%-'Données projet'!$C$25)*(100%-'Données projet'!$C$26)*(100%-'Données projet'!$C$27)</f>
        <v>24.751667825999998</v>
      </c>
      <c r="L6" s="161">
        <f ca="1">G6+I6+K6</f>
        <v>217.87933732571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1.8664100000000001</v>
      </c>
      <c r="C7" s="156">
        <f ca="1">IF(OR('Données projet'!B10="",'Données projet'!C10="",'Données projet'!C10=0%),0,Calculateur!AN3)</f>
        <v>173.76802753906867</v>
      </c>
      <c r="D7" s="156">
        <f>IF(OR('Données projet'!B10="",'Données projet'!C10="",'Données projet'!C10=0%),0,Calculateur!AO3)</f>
        <v>153.4527010894717</v>
      </c>
      <c r="E7" s="156">
        <f t="shared" ref="E7:E15" ca="1" si="0">MIN(C7,D7)</f>
        <v>153.4527010894717</v>
      </c>
      <c r="F7" s="156">
        <f t="shared" ref="F7:F15" ca="1" si="1">E7*B7</f>
        <v>286.40565584040093</v>
      </c>
      <c r="G7" s="156">
        <f ca="1">F7*(100%-'Données projet'!$C$24)*(100%-'Données projet'!$C$25)*(100%-'Données projet'!$C$26)*(100%-'Données projet'!$C$27)</f>
        <v>231.98858123072478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231.98858123072478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521.84814513510992</v>
      </c>
      <c r="G16" s="175">
        <f t="shared" ca="1" si="3"/>
        <v>422.69699755943907</v>
      </c>
      <c r="H16" s="176">
        <f t="shared" si="3"/>
        <v>2.9867323098712957</v>
      </c>
      <c r="I16" s="176">
        <f t="shared" si="3"/>
        <v>2.4192531709957499</v>
      </c>
      <c r="J16" s="177">
        <f t="shared" si="3"/>
        <v>30.557614599999997</v>
      </c>
      <c r="K16" s="177">
        <f t="shared" si="3"/>
        <v>24.751667825999998</v>
      </c>
      <c r="L16" s="178">
        <f t="shared" ca="1" si="3"/>
        <v>449.8679185564348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2" t="s">
        <v>246</v>
      </c>
      <c r="G17" s="323"/>
      <c r="H17" s="323"/>
      <c r="I17" s="323"/>
      <c r="J17" s="323"/>
      <c r="K17" s="323"/>
      <c r="L17" s="323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4"/>
      <c r="G18" s="324"/>
      <c r="H18" s="324"/>
      <c r="I18" s="324"/>
      <c r="J18" s="324"/>
      <c r="K18" s="324"/>
      <c r="L18" s="324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7" zoomScale="90" zoomScaleNormal="90" workbookViewId="0">
      <selection activeCell="C57" sqref="C5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10" t="s">
        <v>272</v>
      </c>
      <c r="C2" s="311"/>
      <c r="D2" s="311"/>
      <c r="E2" s="311"/>
      <c r="F2" s="311"/>
      <c r="G2" s="311"/>
      <c r="H2" s="311"/>
      <c r="I2" s="311"/>
      <c r="J2" s="311"/>
      <c r="K2" s="311"/>
      <c r="L2" s="311"/>
      <c r="M2" s="311"/>
      <c r="N2" s="311"/>
      <c r="O2" s="311"/>
      <c r="P2" s="312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2" t="s">
        <v>315</v>
      </c>
      <c r="I4" s="342"/>
      <c r="K4" s="339" t="s">
        <v>253</v>
      </c>
      <c r="L4" s="340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1" t="s">
        <v>310</v>
      </c>
      <c r="S7" s="332"/>
      <c r="T7" s="332"/>
      <c r="U7" s="332"/>
      <c r="V7" s="333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1.0606599999999999</v>
      </c>
      <c r="V10" s="189">
        <f>U10*T10</f>
        <v>2118.7346858018223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635.76066620224924</v>
      </c>
      <c r="U11" s="190">
        <f>'Données projet'!D10</f>
        <v>1.8664100000000001</v>
      </c>
      <c r="V11" s="189">
        <f t="shared" ref="V11" si="0">U11*T11</f>
        <v>1186.59006500654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3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3"/>
      <c r="H16" s="203"/>
      <c r="I16" s="204"/>
      <c r="J16" s="216"/>
      <c r="K16" s="225"/>
      <c r="L16" s="339" t="s">
        <v>254</v>
      </c>
      <c r="M16" s="340"/>
      <c r="N16" s="2">
        <v>60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3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60.000000000000085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3"/>
      <c r="J18" s="216"/>
      <c r="K18" s="225"/>
      <c r="L18" s="297" t="s">
        <v>255</v>
      </c>
      <c r="M18" s="299"/>
      <c r="N18" s="205">
        <v>40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3"/>
      <c r="H19" s="232" t="s">
        <v>178</v>
      </c>
      <c r="I19" s="232" t="s">
        <v>287</v>
      </c>
      <c r="J19" s="260"/>
      <c r="K19" s="183"/>
      <c r="L19" s="339" t="s">
        <v>288</v>
      </c>
      <c r="M19" s="340"/>
      <c r="N19" s="191">
        <f>N17*N18</f>
        <v>2400.0000000000036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3"/>
      <c r="H20" s="203">
        <v>0</v>
      </c>
      <c r="I20" s="204">
        <v>3101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477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895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93">
        <v>12</v>
      </c>
      <c r="D23" s="194">
        <f>B23*C23</f>
        <v>192</v>
      </c>
      <c r="E23" s="206"/>
      <c r="F23" s="261"/>
      <c r="H23" s="203">
        <v>3</v>
      </c>
      <c r="I23" s="204">
        <v>574</v>
      </c>
      <c r="K23" s="225"/>
      <c r="L23" s="341" t="s">
        <v>260</v>
      </c>
      <c r="M23" s="341"/>
      <c r="N23" s="341"/>
      <c r="O23" s="25"/>
      <c r="P23" s="25"/>
      <c r="Q23" s="265"/>
      <c r="R23" s="25"/>
      <c r="S23" s="185" t="s">
        <v>264</v>
      </c>
      <c r="T23" s="33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-10993.168678771186</v>
      </c>
      <c r="U23" s="336"/>
      <c r="V23" s="336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93">
        <v>12</v>
      </c>
      <c r="D24" s="194">
        <f t="shared" ref="D24:D42" si="2">B24*C24</f>
        <v>204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7">
        <f ca="1">'Scénario référence'!$B$8*$M$30*'Données projet'!$C$5+('Scénario référence'!B9+'Scénario référence'!B10+'Scénario référence'!F8+'Scénario référence'!F9)*$N$19/(1+M4)^N16*'Données projet'!$C$5</f>
        <v>501.30430623016343</v>
      </c>
      <c r="U24" s="337"/>
      <c r="V24" s="337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93">
        <v>15</v>
      </c>
      <c r="D25" s="194">
        <f t="shared" si="2"/>
        <v>510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8">
        <f ca="1">T23-T24</f>
        <v>-11494.47298500135</v>
      </c>
      <c r="U25" s="338"/>
      <c r="V25" s="338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93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25" t="s">
        <v>258</v>
      </c>
      <c r="M26" s="326"/>
      <c r="N26" s="326"/>
      <c r="O26" s="326"/>
      <c r="P26" s="327"/>
      <c r="Q26" s="265"/>
      <c r="R26" s="25"/>
      <c r="S26" s="198" t="s">
        <v>265</v>
      </c>
      <c r="T26" s="335" t="str">
        <f ca="1">IF(T25&lt;0,"Votre projet est additionnel","Votre projet n'est pas additionnel")</f>
        <v>Votre projet est additionnel</v>
      </c>
      <c r="U26" s="335"/>
      <c r="V26" s="33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93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28"/>
      <c r="M27" s="329"/>
      <c r="N27" s="329"/>
      <c r="O27" s="329"/>
      <c r="P27" s="330"/>
      <c r="Q27" s="265"/>
      <c r="R27" s="25"/>
      <c r="S27" s="334" t="s">
        <v>267</v>
      </c>
      <c r="T27" s="334"/>
      <c r="U27" s="334"/>
      <c r="V27" s="334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93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93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93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93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93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93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92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92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63</v>
      </c>
      <c r="C56" s="293">
        <v>15</v>
      </c>
      <c r="D56" s="191">
        <f t="shared" si="4"/>
        <v>945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0</v>
      </c>
      <c r="C57" s="292">
        <v>0</v>
      </c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67</v>
      </c>
      <c r="C58" s="293">
        <v>18</v>
      </c>
      <c r="D58" s="191">
        <f t="shared" si="4"/>
        <v>1206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70</v>
      </c>
      <c r="B59" s="193">
        <f>'Données projet'!D67</f>
        <v>69</v>
      </c>
      <c r="C59" s="293">
        <v>20</v>
      </c>
      <c r="D59" s="191">
        <f t="shared" si="4"/>
        <v>1380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80</v>
      </c>
      <c r="B60" s="193">
        <f>'Données projet'!D68</f>
        <v>71</v>
      </c>
      <c r="C60" s="293">
        <v>25</v>
      </c>
      <c r="D60" s="191">
        <f t="shared" si="4"/>
        <v>1775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90</v>
      </c>
      <c r="B61" s="193">
        <f>'Données projet'!D69</f>
        <v>73</v>
      </c>
      <c r="C61" s="293">
        <v>30</v>
      </c>
      <c r="D61" s="191">
        <f t="shared" si="4"/>
        <v>2190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100</v>
      </c>
      <c r="B62" s="193">
        <f>'Données projet'!D70</f>
        <v>375</v>
      </c>
      <c r="C62" s="293">
        <v>50</v>
      </c>
      <c r="D62" s="191">
        <f t="shared" si="4"/>
        <v>18750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2024-07-01T08:36:58Z</dcterms:modified>
</cp:coreProperties>
</file>