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CASTRES (81) - M. Gilles DE COULON DE LABROUSSE\Dossier déposé le 21 05 2024\"/>
    </mc:Choice>
  </mc:AlternateContent>
  <xr:revisionPtr revIDLastSave="0" documentId="13_ncr:1_{BEC99492-9B67-4323-9E7F-EB8124E5F8F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2" i="2" l="1" a="1"/>
  <c r="BC32" i="2" s="1"/>
  <c r="BC185" i="2" a="1"/>
  <c r="BC185" i="2" s="1"/>
  <c r="BC68" i="2" a="1"/>
  <c r="BC68" i="2" s="1"/>
  <c r="BC143" i="2" a="1"/>
  <c r="BC143" i="2" s="1"/>
  <c r="BC58" i="2" a="1"/>
  <c r="BC58" i="2" s="1"/>
  <c r="BC31" i="2" a="1"/>
  <c r="BC31" i="2" s="1"/>
  <c r="BC84" i="2" a="1"/>
  <c r="BC84" i="2" s="1"/>
  <c r="BC34" i="2" a="1"/>
  <c r="BC34" i="2" s="1"/>
  <c r="AH62" i="2" a="1"/>
  <c r="AH62" i="2" s="1"/>
  <c r="AH163" i="2" a="1"/>
  <c r="AH163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<sst xmlns="http://schemas.openxmlformats.org/spreadsheetml/2006/main" count="1171" uniqueCount="324">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</sst>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3.3593142113999446</c:v>
                </c:pt>
                <c:pt idx="2">
                  <c:v>4.2512055954020909</c:v>
                </c:pt>
                <c:pt idx="3">
                  <c:v>5.3808087110885836</c:v>
                </c:pt>
                <c:pt idx="4">
                  <c:v>6.8117095476578911</c:v>
                </c:pt>
                <c:pt idx="5">
                  <c:v>8.624560232032632</c:v>
                </c:pt>
                <c:pt idx="6">
                  <c:v>10.921673772963684</c:v>
                </c:pt>
                <c:pt idx="7">
                  <c:v>13.832859398836844</c:v>
                </c:pt>
                <c:pt idx="8">
                  <c:v>17.522834329104224</c:v>
                </c:pt>
                <c:pt idx="9">
                  <c:v>22.200638950201622</c:v>
                </c:pt>
                <c:pt idx="10">
                  <c:v>28.131598279472954</c:v>
                </c:pt>
                <c:pt idx="11">
                  <c:v>35.652520047063994</c:v>
                </c:pt>
                <c:pt idx="12">
                  <c:v>45.191007300896956</c:v>
                </c:pt>
                <c:pt idx="13">
                  <c:v>57.290002085248467</c:v>
                </c:pt>
                <c:pt idx="14">
                  <c:v>72.638980388965962</c:v>
                </c:pt>
                <c:pt idx="15">
                  <c:v>92.113604940440496</c:v>
                </c:pt>
                <c:pt idx="16">
                  <c:v>116.82613412541201</c:v>
                </c:pt>
                <c:pt idx="17">
                  <c:v>148.18951107608487</c:v>
                </c:pt>
                <c:pt idx="18">
                  <c:v>187.99885344460608</c:v>
                </c:pt>
                <c:pt idx="19">
                  <c:v>238.53507816565158</c:v>
                </c:pt>
                <c:pt idx="20">
                  <c:v>302.69668602614541</c:v>
                </c:pt>
                <c:pt idx="21">
                  <c:v>217.79908728584903</c:v>
                </c:pt>
                <c:pt idx="22">
                  <c:v>245.27020627729783</c:v>
                </c:pt>
                <c:pt idx="23">
                  <c:v>272.67139558823362</c:v>
                </c:pt>
                <c:pt idx="24">
                  <c:v>300.01066789932742</c:v>
                </c:pt>
                <c:pt idx="25">
                  <c:v>327.29445525818039</c:v>
                </c:pt>
                <c:pt idx="26">
                  <c:v>269.979058445666</c:v>
                </c:pt>
                <c:pt idx="27">
                  <c:v>295.53277741228084</c:v>
                </c:pt>
                <c:pt idx="28">
                  <c:v>321.03721740761085</c:v>
                </c:pt>
                <c:pt idx="29">
                  <c:v>346.49684097792692</c:v>
                </c:pt>
                <c:pt idx="30">
                  <c:v>371.91540142867387</c:v>
                </c:pt>
                <c:pt idx="31">
                  <c:v>312.98822099272894</c:v>
                </c:pt>
                <c:pt idx="32">
                  <c:v>336.67537731567239</c:v>
                </c:pt>
                <c:pt idx="33">
                  <c:v>360.3258481747319</c:v>
                </c:pt>
                <c:pt idx="34">
                  <c:v>383.94237824864871</c:v>
                </c:pt>
                <c:pt idx="35">
                  <c:v>407.52734715549917</c:v>
                </c:pt>
                <c:pt idx="36">
                  <c:v>348.72813241867385</c:v>
                </c:pt>
                <c:pt idx="37">
                  <c:v>370.13291266764713</c:v>
                </c:pt>
                <c:pt idx="38">
                  <c:v>391.51070110892806</c:v>
                </c:pt>
                <c:pt idx="39">
                  <c:v>412.86317791095013</c:v>
                </c:pt>
                <c:pt idx="40">
                  <c:v>434.19183536337567</c:v>
                </c:pt>
                <c:pt idx="41">
                  <c:v>379.93431009929617</c:v>
                </c:pt>
                <c:pt idx="42">
                  <c:v>399.07585073697027</c:v>
                </c:pt>
                <c:pt idx="43">
                  <c:v>418.19752072724322</c:v>
                </c:pt>
                <c:pt idx="44">
                  <c:v>437.30035599156082</c:v>
                </c:pt>
                <c:pt idx="45">
                  <c:v>456.38529460741051</c:v>
                </c:pt>
                <c:pt idx="46">
                  <c:v>404.8588668594266</c:v>
                </c:pt>
                <c:pt idx="47">
                  <c:v>422.19731444089211</c:v>
                </c:pt>
                <c:pt idx="48">
                  <c:v>439.52043738326148</c:v>
                </c:pt>
                <c:pt idx="49">
                  <c:v>456.82892444864393</c:v>
                </c:pt>
                <c:pt idx="50">
                  <c:v>474.12340797215137</c:v>
                </c:pt>
                <c:pt idx="51">
                  <c:v>427.08484415931986</c:v>
                </c:pt>
                <c:pt idx="52">
                  <c:v>442.18421773144979</c:v>
                </c:pt>
                <c:pt idx="53">
                  <c:v>457.27254508580171</c:v>
                </c:pt>
                <c:pt idx="54">
                  <c:v>472.35024193902177</c:v>
                </c:pt>
                <c:pt idx="55">
                  <c:v>487.41769531100323</c:v>
                </c:pt>
                <c:pt idx="56">
                  <c:v>445.2915269603206</c:v>
                </c:pt>
                <c:pt idx="57">
                  <c:v>458.60335187474658</c:v>
                </c:pt>
                <c:pt idx="58">
                  <c:v>471.90692830623647</c:v>
                </c:pt>
                <c:pt idx="59">
                  <c:v>485.20252151676613</c:v>
                </c:pt>
                <c:pt idx="60">
                  <c:v>498.49038104754044</c:v>
                </c:pt>
                <c:pt idx="61">
                  <c:v>461.26471831333356</c:v>
                </c:pt>
                <c:pt idx="62">
                  <c:v>472.7935467125244</c:v>
                </c:pt>
                <c:pt idx="63">
                  <c:v>484.31639192009379</c:v>
                </c:pt>
                <c:pt idx="64">
                  <c:v>495.83341635114584</c:v>
                </c:pt>
                <c:pt idx="65">
                  <c:v>507.34477426054747</c:v>
                </c:pt>
                <c:pt idx="66">
                  <c:v>473.23684263623528</c:v>
                </c:pt>
                <c:pt idx="67">
                  <c:v>483.43022788495313</c:v>
                </c:pt>
                <c:pt idx="68">
                  <c:v>493.61904869023584</c:v>
                </c:pt>
                <c:pt idx="69">
                  <c:v>503.80341255966488</c:v>
                </c:pt>
                <c:pt idx="70">
                  <c:v>513.98342229938953</c:v>
                </c:pt>
                <c:pt idx="71">
                  <c:v>485.2025215167659</c:v>
                </c:pt>
                <c:pt idx="72">
                  <c:v>494.06193903689751</c:v>
                </c:pt>
                <c:pt idx="73">
                  <c:v>502.91798999726444</c:v>
                </c:pt>
                <c:pt idx="74">
                  <c:v>511.77074205369485</c:v>
                </c:pt>
                <c:pt idx="75">
                  <c:v>520.62026032995084</c:v>
                </c:pt>
                <c:pt idx="76">
                  <c:v>495.39055961625405</c:v>
                </c:pt>
                <c:pt idx="77">
                  <c:v>503.36070539768843</c:v>
                </c:pt>
                <c:pt idx="78">
                  <c:v>511.32818178456893</c:v>
                </c:pt>
                <c:pt idx="79">
                  <c:v>519.2930362497458</c:v>
                </c:pt>
                <c:pt idx="80">
                  <c:v>527.25531469060411</c:v>
                </c:pt>
                <c:pt idx="81">
                  <c:v>505.13148469753651</c:v>
                </c:pt>
                <c:pt idx="82">
                  <c:v>511.77074205369485</c:v>
                </c:pt>
                <c:pt idx="83">
                  <c:v>518.40818045759727</c:v>
                </c:pt>
                <c:pt idx="84">
                  <c:v>525.04382649327351</c:v>
                </c:pt>
                <c:pt idx="85">
                  <c:v>531.67770601770815</c:v>
                </c:pt>
                <c:pt idx="86">
                  <c:v>510.88561342349595</c:v>
                </c:pt>
                <c:pt idx="87">
                  <c:v>516.63837322125119</c:v>
                </c:pt>
                <c:pt idx="88">
                  <c:v>522.38978149240131</c:v>
                </c:pt>
                <c:pt idx="89">
                  <c:v>528.13985522390828</c:v>
                </c:pt>
                <c:pt idx="90">
                  <c:v>533.88861100248539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3" zoomScale="90" zoomScaleNormal="90" workbookViewId="0">
      <selection activeCell="H91" sqref="H9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0.44400000000000001</v>
      </c>
      <c r="D9" s="36">
        <f t="shared" ref="D9:D18" si="0">C9*$C$5</f>
        <v>0.79920000000000002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0.44400000000000001</v>
      </c>
      <c r="D10" s="36">
        <f t="shared" si="0"/>
        <v>0.79920000000000002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</v>
      </c>
      <c r="C11" s="35">
        <v>0.112</v>
      </c>
      <c r="D11" s="36">
        <f t="shared" si="0"/>
        <v>0.2016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0.4</v>
      </c>
      <c r="F36" s="54">
        <v>0.45</v>
      </c>
      <c r="G36" s="54">
        <v>0.15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0.7</v>
      </c>
      <c r="F37" s="54">
        <v>0.15</v>
      </c>
      <c r="G37" s="54">
        <v>0.15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>
        <v>0.6</v>
      </c>
      <c r="F65" s="54"/>
      <c r="G65" s="54">
        <v>0.4</v>
      </c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chevelu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132</v>
      </c>
      <c r="C88" s="63">
        <v>1</v>
      </c>
      <c r="D88" s="63">
        <v>50</v>
      </c>
      <c r="E88" s="54"/>
      <c r="F88" s="54"/>
      <c r="G88" s="54"/>
      <c r="H88" s="93">
        <v>1</v>
      </c>
      <c r="I88" s="56">
        <f>IFERROR(B88/A88,"")</f>
        <v>6.6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143</v>
      </c>
      <c r="C89" s="63">
        <v>2</v>
      </c>
      <c r="D89" s="63">
        <v>37</v>
      </c>
      <c r="E89" s="54"/>
      <c r="F89" s="54"/>
      <c r="G89" s="54"/>
      <c r="H89" s="93">
        <v>1</v>
      </c>
      <c r="I89" s="56">
        <f t="shared" ref="I89:I107" si="3">IF(A89&lt;&gt;0,(B89-(B88-D88))/(A89-A88),"")</f>
        <v>12.2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163</v>
      </c>
      <c r="C90" s="63">
        <v>3</v>
      </c>
      <c r="D90" s="63">
        <v>37</v>
      </c>
      <c r="E90" s="93"/>
      <c r="F90" s="93"/>
      <c r="G90" s="93"/>
      <c r="H90" s="93">
        <v>1</v>
      </c>
      <c r="I90" s="56">
        <f t="shared" si="3"/>
        <v>11.4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179</v>
      </c>
      <c r="C91" s="63">
        <v>4</v>
      </c>
      <c r="D91" s="63">
        <v>36</v>
      </c>
      <c r="E91" s="93"/>
      <c r="F91" s="93"/>
      <c r="G91" s="93"/>
      <c r="H91" s="93"/>
      <c r="I91" s="56">
        <f t="shared" si="3"/>
        <v>10.6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191</v>
      </c>
      <c r="C92" s="63">
        <v>5</v>
      </c>
      <c r="D92" s="63">
        <v>33</v>
      </c>
      <c r="E92" s="93"/>
      <c r="F92" s="93"/>
      <c r="G92" s="93"/>
      <c r="H92" s="93"/>
      <c r="I92" s="56">
        <f t="shared" si="3"/>
        <v>9.6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201</v>
      </c>
      <c r="C93" s="63">
        <v>6</v>
      </c>
      <c r="D93" s="63">
        <v>31</v>
      </c>
      <c r="E93" s="93"/>
      <c r="F93" s="93"/>
      <c r="G93" s="93"/>
      <c r="H93" s="93"/>
      <c r="I93" s="56">
        <f t="shared" si="3"/>
        <v>8.6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209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215</v>
      </c>
      <c r="C95" s="63">
        <v>8</v>
      </c>
      <c r="D95" s="63">
        <v>25</v>
      </c>
      <c r="E95" s="93"/>
      <c r="F95" s="93"/>
      <c r="G95" s="93"/>
      <c r="H95" s="93"/>
      <c r="I95" s="56">
        <f t="shared" si="3"/>
        <v>6.8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220</v>
      </c>
      <c r="C96" s="63">
        <v>9</v>
      </c>
      <c r="D96" s="63">
        <v>22</v>
      </c>
      <c r="E96" s="93"/>
      <c r="F96" s="93"/>
      <c r="G96" s="93"/>
      <c r="H96" s="93"/>
      <c r="I96" s="56">
        <f t="shared" si="3"/>
        <v>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224</v>
      </c>
      <c r="C97" s="63">
        <v>10</v>
      </c>
      <c r="D97" s="63">
        <v>20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227</v>
      </c>
      <c r="C98" s="63">
        <v>11</v>
      </c>
      <c r="D98" s="63">
        <v>17</v>
      </c>
      <c r="E98" s="93"/>
      <c r="F98" s="93"/>
      <c r="G98" s="93"/>
      <c r="H98" s="93"/>
      <c r="I98" s="56">
        <f t="shared" si="3"/>
        <v>4.5999999999999996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230</v>
      </c>
      <c r="C99" s="63">
        <v>12</v>
      </c>
      <c r="D99" s="63">
        <v>15</v>
      </c>
      <c r="E99" s="93"/>
      <c r="F99" s="93"/>
      <c r="G99" s="93"/>
      <c r="H99" s="93"/>
      <c r="I99" s="56">
        <f t="shared" si="3"/>
        <v>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233</v>
      </c>
      <c r="C100" s="63">
        <v>13</v>
      </c>
      <c r="D100" s="63">
        <v>13</v>
      </c>
      <c r="E100" s="68"/>
      <c r="F100" s="68"/>
      <c r="G100" s="68"/>
      <c r="H100" s="68"/>
      <c r="I100" s="56">
        <f t="shared" si="3"/>
        <v>3.6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235</v>
      </c>
      <c r="C101" s="63">
        <v>14</v>
      </c>
      <c r="D101" s="63">
        <v>12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236</v>
      </c>
      <c r="C102" s="63">
        <v>15</v>
      </c>
      <c r="D102" s="53">
        <v>236</v>
      </c>
      <c r="E102" s="57"/>
      <c r="F102" s="57"/>
      <c r="G102" s="57"/>
      <c r="H102" s="57"/>
      <c r="I102" s="56">
        <f t="shared" si="3"/>
        <v>2.6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chevelu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302.30714066618623</v>
      </c>
      <c r="T3" s="62">
        <f>IF('Données projet'!E9&gt;30,$R$33-$H$33,LOOKUP('Données projet'!$E$9,$A$3:$A$203,R3:R203)-LOOKUP('Données projet'!$E$9,$A$3:$A$203,$H$3:$H$203))</f>
        <v>218.81984836501334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153.09120195408497</v>
      </c>
      <c r="AO3" s="62">
        <f>IF('Données projet'!E10&gt;30,$AM$33-$H$33,LOOKUP('Données projet'!$E$10,$A$3:$A$203,AM3:AM203)-LOOKUP('Données projet'!$E$10,$A$3:$A$203,$H$3:$H$203))</f>
        <v>312.73854442032672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296.94146778663753</v>
      </c>
      <c r="BJ3" s="62">
        <f>IF('Données projet'!E11&gt;30,$BH$33-$H$33,LOOKUP('Données projet'!$E$11,$A$3:$A$203,BH3:BH203)-LOOKUP('Données projet'!$E$11,$A$3:$A$203,$H$3:$H$203))</f>
        <v>333.01339464897745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0.55900000000000005</v>
      </c>
      <c r="D4" s="12">
        <f>IFERROR(EXP(-1.0587+0.8836*LN(C4)+0.284),0)</f>
        <v>0.2756545328031752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6.4429472707613522</v>
      </c>
      <c r="H4" s="70">
        <f t="shared" ref="H4:H67" si="1">(B4+E4+F4)*44/12+(C4+D4)*0.475*44/12</f>
        <v>294.78702331129887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302.30714066618623</v>
      </c>
      <c r="T4" s="62">
        <f>$T$3</f>
        <v>218.81984836501334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295.51607461389244</v>
      </c>
      <c r="AN4" s="62">
        <f ca="1">AVERAGE(OFFSET($AM$3,0,0,'Données projet'!$E$10+1,1))-AVERAGE(OFFSET($H$3,0,0,'Données projet'!$E$10+1,1))</f>
        <v>153.09120195408497</v>
      </c>
      <c r="AO4" s="62">
        <f>$AO$3</f>
        <v>312.73854442032672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6.6</v>
      </c>
      <c r="BD4" s="13">
        <f>IF('Données projet'!$A$88&gt;35,BD3+BC4-BL3,IF(A4&lt;'Données projet'!$A$88,$BA$205^A4,IF(A4='Données projet'!$A$88,'Données projet'!$B$88,BD3+BC4-BL3)))</f>
        <v>1.2765231539157764</v>
      </c>
      <c r="BE4" s="14">
        <f>BD4*VLOOKUP('Données projet'!$B$11,Paramètres!$A$1:$I$89,3,0)*VLOOKUP('Données projet'!$B$11,Paramètres!$A$1:$I$89,5,0)</f>
        <v>1.3342220004727696</v>
      </c>
      <c r="BF4" s="14">
        <f>EXP(-1.0587+0.8836*LN(BE4)+0.284)</f>
        <v>0.59457084817791639</v>
      </c>
      <c r="BG4" s="22">
        <f t="shared" ref="BG4:BG67" si="7">(BE4+BF4)*0.475*44/12</f>
        <v>3.3593142113999446</v>
      </c>
      <c r="BH4" s="62">
        <f t="shared" ref="BH4:BH67" si="8">BG4+(AY4+AZ4)*44/12</f>
        <v>296.69264754473323</v>
      </c>
      <c r="BI4" s="62">
        <f ca="1">AVERAGE(OFFSET($BH$3,0,0,'Données projet'!$E$11+1,1))-AVERAGE(OFFSET($H$3,0,0,'Données projet'!$E$11+1,1))</f>
        <v>296.94146778663753</v>
      </c>
      <c r="BJ4" s="62">
        <f>$BJ$3</f>
        <v>333.01339464897745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1.1180000000000001</v>
      </c>
      <c r="D5" s="12">
        <f t="shared" ref="D5:D68" si="32">IFERROR(EXP(-1.0587+0.8836*LN(C5)+0.284),0)</f>
        <v>0.50857527486356202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12.556019665613462</v>
      </c>
      <c r="H5" s="70">
        <f t="shared" si="1"/>
        <v>296.16628527038733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302.30714066618623</v>
      </c>
      <c r="T5" s="62">
        <f t="shared" ref="T5:T68" si="34">$T$3</f>
        <v>218.81984836501334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296.40608579969239</v>
      </c>
      <c r="AN5" s="62">
        <f ca="1">AVERAGE(OFFSET($AM$3,0,0,'Données projet'!$E$10+1,1))-AVERAGE(OFFSET($H$3,0,0,'Données projet'!$E$10+1,1))</f>
        <v>153.09120195408497</v>
      </c>
      <c r="AO5" s="62">
        <f t="shared" ref="AO5:AO68" si="36">$AO$3</f>
        <v>312.73854442032672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6.6</v>
      </c>
      <c r="BD5" s="13">
        <f>IF('Données projet'!$A$88&gt;35,BD4+BC5-BL4,IF(A5&lt;'Données projet'!$A$88,$BA$205^A5,IF(A5='Données projet'!$A$88,'Données projet'!$B$88,BD4+BC5-BL4)))</f>
        <v>1.629511362483081</v>
      </c>
      <c r="BE5" s="14">
        <f>BD5*VLOOKUP('Données projet'!$B$11,Paramètres!$A$1:$I$89,3,0)*VLOOKUP('Données projet'!$B$11,Paramètres!$A$1:$I$89,5,0)</f>
        <v>1.7031652760673166</v>
      </c>
      <c r="BF5" s="14">
        <f t="shared" ref="BF5:BF68" si="37">EXP(-1.0587+0.8836*LN(BE5)+0.284)</f>
        <v>0.73771831937886023</v>
      </c>
      <c r="BG5" s="22">
        <f t="shared" si="7"/>
        <v>4.2512055954020909</v>
      </c>
      <c r="BH5" s="62">
        <f t="shared" si="8"/>
        <v>297.58453892873541</v>
      </c>
      <c r="BI5" s="62">
        <f ca="1">AVERAGE(OFFSET($BH$3,0,0,'Données projet'!$E$11+1,1))-AVERAGE(OFFSET($H$3,0,0,'Données projet'!$E$11+1,1))</f>
        <v>296.94146778663753</v>
      </c>
      <c r="BJ5" s="62">
        <f t="shared" ref="BJ5:BJ68" si="38">$BJ$3</f>
        <v>333.01339464897745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1.677</v>
      </c>
      <c r="D6" s="12">
        <f t="shared" si="32"/>
        <v>0.72769514761613419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18.56255903422981</v>
      </c>
      <c r="H6" s="70">
        <f t="shared" si="1"/>
        <v>297.52151071543142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302.30714066618623</v>
      </c>
      <c r="T6" s="62">
        <f t="shared" si="34"/>
        <v>218.81984836501334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297.66058017412968</v>
      </c>
      <c r="AN6" s="62">
        <f ca="1">AVERAGE(OFFSET($AM$3,0,0,'Données projet'!$E$10+1,1))-AVERAGE(OFFSET($H$3,0,0,'Données projet'!$E$10+1,1))</f>
        <v>153.09120195408497</v>
      </c>
      <c r="AO6" s="62">
        <f t="shared" si="36"/>
        <v>312.73854442032672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6.6</v>
      </c>
      <c r="BD6" s="13">
        <f>IF('Données projet'!$A$88&gt;35,BD5+BC6-BL5,IF(A6&lt;'Données projet'!$A$88,$BA$205^A6,IF(A6='Données projet'!$A$88,'Données projet'!$B$88,BD5+BC6-BL5)))</f>
        <v>2.0801089837784965</v>
      </c>
      <c r="BE6" s="14">
        <f>BD6*VLOOKUP('Données projet'!$B$11,Paramètres!$A$1:$I$89,3,0)*VLOOKUP('Données projet'!$B$11,Paramètres!$A$1:$I$89,5,0)</f>
        <v>2.1741299098452846</v>
      </c>
      <c r="BF6" s="14">
        <f t="shared" si="37"/>
        <v>0.91532963719122296</v>
      </c>
      <c r="BG6" s="22">
        <f t="shared" si="7"/>
        <v>5.3808087110885836</v>
      </c>
      <c r="BH6" s="62">
        <f t="shared" si="8"/>
        <v>298.71414204442192</v>
      </c>
      <c r="BI6" s="62">
        <f ca="1">AVERAGE(OFFSET($BH$3,0,0,'Données projet'!$E$11+1,1))-AVERAGE(OFFSET($H$3,0,0,'Données projet'!$E$11+1,1))</f>
        <v>296.94146778663753</v>
      </c>
      <c r="BJ6" s="62">
        <f t="shared" si="38"/>
        <v>333.01339464897745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2.2360000000000002</v>
      </c>
      <c r="D7" s="12">
        <f t="shared" si="32"/>
        <v>0.93830784341656304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24.503428966724346</v>
      </c>
      <c r="H7" s="70">
        <f t="shared" si="1"/>
        <v>298.8619194939505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302.30714066618623</v>
      </c>
      <c r="T7" s="62">
        <f t="shared" si="34"/>
        <v>218.81984836501334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299.42943245369673</v>
      </c>
      <c r="AN7" s="62">
        <f ca="1">AVERAGE(OFFSET($AM$3,0,0,'Données projet'!$E$10+1,1))-AVERAGE(OFFSET($H$3,0,0,'Données projet'!$E$10+1,1))</f>
        <v>153.09120195408497</v>
      </c>
      <c r="AO7" s="62">
        <f t="shared" si="36"/>
        <v>312.73854442032672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6.6</v>
      </c>
      <c r="BD7" s="13">
        <f>IF('Données projet'!$A$88&gt;35,BD6+BC7-BL6,IF(A7&lt;'Données projet'!$A$88,$BA$205^A7,IF(A7='Données projet'!$A$88,'Données projet'!$B$88,BD6+BC7-BL6)))</f>
        <v>2.655307280461467</v>
      </c>
      <c r="BE7" s="14">
        <f>BD7*VLOOKUP('Données projet'!$B$11,Paramètres!$A$1:$I$89,3,0)*VLOOKUP('Données projet'!$B$11,Paramètres!$A$1:$I$89,5,0)</f>
        <v>2.7753271695383255</v>
      </c>
      <c r="BF7" s="14">
        <f t="shared" si="37"/>
        <v>1.1357022358154885</v>
      </c>
      <c r="BG7" s="22">
        <f t="shared" si="7"/>
        <v>6.8117095476578911</v>
      </c>
      <c r="BH7" s="62">
        <f t="shared" si="8"/>
        <v>300.14504288099118</v>
      </c>
      <c r="BI7" s="62">
        <f ca="1">AVERAGE(OFFSET($BH$3,0,0,'Données projet'!$E$11+1,1))-AVERAGE(OFFSET($H$3,0,0,'Données projet'!$E$11+1,1))</f>
        <v>296.94146778663753</v>
      </c>
      <c r="BJ7" s="62">
        <f t="shared" si="38"/>
        <v>333.01339464897745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2.7950000000000004</v>
      </c>
      <c r="D8" s="12">
        <f t="shared" si="32"/>
        <v>1.1428126371791492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30.397150181733792</v>
      </c>
      <c r="H8" s="70">
        <f t="shared" si="1"/>
        <v>300.19169034308698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302.30714066618623</v>
      </c>
      <c r="T8" s="62">
        <f t="shared" si="34"/>
        <v>218.81984836501334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301.92437911627621</v>
      </c>
      <c r="AN8" s="62">
        <f ca="1">AVERAGE(OFFSET($AM$3,0,0,'Données projet'!$E$10+1,1))-AVERAGE(OFFSET($H$3,0,0,'Données projet'!$E$10+1,1))</f>
        <v>153.09120195408497</v>
      </c>
      <c r="AO8" s="62">
        <f t="shared" si="36"/>
        <v>312.73854442032672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6.6</v>
      </c>
      <c r="BD8" s="13">
        <f>IF('Données projet'!$A$88&gt;35,BD7+BC8-BL7,IF(A8&lt;'Données projet'!$A$88,$BA$205^A8,IF(A8='Données projet'!$A$88,'Données projet'!$B$88,BD7+BC8-BL7)))</f>
        <v>3.3895612242701949</v>
      </c>
      <c r="BE8" s="14">
        <f>BD8*VLOOKUP('Données projet'!$B$11,Paramètres!$A$1:$I$89,3,0)*VLOOKUP('Données projet'!$B$11,Paramètres!$A$1:$I$89,5,0)</f>
        <v>3.5427693916072083</v>
      </c>
      <c r="BF8" s="14">
        <f t="shared" si="37"/>
        <v>1.4091312200861699</v>
      </c>
      <c r="BG8" s="22">
        <f t="shared" si="7"/>
        <v>8.624560232032632</v>
      </c>
      <c r="BH8" s="62">
        <f t="shared" si="8"/>
        <v>301.95789356536596</v>
      </c>
      <c r="BI8" s="62">
        <f ca="1">AVERAGE(OFFSET($BH$3,0,0,'Données projet'!$E$11+1,1))-AVERAGE(OFFSET($H$3,0,0,'Données projet'!$E$11+1,1))</f>
        <v>296.94146778663753</v>
      </c>
      <c r="BJ8" s="62">
        <f t="shared" si="38"/>
        <v>333.01339464897745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3.3540000000000005</v>
      </c>
      <c r="D9" s="12">
        <f t="shared" si="32"/>
        <v>1.3425781754875348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36.254287670430102</v>
      </c>
      <c r="H9" s="70">
        <f t="shared" si="1"/>
        <v>301.5132069889741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302.30714066618623</v>
      </c>
      <c r="T9" s="62">
        <f t="shared" si="34"/>
        <v>218.81984836501334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305.44464145374423</v>
      </c>
      <c r="AN9" s="62">
        <f ca="1">AVERAGE(OFFSET($AM$3,0,0,'Données projet'!$E$10+1,1))-AVERAGE(OFFSET($H$3,0,0,'Données projet'!$E$10+1,1))</f>
        <v>153.09120195408497</v>
      </c>
      <c r="AO9" s="62">
        <f t="shared" si="36"/>
        <v>312.73854442032672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6.6</v>
      </c>
      <c r="BD9" s="13">
        <f>IF('Données projet'!$A$88&gt;35,BD8+BC9-BL8,IF(A9&lt;'Données projet'!$A$88,$BA$205^A9,IF(A9='Données projet'!$A$88,'Données projet'!$B$88,BD8+BC9-BL8)))</f>
        <v>4.32685338439601</v>
      </c>
      <c r="BE9" s="14">
        <f>BD9*VLOOKUP('Données projet'!$B$11,Paramètres!$A$1:$I$89,3,0)*VLOOKUP('Données projet'!$B$11,Paramètres!$A$1:$I$89,5,0)</f>
        <v>4.5224271573707098</v>
      </c>
      <c r="BF9" s="14">
        <f t="shared" si="37"/>
        <v>1.7483903199290129</v>
      </c>
      <c r="BG9" s="22">
        <f t="shared" si="7"/>
        <v>10.921673772963684</v>
      </c>
      <c r="BH9" s="62">
        <f t="shared" si="8"/>
        <v>304.255007106297</v>
      </c>
      <c r="BI9" s="62">
        <f ca="1">AVERAGE(OFFSET($BH$3,0,0,'Données projet'!$E$11+1,1))-AVERAGE(OFFSET($H$3,0,0,'Données projet'!$E$11+1,1))</f>
        <v>296.94146778663753</v>
      </c>
      <c r="BJ9" s="62">
        <f t="shared" si="38"/>
        <v>333.01339464897745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3.9130000000000007</v>
      </c>
      <c r="D10" s="12">
        <f t="shared" si="32"/>
        <v>1.5384867718747026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42.081652274120522</v>
      </c>
      <c r="H10" s="70">
        <f t="shared" si="1"/>
        <v>302.82800612768176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302.30714066618623</v>
      </c>
      <c r="T10" s="62">
        <f t="shared" si="34"/>
        <v>218.81984836501334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310.41319559629613</v>
      </c>
      <c r="AN10" s="62">
        <f ca="1">AVERAGE(OFFSET($AM$3,0,0,'Données projet'!$E$10+1,1))-AVERAGE(OFFSET($H$3,0,0,'Données projet'!$E$10+1,1))</f>
        <v>153.09120195408497</v>
      </c>
      <c r="AO10" s="62">
        <f t="shared" si="36"/>
        <v>312.73854442032672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6.6</v>
      </c>
      <c r="BD10" s="13">
        <f>IF('Données projet'!$A$88&gt;35,BD9+BC10-BL9,IF(A10&lt;'Données projet'!$A$88,$BA$205^A10,IF(A10='Données projet'!$A$88,'Données projet'!$B$88,BD9+BC10-BL9)))</f>
        <v>5.5233285287803451</v>
      </c>
      <c r="BE10" s="14">
        <f>BD10*VLOOKUP('Données projet'!$B$11,Paramètres!$A$1:$I$89,3,0)*VLOOKUP('Données projet'!$B$11,Paramètres!$A$1:$I$89,5,0)</f>
        <v>5.7729829782812176</v>
      </c>
      <c r="BF10" s="14">
        <f t="shared" si="37"/>
        <v>2.1693286382758212</v>
      </c>
      <c r="BG10" s="22">
        <f t="shared" si="7"/>
        <v>13.832859398836844</v>
      </c>
      <c r="BH10" s="62">
        <f t="shared" si="8"/>
        <v>307.16619273217015</v>
      </c>
      <c r="BI10" s="62">
        <f ca="1">AVERAGE(OFFSET($BH$3,0,0,'Données projet'!$E$11+1,1))-AVERAGE(OFFSET($H$3,0,0,'Données projet'!$E$11+1,1))</f>
        <v>296.94146778663753</v>
      </c>
      <c r="BJ10" s="62">
        <f t="shared" si="38"/>
        <v>333.01339464897745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4.4720000000000004</v>
      </c>
      <c r="D11" s="12">
        <f t="shared" si="32"/>
        <v>1.7311529925500933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47.883988012667395</v>
      </c>
      <c r="H11" s="70">
        <f t="shared" si="1"/>
        <v>304.1371581286914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302.30714066618623</v>
      </c>
      <c r="T11" s="62">
        <f t="shared" si="34"/>
        <v>218.81984836501334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317.42812643957598</v>
      </c>
      <c r="AN11" s="62">
        <f ca="1">AVERAGE(OFFSET($AM$3,0,0,'Données projet'!$E$10+1,1))-AVERAGE(OFFSET($H$3,0,0,'Données projet'!$E$10+1,1))</f>
        <v>153.09120195408497</v>
      </c>
      <c r="AO11" s="62">
        <f t="shared" si="36"/>
        <v>312.73854442032672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6.6</v>
      </c>
      <c r="BD11" s="13">
        <f>IF('Données projet'!$A$88&gt;35,BD10+BC11-BL10,IF(A11&lt;'Données projet'!$A$88,$BA$205^A11,IF(A11='Données projet'!$A$88,'Données projet'!$B$88,BD10+BC11-BL10)))</f>
        <v>7.0506567536716718</v>
      </c>
      <c r="BE11" s="14">
        <f>BD11*VLOOKUP('Données projet'!$B$11,Paramètres!$A$1:$I$89,3,0)*VLOOKUP('Données projet'!$B$11,Paramètres!$A$1:$I$89,5,0)</f>
        <v>7.3693464389376322</v>
      </c>
      <c r="BF11" s="14">
        <f t="shared" si="37"/>
        <v>2.6916110705958936</v>
      </c>
      <c r="BG11" s="22">
        <f t="shared" si="7"/>
        <v>17.522834329104224</v>
      </c>
      <c r="BH11" s="62">
        <f t="shared" si="8"/>
        <v>310.85616766243754</v>
      </c>
      <c r="BI11" s="62">
        <f ca="1">AVERAGE(OFFSET($BH$3,0,0,'Données projet'!$E$11+1,1))-AVERAGE(OFFSET($H$3,0,0,'Données projet'!$E$11+1,1))</f>
        <v>296.94146778663753</v>
      </c>
      <c r="BJ11" s="62">
        <f t="shared" si="38"/>
        <v>333.01339464897745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5.0310000000000006</v>
      </c>
      <c r="D12" s="12">
        <f t="shared" si="32"/>
        <v>1.9210285514955543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53.664781801018329</v>
      </c>
      <c r="H12" s="70">
        <f t="shared" si="1"/>
        <v>305.44144972718806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302.30714066618623</v>
      </c>
      <c r="T12" s="62">
        <f t="shared" si="34"/>
        <v>218.81984836501334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327.33535627873266</v>
      </c>
      <c r="AN12" s="62">
        <f ca="1">AVERAGE(OFFSET($AM$3,0,0,'Données projet'!$E$10+1,1))-AVERAGE(OFFSET($H$3,0,0,'Données projet'!$E$10+1,1))</f>
        <v>153.09120195408497</v>
      </c>
      <c r="AO12" s="62">
        <f t="shared" si="36"/>
        <v>312.73854442032672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6.6</v>
      </c>
      <c r="BD12" s="13">
        <f>IF('Données projet'!$A$88&gt;35,BD11+BC12-BL11,IF(A12&lt;'Données projet'!$A$88,$BA$205^A12,IF(A12='Données projet'!$A$88,'Données projet'!$B$88,BD11+BC12-BL11)))</f>
        <v>9.0003265963745314</v>
      </c>
      <c r="BE12" s="14">
        <f>BD12*VLOOKUP('Données projet'!$B$11,Paramètres!$A$1:$I$89,3,0)*VLOOKUP('Données projet'!$B$11,Paramètres!$A$1:$I$89,5,0)</f>
        <v>9.4071413585306605</v>
      </c>
      <c r="BF12" s="14">
        <f t="shared" si="37"/>
        <v>3.3396369860827102</v>
      </c>
      <c r="BG12" s="22">
        <f t="shared" si="7"/>
        <v>22.200638950201622</v>
      </c>
      <c r="BH12" s="62">
        <f t="shared" si="8"/>
        <v>315.53397228353492</v>
      </c>
      <c r="BI12" s="62">
        <f ca="1">AVERAGE(OFFSET($BH$3,0,0,'Données projet'!$E$11+1,1))-AVERAGE(OFFSET($H$3,0,0,'Données projet'!$E$11+1,1))</f>
        <v>296.94146778663753</v>
      </c>
      <c r="BJ12" s="62">
        <f t="shared" si="38"/>
        <v>333.01339464897745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5.5900000000000007</v>
      </c>
      <c r="D13" s="12">
        <f t="shared" si="32"/>
        <v>2.1084588929503836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59.426700226283664</v>
      </c>
      <c r="H13" s="70">
        <f t="shared" si="1"/>
        <v>306.74148257188858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302.30714066618623</v>
      </c>
      <c r="T13" s="62">
        <f t="shared" si="34"/>
        <v>218.81984836501334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341.33166925873127</v>
      </c>
      <c r="AN13" s="62">
        <f ca="1">AVERAGE(OFFSET($AM$3,0,0,'Données projet'!$E$10+1,1))-AVERAGE(OFFSET($H$3,0,0,'Données projet'!$E$10+1,1))</f>
        <v>153.09120195408497</v>
      </c>
      <c r="AO13" s="62">
        <f t="shared" si="36"/>
        <v>312.73854442032672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6.6</v>
      </c>
      <c r="BD13" s="13">
        <f>IF('Données projet'!$A$88&gt;35,BD12+BC13-BL12,IF(A13&lt;'Données projet'!$A$88,$BA$205^A13,IF(A13='Données projet'!$A$88,'Données projet'!$B$88,BD12+BC13-BL12)))</f>
        <v>11.489125293076063</v>
      </c>
      <c r="BE13" s="14">
        <f>BD13*VLOOKUP('Données projet'!$B$11,Paramètres!$A$1:$I$89,3,0)*VLOOKUP('Données projet'!$B$11,Paramètres!$A$1:$I$89,5,0)</f>
        <v>12.008433756323102</v>
      </c>
      <c r="BF13" s="14">
        <f t="shared" si="37"/>
        <v>4.1436800883503624</v>
      </c>
      <c r="BG13" s="22">
        <f t="shared" si="7"/>
        <v>28.131598279472954</v>
      </c>
      <c r="BH13" s="62">
        <f t="shared" si="8"/>
        <v>321.46493161280625</v>
      </c>
      <c r="BI13" s="62">
        <f ca="1">AVERAGE(OFFSET($BH$3,0,0,'Données projet'!$E$11+1,1))-AVERAGE(OFFSET($H$3,0,0,'Données projet'!$E$11+1,1))</f>
        <v>296.94146778663753</v>
      </c>
      <c r="BJ13" s="62">
        <f t="shared" si="38"/>
        <v>333.01339464897745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6.1490000000000009</v>
      </c>
      <c r="D14" s="12">
        <f t="shared" si="32"/>
        <v>2.293716374319045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65.171845696497897</v>
      </c>
      <c r="H14" s="70">
        <f t="shared" si="1"/>
        <v>308.03773101860565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302.30714066618623</v>
      </c>
      <c r="T14" s="62">
        <f t="shared" si="34"/>
        <v>218.81984836501334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361.11068535874983</v>
      </c>
      <c r="AN14" s="62">
        <f ca="1">AVERAGE(OFFSET($AM$3,0,0,'Données projet'!$E$10+1,1))-AVERAGE(OFFSET($H$3,0,0,'Données projet'!$E$10+1,1))</f>
        <v>153.09120195408497</v>
      </c>
      <c r="AO14" s="62">
        <f t="shared" si="36"/>
        <v>312.73854442032672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6.6</v>
      </c>
      <c r="BD14" s="13">
        <f>IF('Données projet'!$A$88&gt;35,BD13+BC14-BL13,IF(A14&lt;'Données projet'!$A$88,$BA$205^A14,IF(A14='Données projet'!$A$88,'Données projet'!$B$88,BD13+BC14-BL13)))</f>
        <v>14.666134454850974</v>
      </c>
      <c r="BE14" s="14">
        <f>BD14*VLOOKUP('Données projet'!$B$11,Paramètres!$A$1:$I$89,3,0)*VLOOKUP('Données projet'!$B$11,Paramètres!$A$1:$I$89,5,0)</f>
        <v>15.32904373221024</v>
      </c>
      <c r="BF14" s="14">
        <f t="shared" si="37"/>
        <v>5.1413027062954058</v>
      </c>
      <c r="BG14" s="22">
        <f t="shared" si="7"/>
        <v>35.652520047063994</v>
      </c>
      <c r="BH14" s="62">
        <f t="shared" si="8"/>
        <v>328.98585338039732</v>
      </c>
      <c r="BI14" s="62">
        <f ca="1">AVERAGE(OFFSET($BH$3,0,0,'Données projet'!$E$11+1,1))-AVERAGE(OFFSET($H$3,0,0,'Données projet'!$E$11+1,1))</f>
        <v>296.94146778663753</v>
      </c>
      <c r="BJ14" s="62">
        <f t="shared" si="38"/>
        <v>333.01339464897745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6.7080000000000011</v>
      </c>
      <c r="D15" s="12">
        <f t="shared" si="32"/>
        <v>2.4770209932006879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70.901916438742163</v>
      </c>
      <c r="H15" s="70">
        <f t="shared" si="1"/>
        <v>309.33057822982454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302.30714066618623</v>
      </c>
      <c r="T15" s="62">
        <f t="shared" si="34"/>
        <v>218.81984836501334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389.06973543886363</v>
      </c>
      <c r="AN15" s="62">
        <f ca="1">AVERAGE(OFFSET($AM$3,0,0,'Données projet'!$E$10+1,1))-AVERAGE(OFFSET($H$3,0,0,'Données projet'!$E$10+1,1))</f>
        <v>153.09120195408497</v>
      </c>
      <c r="AO15" s="62">
        <f t="shared" si="36"/>
        <v>312.73854442032672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6.6</v>
      </c>
      <c r="BD15" s="13">
        <f>IF('Données projet'!$A$88&gt;35,BD14+BC15-BL14,IF(A15&lt;'Données projet'!$A$88,$BA$205^A15,IF(A15='Données projet'!$A$88,'Données projet'!$B$88,BD14+BC15-BL14)))</f>
        <v>18.721660210059202</v>
      </c>
      <c r="BE15" s="14">
        <f>BD15*VLOOKUP('Données projet'!$B$11,Paramètres!$A$1:$I$89,3,0)*VLOOKUP('Données projet'!$B$11,Paramètres!$A$1:$I$89,5,0)</f>
        <v>19.56787925155388</v>
      </c>
      <c r="BF15" s="14">
        <f t="shared" si="37"/>
        <v>6.379110586281695</v>
      </c>
      <c r="BG15" s="22">
        <f t="shared" si="7"/>
        <v>45.191007300896956</v>
      </c>
      <c r="BH15" s="62">
        <f t="shared" si="8"/>
        <v>338.52434063423027</v>
      </c>
      <c r="BI15" s="62">
        <f ca="1">AVERAGE(OFFSET($BH$3,0,0,'Données projet'!$E$11+1,1))-AVERAGE(OFFSET($H$3,0,0,'Données projet'!$E$11+1,1))</f>
        <v>296.94146778663753</v>
      </c>
      <c r="BJ15" s="62">
        <f t="shared" si="38"/>
        <v>333.01339464897745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7.2670000000000012</v>
      </c>
      <c r="D16" s="12">
        <f t="shared" si="32"/>
        <v>2.6585539900627135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76.618311502238512</v>
      </c>
      <c r="H16" s="70">
        <f t="shared" si="1"/>
        <v>310.62033986602586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302.30714066618623</v>
      </c>
      <c r="T16" s="62">
        <f t="shared" si="34"/>
        <v>218.81984836501334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428.60310953152668</v>
      </c>
      <c r="AN16" s="62">
        <f ca="1">AVERAGE(OFFSET($AM$3,0,0,'Données projet'!$E$10+1,1))-AVERAGE(OFFSET($H$3,0,0,'Données projet'!$E$10+1,1))</f>
        <v>153.09120195408497</v>
      </c>
      <c r="AO16" s="62">
        <f t="shared" si="36"/>
        <v>312.73854442032672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6.6</v>
      </c>
      <c r="BD16" s="13">
        <f>IF('Données projet'!$A$88&gt;35,BD15+BC16-BL15,IF(A16&lt;'Données projet'!$A$88,$BA$205^A16,IF(A16='Données projet'!$A$88,'Données projet'!$B$88,BD15+BC16-BL15)))</f>
        <v>23.89863273788427</v>
      </c>
      <c r="BE16" s="14">
        <f>BD16*VLOOKUP('Données projet'!$B$11,Paramètres!$A$1:$I$89,3,0)*VLOOKUP('Données projet'!$B$11,Paramètres!$A$1:$I$89,5,0)</f>
        <v>24.978850937636643</v>
      </c>
      <c r="BF16" s="14">
        <f t="shared" si="37"/>
        <v>7.9149301639414267</v>
      </c>
      <c r="BG16" s="22">
        <f t="shared" si="7"/>
        <v>57.290002085248467</v>
      </c>
      <c r="BH16" s="62">
        <f t="shared" si="8"/>
        <v>350.6233354185818</v>
      </c>
      <c r="BI16" s="62">
        <f ca="1">AVERAGE(OFFSET($BH$3,0,0,'Données projet'!$E$11+1,1))-AVERAGE(OFFSET($H$3,0,0,'Données projet'!$E$11+1,1))</f>
        <v>296.94146778663753</v>
      </c>
      <c r="BJ16" s="62">
        <f t="shared" si="38"/>
        <v>333.01339464897745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7.8260000000000014</v>
      </c>
      <c r="D17" s="12">
        <f t="shared" si="32"/>
        <v>2.8384671382814215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82.322202470944333</v>
      </c>
      <c r="H17" s="70">
        <f t="shared" si="1"/>
        <v>311.90728026584014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302.30714066618623</v>
      </c>
      <c r="T17" s="62">
        <f t="shared" si="34"/>
        <v>218.81984836501334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416.32558731688391</v>
      </c>
      <c r="AN17" s="62">
        <f ca="1">AVERAGE(OFFSET($AM$3,0,0,'Données projet'!$E$10+1,1))-AVERAGE(OFFSET($H$3,0,0,'Données projet'!$E$10+1,1))</f>
        <v>153.09120195408497</v>
      </c>
      <c r="AO17" s="62">
        <f t="shared" si="36"/>
        <v>312.73854442032672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6.6</v>
      </c>
      <c r="BD17" s="13">
        <f>IF('Données projet'!$A$88&gt;35,BD16+BC17-BL16,IF(A17&lt;'Données projet'!$A$88,$BA$205^A17,IF(A17='Données projet'!$A$88,'Données projet'!$B$88,BD16+BC17-BL16)))</f>
        <v>30.50715803683886</v>
      </c>
      <c r="BE17" s="14">
        <f>BD17*VLOOKUP('Données projet'!$B$11,Paramètres!$A$1:$I$89,3,0)*VLOOKUP('Données projet'!$B$11,Paramètres!$A$1:$I$89,5,0)</f>
        <v>31.88608158010398</v>
      </c>
      <c r="BF17" s="14">
        <f t="shared" si="37"/>
        <v>9.8205100307855755</v>
      </c>
      <c r="BG17" s="22">
        <f t="shared" si="7"/>
        <v>72.638980388965962</v>
      </c>
      <c r="BH17" s="62">
        <f t="shared" si="8"/>
        <v>365.9723137222993</v>
      </c>
      <c r="BI17" s="62">
        <f ca="1">AVERAGE(OFFSET($BH$3,0,0,'Données projet'!$E$11+1,1))-AVERAGE(OFFSET($H$3,0,0,'Données projet'!$E$11+1,1))</f>
        <v>296.94146778663753</v>
      </c>
      <c r="BJ17" s="62">
        <f t="shared" si="38"/>
        <v>333.01339464897745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8.3850000000000016</v>
      </c>
      <c r="D18" s="12">
        <f t="shared" si="32"/>
        <v>3.0168893007228847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88.014584075755593</v>
      </c>
      <c r="H18" s="70">
        <f t="shared" si="1"/>
        <v>313.1916238654257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302.30714066618623</v>
      </c>
      <c r="T18" s="62">
        <f t="shared" si="34"/>
        <v>218.81984836501334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440.59339945802776</v>
      </c>
      <c r="AN18" s="62">
        <f ca="1">AVERAGE(OFFSET($AM$3,0,0,'Données projet'!$E$10+1,1))-AVERAGE(OFFSET($H$3,0,0,'Données projet'!$E$10+1,1))</f>
        <v>153.09120195408497</v>
      </c>
      <c r="AO18" s="62">
        <f t="shared" si="36"/>
        <v>312.73854442032672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6.6</v>
      </c>
      <c r="BD18" s="13">
        <f>IF('Données projet'!$A$88&gt;35,BD17+BC18-BL17,IF(A18&lt;'Données projet'!$A$88,$BA$205^A18,IF(A18='Données projet'!$A$88,'Données projet'!$B$88,BD17+BC18-BL17)))</f>
        <v>38.943093594192561</v>
      </c>
      <c r="BE18" s="14">
        <f>BD18*VLOOKUP('Données projet'!$B$11,Paramètres!$A$1:$I$89,3,0)*VLOOKUP('Données projet'!$B$11,Paramètres!$A$1:$I$89,5,0)</f>
        <v>40.703321424650071</v>
      </c>
      <c r="BF18" s="14">
        <f t="shared" si="37"/>
        <v>12.184872799526294</v>
      </c>
      <c r="BG18" s="22">
        <f t="shared" si="7"/>
        <v>92.113604940440496</v>
      </c>
      <c r="BH18" s="62">
        <f t="shared" si="8"/>
        <v>385.44693827377381</v>
      </c>
      <c r="BI18" s="62">
        <f ca="1">AVERAGE(OFFSET($BH$3,0,0,'Données projet'!$E$11+1,1))-AVERAGE(OFFSET($H$3,0,0,'Données projet'!$E$11+1,1))</f>
        <v>296.94146778663753</v>
      </c>
      <c r="BJ18" s="62">
        <f t="shared" si="38"/>
        <v>333.01339464897745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8.9440000000000008</v>
      </c>
      <c r="D19" s="12">
        <f t="shared" si="32"/>
        <v>3.193931186488729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93.69631091324635</v>
      </c>
      <c r="H19" s="70">
        <f t="shared" si="1"/>
        <v>314.47356348313451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302.30714066618623</v>
      </c>
      <c r="T19" s="62">
        <f t="shared" si="34"/>
        <v>218.81984836501334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464.76548943044656</v>
      </c>
      <c r="AN19" s="62">
        <f ca="1">AVERAGE(OFFSET($AM$3,0,0,'Données projet'!$E$10+1,1))-AVERAGE(OFFSET($H$3,0,0,'Données projet'!$E$10+1,1))</f>
        <v>153.09120195408497</v>
      </c>
      <c r="AO19" s="62">
        <f t="shared" si="36"/>
        <v>312.73854442032672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6.6</v>
      </c>
      <c r="BD19" s="13">
        <f>IF('Données projet'!$A$88&gt;35,BD18+BC19-BL18,IF(A19&lt;'Données projet'!$A$88,$BA$205^A19,IF(A19='Données projet'!$A$88,'Données projet'!$B$88,BD18+BC19-BL18)))</f>
        <v>49.711760658095955</v>
      </c>
      <c r="BE19" s="14">
        <f>BD19*VLOOKUP('Données projet'!$B$11,Paramètres!$A$1:$I$89,3,0)*VLOOKUP('Données projet'!$B$11,Paramètres!$A$1:$I$89,5,0)</f>
        <v>51.9587322398419</v>
      </c>
      <c r="BF19" s="14">
        <f t="shared" si="37"/>
        <v>15.118473956566907</v>
      </c>
      <c r="BG19" s="22">
        <f t="shared" si="7"/>
        <v>116.82613412541201</v>
      </c>
      <c r="BH19" s="62">
        <f t="shared" si="8"/>
        <v>410.15946745874533</v>
      </c>
      <c r="BI19" s="62">
        <f ca="1">AVERAGE(OFFSET($BH$3,0,0,'Données projet'!$E$11+1,1))-AVERAGE(OFFSET($H$3,0,0,'Données projet'!$E$11+1,1))</f>
        <v>296.94146778663753</v>
      </c>
      <c r="BJ19" s="62">
        <f t="shared" si="38"/>
        <v>333.01339464897745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9.5030000000000001</v>
      </c>
      <c r="D20" s="12">
        <f t="shared" si="32"/>
        <v>3.369688883880555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99.368124717674462</v>
      </c>
      <c r="H20" s="70">
        <f t="shared" si="1"/>
        <v>315.75326647275864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302.30714066618623</v>
      </c>
      <c r="T20" s="62">
        <f t="shared" si="34"/>
        <v>218.81984836501334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488.85727665418216</v>
      </c>
      <c r="AN20" s="62">
        <f ca="1">AVERAGE(OFFSET($AM$3,0,0,'Données projet'!$E$10+1,1))-AVERAGE(OFFSET($H$3,0,0,'Données projet'!$E$10+1,1))</f>
        <v>153.09120195408497</v>
      </c>
      <c r="AO20" s="62">
        <f t="shared" si="36"/>
        <v>312.73854442032672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6.6</v>
      </c>
      <c r="BD20" s="13">
        <f>IF('Données projet'!$A$88&gt;35,BD19+BC20-BL19,IF(A20&lt;'Données projet'!$A$88,$BA$205^A20,IF(A20='Données projet'!$A$88,'Données projet'!$B$88,BD19+BC20-BL19)))</f>
        <v>63.458213501978861</v>
      </c>
      <c r="BE20" s="14">
        <f>BD20*VLOOKUP('Données projet'!$B$11,Paramètres!$A$1:$I$89,3,0)*VLOOKUP('Données projet'!$B$11,Paramètres!$A$1:$I$89,5,0)</f>
        <v>66.326524752268313</v>
      </c>
      <c r="BF20" s="14">
        <f t="shared" si="37"/>
        <v>18.75836198998137</v>
      </c>
      <c r="BG20" s="22">
        <f t="shared" si="7"/>
        <v>148.18951107608487</v>
      </c>
      <c r="BH20" s="62">
        <f t="shared" si="8"/>
        <v>441.52284440941821</v>
      </c>
      <c r="BI20" s="62">
        <f ca="1">AVERAGE(OFFSET($BH$3,0,0,'Données projet'!$E$11+1,1))-AVERAGE(OFFSET($H$3,0,0,'Données projet'!$E$11+1,1))</f>
        <v>296.94146778663753</v>
      </c>
      <c r="BJ20" s="62">
        <f t="shared" si="38"/>
        <v>333.01339464897745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10.061999999999999</v>
      </c>
      <c r="D21" s="12">
        <f t="shared" si="32"/>
        <v>3.5442465380941046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105.03067503090188</v>
      </c>
      <c r="H21" s="70">
        <f t="shared" si="1"/>
        <v>317.03087938718056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302.30714066618623</v>
      </c>
      <c r="T21" s="62">
        <f t="shared" si="34"/>
        <v>218.81984836501334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512.88005530316832</v>
      </c>
      <c r="AN21" s="62">
        <f ca="1">AVERAGE(OFFSET($AM$3,0,0,'Données projet'!$E$10+1,1))-AVERAGE(OFFSET($H$3,0,0,'Données projet'!$E$10+1,1))</f>
        <v>153.09120195408497</v>
      </c>
      <c r="AO21" s="62">
        <f t="shared" si="36"/>
        <v>312.73854442032672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6.6</v>
      </c>
      <c r="BD21" s="13">
        <f>IF('Données projet'!$A$88&gt;35,BD20+BC21-BL20,IF(A21&lt;'Données projet'!$A$88,$BA$205^A21,IF(A21='Données projet'!$A$88,'Données projet'!$B$88,BD20+BC21-BL20)))</f>
        <v>81.005878841406769</v>
      </c>
      <c r="BE21" s="14">
        <f>BD21*VLOOKUP('Données projet'!$B$11,Paramètres!$A$1:$I$89,3,0)*VLOOKUP('Données projet'!$B$11,Paramètres!$A$1:$I$89,5,0)</f>
        <v>84.667344565038363</v>
      </c>
      <c r="BF21" s="14">
        <f t="shared" si="37"/>
        <v>23.274580857701956</v>
      </c>
      <c r="BG21" s="22">
        <f t="shared" si="7"/>
        <v>187.99885344460608</v>
      </c>
      <c r="BH21" s="62">
        <f t="shared" si="8"/>
        <v>481.3321867779394</v>
      </c>
      <c r="BI21" s="62">
        <f ca="1">AVERAGE(OFFSET($BH$3,0,0,'Données projet'!$E$11+1,1))-AVERAGE(OFFSET($H$3,0,0,'Données projet'!$E$11+1,1))</f>
        <v>296.94146778663753</v>
      </c>
      <c r="BJ21" s="62">
        <f t="shared" si="38"/>
        <v>333.01339464897745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10.620999999999999</v>
      </c>
      <c r="D22" s="12">
        <f t="shared" si="32"/>
        <v>3.7176784168109291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110.68453514731243</v>
      </c>
      <c r="H22" s="70">
        <f t="shared" si="1"/>
        <v>318.30653157594566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302.30714066618623</v>
      </c>
      <c r="T22" s="62">
        <f t="shared" si="34"/>
        <v>218.81984836501334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484.2000422509401</v>
      </c>
      <c r="AN22" s="62">
        <f ca="1">AVERAGE(OFFSET($AM$3,0,0,'Données projet'!$E$10+1,1))-AVERAGE(OFFSET($H$3,0,0,'Données projet'!$E$10+1,1))</f>
        <v>153.09120195408497</v>
      </c>
      <c r="AO22" s="62">
        <f t="shared" si="36"/>
        <v>312.73854442032672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6.6</v>
      </c>
      <c r="BD22" s="13">
        <f>IF('Données projet'!$A$88&gt;35,BD21+BC22-BL21,IF(A22&lt;'Données projet'!$A$88,$BA$205^A22,IF(A22='Données projet'!$A$88,'Données projet'!$B$88,BD21+BC22-BL21)))</f>
        <v>103.40587994435182</v>
      </c>
      <c r="BE22" s="14">
        <f>BD22*VLOOKUP('Données projet'!$B$11,Paramètres!$A$1:$I$89,3,0)*VLOOKUP('Données projet'!$B$11,Paramètres!$A$1:$I$89,5,0)</f>
        <v>108.07982571783653</v>
      </c>
      <c r="BF22" s="14">
        <f t="shared" si="37"/>
        <v>28.878113898805527</v>
      </c>
      <c r="BG22" s="22">
        <f t="shared" si="7"/>
        <v>238.53507816565158</v>
      </c>
      <c r="BH22" s="62">
        <f t="shared" si="8"/>
        <v>531.86841149898487</v>
      </c>
      <c r="BI22" s="62">
        <f ca="1">AVERAGE(OFFSET($BH$3,0,0,'Données projet'!$E$11+1,1))-AVERAGE(OFFSET($H$3,0,0,'Données projet'!$E$11+1,1))</f>
        <v>296.94146778663753</v>
      </c>
      <c r="BJ22" s="62">
        <f t="shared" si="38"/>
        <v>333.01339464897745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11.179999999999998</v>
      </c>
      <c r="D23" s="12">
        <f t="shared" si="32"/>
        <v>3.8900505285230369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116.33021460614272</v>
      </c>
      <c r="H23" s="70">
        <f t="shared" si="1"/>
        <v>319.58033800384425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302.30714066618623</v>
      </c>
      <c r="T23" s="62">
        <f t="shared" si="34"/>
        <v>218.81984836501334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0.22000000000000003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0.15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507.20298668307743</v>
      </c>
      <c r="AN23" s="62">
        <f ca="1">AVERAGE(OFFSET($AM$3,0,0,'Données projet'!$E$10+1,1))-AVERAGE(OFFSET($H$3,0,0,'Données projet'!$E$10+1,1))</f>
        <v>153.09120195408497</v>
      </c>
      <c r="AO23" s="62">
        <f t="shared" si="36"/>
        <v>312.73854442032672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132</v>
      </c>
      <c r="BB23" s="13">
        <f>VLOOKUP(A23,'Données projet'!$A$87:$I$107,9,0)</f>
        <v>6.6</v>
      </c>
      <c r="BC23" s="13">
        <f t="array" ref="BC23">INDEX(BB:BB,MIN(IF(ISNUMBER(BB23:BB219),ROW(BB23:BB219),"")))</f>
        <v>6.6</v>
      </c>
      <c r="BD23" s="13">
        <f>IF('Données projet'!$A$88&gt;35,BD22+BC23-BL22,IF(A23&lt;'Données projet'!$A$88,$BA$205^A23,IF(A23='Données projet'!$A$88,'Données projet'!$B$88,BD22+BC23-BL22)))</f>
        <v>132</v>
      </c>
      <c r="BE23" s="14">
        <f>BD23*VLOOKUP('Données projet'!$B$11,Paramètres!$A$1:$I$89,3,0)*VLOOKUP('Données projet'!$B$11,Paramètres!$A$1:$I$89,5,0)</f>
        <v>137.96640000000002</v>
      </c>
      <c r="BF23" s="14">
        <f t="shared" si="37"/>
        <v>35.83074030209302</v>
      </c>
      <c r="BG23" s="22">
        <f t="shared" si="7"/>
        <v>302.69668602614541</v>
      </c>
      <c r="BH23" s="62">
        <f t="shared" si="8"/>
        <v>596.03001935947873</v>
      </c>
      <c r="BI23" s="62">
        <f ca="1">AVERAGE(OFFSET($BH$3,0,0,'Données projet'!$E$11+1,1))-AVERAGE(OFFSET($H$3,0,0,'Données projet'!$E$11+1,1))</f>
        <v>296.94146778663753</v>
      </c>
      <c r="BJ23" s="62">
        <f t="shared" si="38"/>
        <v>333.01339464897745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11.738999999999997</v>
      </c>
      <c r="D24" s="12">
        <f t="shared" si="32"/>
        <v>4.0614219079945988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121.96816911434426</v>
      </c>
      <c r="H24" s="70">
        <f t="shared" si="1"/>
        <v>320.85240148975726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302.30714066618623</v>
      </c>
      <c r="T24" s="62">
        <f t="shared" si="34"/>
        <v>218.81984836501334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530.14894137493934</v>
      </c>
      <c r="AN24" s="62">
        <f ca="1">AVERAGE(OFFSET($AM$3,0,0,'Données projet'!$E$10+1,1))-AVERAGE(OFFSET($H$3,0,0,'Données projet'!$E$10+1,1))</f>
        <v>153.09120195408497</v>
      </c>
      <c r="AO24" s="62">
        <f t="shared" si="36"/>
        <v>312.73854442032672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12.2</v>
      </c>
      <c r="BD24" s="13">
        <f>IF('Données projet'!$A$88&gt;35,BD23+BC24-BL23,IF(A24&lt;'Données projet'!$A$88,$BA$205^A24,IF(A24='Données projet'!$A$88,'Données projet'!$B$88,BD23+BC24-BL23)))</f>
        <v>94.199999999999989</v>
      </c>
      <c r="BE24" s="14">
        <f>BD24*VLOOKUP('Données projet'!$B$11,Paramètres!$A$1:$I$89,3,0)*VLOOKUP('Données projet'!$B$11,Paramètres!$A$1:$I$89,5,0)</f>
        <v>98.457840000000004</v>
      </c>
      <c r="BF24" s="14">
        <f t="shared" si="37"/>
        <v>26.59426753254488</v>
      </c>
      <c r="BG24" s="22">
        <f t="shared" si="7"/>
        <v>217.79908728584903</v>
      </c>
      <c r="BH24" s="62">
        <f t="shared" si="8"/>
        <v>511.13242061918231</v>
      </c>
      <c r="BI24" s="62">
        <f ca="1">AVERAGE(OFFSET($BH$3,0,0,'Données projet'!$E$11+1,1))-AVERAGE(OFFSET($H$3,0,0,'Données projet'!$E$11+1,1))</f>
        <v>296.94146778663753</v>
      </c>
      <c r="BJ24" s="62">
        <f t="shared" si="38"/>
        <v>333.01339464897745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12.297999999999996</v>
      </c>
      <c r="D25" s="12">
        <f t="shared" si="32"/>
        <v>4.2318456499363739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127.59880852582461</v>
      </c>
      <c r="H25" s="70">
        <f t="shared" si="1"/>
        <v>322.12281450697247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302.30714066618623</v>
      </c>
      <c r="T25" s="62">
        <f t="shared" si="34"/>
        <v>218.81984836501334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553.0442044494896</v>
      </c>
      <c r="AN25" s="62">
        <f ca="1">AVERAGE(OFFSET($AM$3,0,0,'Données projet'!$E$10+1,1))-AVERAGE(OFFSET($H$3,0,0,'Données projet'!$E$10+1,1))</f>
        <v>153.09120195408497</v>
      </c>
      <c r="AO25" s="62">
        <f t="shared" si="36"/>
        <v>312.73854442032672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12.2</v>
      </c>
      <c r="BD25" s="13">
        <f>IF('Données projet'!$A$88&gt;35,BD24+BC25-BL24,IF(A25&lt;'Données projet'!$A$88,$BA$205^A25,IF(A25='Données projet'!$A$88,'Données projet'!$B$88,BD24+BC25-BL24)))</f>
        <v>106.39999999999999</v>
      </c>
      <c r="BE25" s="14">
        <f>BD25*VLOOKUP('Données projet'!$B$11,Paramètres!$A$1:$I$89,3,0)*VLOOKUP('Données projet'!$B$11,Paramètres!$A$1:$I$89,5,0)</f>
        <v>111.20927999999999</v>
      </c>
      <c r="BF25" s="14">
        <f t="shared" si="37"/>
        <v>29.615718819501168</v>
      </c>
      <c r="BG25" s="22">
        <f t="shared" si="7"/>
        <v>245.27020627729783</v>
      </c>
      <c r="BH25" s="62">
        <f t="shared" si="8"/>
        <v>538.60353961063117</v>
      </c>
      <c r="BI25" s="62">
        <f ca="1">AVERAGE(OFFSET($BH$3,0,0,'Données projet'!$E$11+1,1))-AVERAGE(OFFSET($H$3,0,0,'Données projet'!$E$11+1,1))</f>
        <v>296.94146778663753</v>
      </c>
      <c r="BJ25" s="62">
        <f t="shared" si="38"/>
        <v>333.01339464897745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26" s="12">
        <f t="shared" si="32"/>
        <v>4.4013697494266859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133.22250332890772</v>
      </c>
      <c r="H26" s="70">
        <f t="shared" si="1"/>
        <v>323.39166064691813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302.30714066618623</v>
      </c>
      <c r="T26" s="62">
        <f t="shared" si="34"/>
        <v>218.81984836501334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575.89387186828128</v>
      </c>
      <c r="AN26" s="62">
        <f ca="1">AVERAGE(OFFSET($AM$3,0,0,'Données projet'!$E$10+1,1))-AVERAGE(OFFSET($H$3,0,0,'Données projet'!$E$10+1,1))</f>
        <v>153.09120195408497</v>
      </c>
      <c r="AO26" s="62">
        <f t="shared" si="36"/>
        <v>312.73854442032672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12.2</v>
      </c>
      <c r="BD26" s="13">
        <f>IF('Données projet'!$A$88&gt;35,BD25+BC26-BL25,IF(A26&lt;'Données projet'!$A$88,$BA$205^A26,IF(A26='Données projet'!$A$88,'Données projet'!$B$88,BD25+BC26-BL25)))</f>
        <v>118.6</v>
      </c>
      <c r="BE26" s="14">
        <f>BD26*VLOOKUP('Données projet'!$B$11,Paramètres!$A$1:$I$89,3,0)*VLOOKUP('Données projet'!$B$11,Paramètres!$A$1:$I$89,5,0)</f>
        <v>123.96072000000001</v>
      </c>
      <c r="BF26" s="14">
        <f t="shared" si="37"/>
        <v>32.59701909372265</v>
      </c>
      <c r="BG26" s="22">
        <f t="shared" si="7"/>
        <v>272.67139558823362</v>
      </c>
      <c r="BH26" s="62">
        <f t="shared" si="8"/>
        <v>566.00472892156699</v>
      </c>
      <c r="BI26" s="62">
        <f ca="1">AVERAGE(OFFSET($BH$3,0,0,'Données projet'!$E$11+1,1))-AVERAGE(OFFSET($H$3,0,0,'Données projet'!$E$11+1,1))</f>
        <v>296.94146778663753</v>
      </c>
      <c r="BJ26" s="62">
        <f t="shared" si="38"/>
        <v>333.01339464897745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13.415999999999995</v>
      </c>
      <c r="D27" s="12">
        <f t="shared" si="32"/>
        <v>4.5700377920480229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138.83958997370399</v>
      </c>
      <c r="H27" s="70">
        <f t="shared" si="1"/>
        <v>324.65901582115026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302.30714066618623</v>
      </c>
      <c r="T27" s="62">
        <f t="shared" si="34"/>
        <v>218.81984836501334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528.53009004956789</v>
      </c>
      <c r="AN27" s="62">
        <f ca="1">AVERAGE(OFFSET($AM$3,0,0,'Données projet'!$E$10+1,1))-AVERAGE(OFFSET($H$3,0,0,'Données projet'!$E$10+1,1))</f>
        <v>153.09120195408497</v>
      </c>
      <c r="AO27" s="62">
        <f t="shared" si="36"/>
        <v>312.73854442032672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12.2</v>
      </c>
      <c r="BD27" s="13">
        <f>IF('Données projet'!$A$88&gt;35,BD26+BC27-BL26,IF(A27&lt;'Données projet'!$A$88,$BA$205^A27,IF(A27='Données projet'!$A$88,'Données projet'!$B$88,BD26+BC27-BL26)))</f>
        <v>130.79999999999998</v>
      </c>
      <c r="BE27" s="14">
        <f>BD27*VLOOKUP('Données projet'!$B$11,Paramètres!$A$1:$I$89,3,0)*VLOOKUP('Données projet'!$B$11,Paramètres!$A$1:$I$89,5,0)</f>
        <v>136.71216000000001</v>
      </c>
      <c r="BF27" s="14">
        <f t="shared" si="37"/>
        <v>35.542768937412866</v>
      </c>
      <c r="BG27" s="22">
        <f t="shared" si="7"/>
        <v>300.01066789932742</v>
      </c>
      <c r="BH27" s="62">
        <f t="shared" si="8"/>
        <v>593.34400123266073</v>
      </c>
      <c r="BI27" s="62">
        <f ca="1">AVERAGE(OFFSET($BH$3,0,0,'Données projet'!$E$11+1,1))-AVERAGE(OFFSET($H$3,0,0,'Données projet'!$E$11+1,1))</f>
        <v>296.94146778663753</v>
      </c>
      <c r="BJ27" s="62">
        <f t="shared" si="38"/>
        <v>333.01339464897745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13.974999999999994</v>
      </c>
      <c r="D28" s="12">
        <f t="shared" si="32"/>
        <v>4.7378895257597495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144.45037528656644</v>
      </c>
      <c r="H28" s="70">
        <f t="shared" si="1"/>
        <v>325.92494925736486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302.30714066618623</v>
      </c>
      <c r="T28" s="62">
        <f t="shared" si="34"/>
        <v>218.81984836501334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548.01352458826307</v>
      </c>
      <c r="AN28" s="62">
        <f ca="1">AVERAGE(OFFSET($AM$3,0,0,'Données projet'!$E$10+1,1))-AVERAGE(OFFSET($H$3,0,0,'Données projet'!$E$10+1,1))</f>
        <v>153.09120195408497</v>
      </c>
      <c r="AO28" s="62">
        <f t="shared" si="36"/>
        <v>312.73854442032672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143</v>
      </c>
      <c r="BB28" s="13">
        <f>VLOOKUP(A28,'Données projet'!$A$87:$I$107,9,0)</f>
        <v>12.2</v>
      </c>
      <c r="BC28" s="13">
        <f t="array" ref="BC28">INDEX(BB:BB,MIN(IF(ISNUMBER(BB28:BB224),ROW(BB28:BB224),"")))</f>
        <v>12.2</v>
      </c>
      <c r="BD28" s="13">
        <f>IF('Données projet'!$A$88&gt;35,BD27+BC28-BL27,IF(A28&lt;'Données projet'!$A$88,$BA$205^A28,IF(A28='Données projet'!$A$88,'Données projet'!$B$88,BD27+BC28-BL27)))</f>
        <v>142.99999999999997</v>
      </c>
      <c r="BE28" s="14">
        <f>BD28*VLOOKUP('Données projet'!$B$11,Paramètres!$A$1:$I$89,3,0)*VLOOKUP('Données projet'!$B$11,Paramètres!$A$1:$I$89,5,0)</f>
        <v>149.46359999999999</v>
      </c>
      <c r="BF28" s="14">
        <f t="shared" si="37"/>
        <v>38.45666139225672</v>
      </c>
      <c r="BG28" s="22">
        <f t="shared" si="7"/>
        <v>327.29445525818039</v>
      </c>
      <c r="BH28" s="62">
        <f t="shared" si="8"/>
        <v>620.62778859151376</v>
      </c>
      <c r="BI28" s="62">
        <f ca="1">AVERAGE(OFFSET($BH$3,0,0,'Données projet'!$E$11+1,1))-AVERAGE(OFFSET($H$3,0,0,'Données projet'!$E$11+1,1))</f>
        <v>296.94146778663753</v>
      </c>
      <c r="BJ28" s="62">
        <f t="shared" si="38"/>
        <v>333.01339464897745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14.533999999999994</v>
      </c>
      <c r="D29" s="12">
        <f t="shared" si="32"/>
        <v>4.9049613386955659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150.05514015835169</v>
      </c>
      <c r="H29" s="70">
        <f t="shared" si="1"/>
        <v>327.18952433156142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302.30714066618623</v>
      </c>
      <c r="T29" s="62">
        <f t="shared" si="34"/>
        <v>218.81984836501334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567.46322673667237</v>
      </c>
      <c r="AN29" s="62">
        <f ca="1">AVERAGE(OFFSET($AM$3,0,0,'Données projet'!$E$10+1,1))-AVERAGE(OFFSET($H$3,0,0,'Données projet'!$E$10+1,1))</f>
        <v>153.09120195408497</v>
      </c>
      <c r="AO29" s="62">
        <f t="shared" si="36"/>
        <v>312.73854442032672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11.4</v>
      </c>
      <c r="BD29" s="13">
        <f>IF('Données projet'!$A$88&gt;35,BD28+BC29-BL28,IF(A29&lt;'Données projet'!$A$88,$BA$205^A29,IF(A29='Données projet'!$A$88,'Données projet'!$B$88,BD28+BC29-BL28)))</f>
        <v>117.39999999999998</v>
      </c>
      <c r="BE29" s="14">
        <f>BD29*VLOOKUP('Données projet'!$B$11,Paramètres!$A$1:$I$89,3,0)*VLOOKUP('Données projet'!$B$11,Paramètres!$A$1:$I$89,5,0)</f>
        <v>122.70647999999998</v>
      </c>
      <c r="BF29" s="14">
        <f t="shared" si="37"/>
        <v>32.305419586028329</v>
      </c>
      <c r="BG29" s="22">
        <f t="shared" si="7"/>
        <v>269.979058445666</v>
      </c>
      <c r="BH29" s="62">
        <f t="shared" si="8"/>
        <v>563.31239177899931</v>
      </c>
      <c r="BI29" s="62">
        <f ca="1">AVERAGE(OFFSET($BH$3,0,0,'Données projet'!$E$11+1,1))-AVERAGE(OFFSET($H$3,0,0,'Données projet'!$E$11+1,1))</f>
        <v>296.94146778663753</v>
      </c>
      <c r="BJ29" s="62">
        <f t="shared" si="38"/>
        <v>333.01339464897745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15.092999999999993</v>
      </c>
      <c r="D30" s="12">
        <f t="shared" si="32"/>
        <v>5.0712866613861189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155.65414264929629</v>
      </c>
      <c r="H30" s="70">
        <f t="shared" si="1"/>
        <v>328.4527992685808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302.30714066618623</v>
      </c>
      <c r="T30" s="62">
        <f t="shared" si="34"/>
        <v>218.81984836501334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586.88192594520183</v>
      </c>
      <c r="AN30" s="62">
        <f ca="1">AVERAGE(OFFSET($AM$3,0,0,'Données projet'!$E$10+1,1))-AVERAGE(OFFSET($H$3,0,0,'Données projet'!$E$10+1,1))</f>
        <v>153.09120195408497</v>
      </c>
      <c r="AO30" s="62">
        <f t="shared" si="36"/>
        <v>312.73854442032672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11.4</v>
      </c>
      <c r="BD30" s="13">
        <f>IF('Données projet'!$A$88&gt;35,BD29+BC30-BL29,IF(A30&lt;'Données projet'!$A$88,$BA$205^A30,IF(A30='Données projet'!$A$88,'Données projet'!$B$88,BD29+BC30-BL29)))</f>
        <v>128.79999999999998</v>
      </c>
      <c r="BE30" s="14">
        <f>BD30*VLOOKUP('Données projet'!$B$11,Paramètres!$A$1:$I$89,3,0)*VLOOKUP('Données projet'!$B$11,Paramètres!$A$1:$I$89,5,0)</f>
        <v>134.62175999999999</v>
      </c>
      <c r="BF30" s="14">
        <f t="shared" si="37"/>
        <v>35.062131337194764</v>
      </c>
      <c r="BG30" s="22">
        <f t="shared" si="7"/>
        <v>295.53277741228084</v>
      </c>
      <c r="BH30" s="62">
        <f t="shared" si="8"/>
        <v>588.86611074561415</v>
      </c>
      <c r="BI30" s="62">
        <f ca="1">AVERAGE(OFFSET($BH$3,0,0,'Données projet'!$E$11+1,1))-AVERAGE(OFFSET($H$3,0,0,'Données projet'!$E$11+1,1))</f>
        <v>296.94146778663753</v>
      </c>
      <c r="BJ30" s="62">
        <f t="shared" si="38"/>
        <v>333.01339464897745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15.651999999999992</v>
      </c>
      <c r="D31" s="12">
        <f t="shared" si="32"/>
        <v>5.2368963077179389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161.24762062098054</v>
      </c>
      <c r="H31" s="70">
        <f t="shared" si="1"/>
        <v>329.71482773594204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302.30714066618623</v>
      </c>
      <c r="T31" s="62">
        <f t="shared" si="34"/>
        <v>218.81984836501334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606.27196099960997</v>
      </c>
      <c r="AN31" s="62">
        <f ca="1">AVERAGE(OFFSET($AM$3,0,0,'Données projet'!$E$10+1,1))-AVERAGE(OFFSET($H$3,0,0,'Données projet'!$E$10+1,1))</f>
        <v>153.09120195408497</v>
      </c>
      <c r="AO31" s="62">
        <f t="shared" si="36"/>
        <v>312.73854442032672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11.4</v>
      </c>
      <c r="BD31" s="13">
        <f>IF('Données projet'!$A$88&gt;35,BD30+BC31-BL30,IF(A31&lt;'Données projet'!$A$88,$BA$205^A31,IF(A31='Données projet'!$A$88,'Données projet'!$B$88,BD30+BC31-BL30)))</f>
        <v>140.19999999999999</v>
      </c>
      <c r="BE31" s="14">
        <f>BD31*VLOOKUP('Données projet'!$B$11,Paramètres!$A$1:$I$89,3,0)*VLOOKUP('Données projet'!$B$11,Paramètres!$A$1:$I$89,5,0)</f>
        <v>146.53703999999999</v>
      </c>
      <c r="BF31" s="14">
        <f t="shared" si="37"/>
        <v>37.790548942168961</v>
      </c>
      <c r="BG31" s="22">
        <f t="shared" si="7"/>
        <v>321.03721740761085</v>
      </c>
      <c r="BH31" s="62">
        <f t="shared" si="8"/>
        <v>614.37055074094417</v>
      </c>
      <c r="BI31" s="62">
        <f ca="1">AVERAGE(OFFSET($BH$3,0,0,'Données projet'!$E$11+1,1))-AVERAGE(OFFSET($H$3,0,0,'Données projet'!$E$11+1,1))</f>
        <v>296.94146778663753</v>
      </c>
      <c r="BJ31" s="62">
        <f t="shared" si="38"/>
        <v>333.01339464897745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16.210999999999991</v>
      </c>
      <c r="D32" s="12">
        <f t="shared" si="32"/>
        <v>5.4018187658151851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166.8357939817312</v>
      </c>
      <c r="H32" s="70">
        <f t="shared" si="1"/>
        <v>330.9756593504614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302.30714066618623</v>
      </c>
      <c r="T32" s="62">
        <f t="shared" si="34"/>
        <v>218.81984836501334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625.63535718975527</v>
      </c>
      <c r="AN32" s="62">
        <f ca="1">AVERAGE(OFFSET($AM$3,0,0,'Données projet'!$E$10+1,1))-AVERAGE(OFFSET($H$3,0,0,'Données projet'!$E$10+1,1))</f>
        <v>153.09120195408497</v>
      </c>
      <c r="AO32" s="62">
        <f t="shared" si="36"/>
        <v>312.73854442032672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11.4</v>
      </c>
      <c r="BD32" s="13">
        <f>IF('Données projet'!$A$88&gt;35,BD31+BC32-BL31,IF(A32&lt;'Données projet'!$A$88,$BA$205^A32,IF(A32='Données projet'!$A$88,'Données projet'!$B$88,BD31+BC32-BL31)))</f>
        <v>151.6</v>
      </c>
      <c r="BE32" s="14">
        <f>BD32*VLOOKUP('Données projet'!$B$11,Paramètres!$A$1:$I$89,3,0)*VLOOKUP('Données projet'!$B$11,Paramètres!$A$1:$I$89,5,0)</f>
        <v>158.45232000000001</v>
      </c>
      <c r="BF32" s="14">
        <f t="shared" si="37"/>
        <v>40.493234628474802</v>
      </c>
      <c r="BG32" s="22">
        <f t="shared" si="7"/>
        <v>346.49684097792692</v>
      </c>
      <c r="BH32" s="62">
        <f t="shared" si="8"/>
        <v>639.83017431126018</v>
      </c>
      <c r="BI32" s="62">
        <f ca="1">AVERAGE(OFFSET($BH$3,0,0,'Données projet'!$E$11+1,1))-AVERAGE(OFFSET($H$3,0,0,'Données projet'!$E$11+1,1))</f>
        <v>296.94146778663753</v>
      </c>
      <c r="BJ32" s="62">
        <f t="shared" si="38"/>
        <v>333.01339464897745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16.769999999999992</v>
      </c>
      <c r="D33" s="12">
        <f t="shared" si="32"/>
        <v>5.5660804476725998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172.41886661361301</v>
      </c>
      <c r="H33" s="70">
        <f t="shared" si="1"/>
        <v>332.23534011302974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302.30714066618623</v>
      </c>
      <c r="T33" s="62">
        <f t="shared" si="34"/>
        <v>218.81984836501334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0.15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153.09120195408497</v>
      </c>
      <c r="AO33" s="62">
        <f t="shared" si="36"/>
        <v>312.73854442032672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0.27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163</v>
      </c>
      <c r="BB33" s="13">
        <f>VLOOKUP(A33,'Données projet'!$A$87:$I$107,9,0)</f>
        <v>11.4</v>
      </c>
      <c r="BC33" s="13">
        <f t="array" ref="BC33">INDEX(BB:BB,MIN(IF(ISNUMBER(BB33:BB229),ROW(BB33:BB229),"")))</f>
        <v>11.4</v>
      </c>
      <c r="BD33" s="13">
        <f>IF('Données projet'!$A$88&gt;35,BD32+BC33-BL32,IF(A33&lt;'Données projet'!$A$88,$BA$205^A33,IF(A33='Données projet'!$A$88,'Données projet'!$B$88,BD32+BC33-BL32)))</f>
        <v>163</v>
      </c>
      <c r="BE33" s="14">
        <f>BD33*VLOOKUP('Données projet'!$B$11,Paramètres!$A$1:$I$89,3,0)*VLOOKUP('Données projet'!$B$11,Paramètres!$A$1:$I$89,5,0)</f>
        <v>170.36760000000001</v>
      </c>
      <c r="BF33" s="14">
        <f t="shared" si="37"/>
        <v>43.172343404023245</v>
      </c>
      <c r="BG33" s="22">
        <f t="shared" si="7"/>
        <v>371.91540142867387</v>
      </c>
      <c r="BH33" s="62">
        <f t="shared" si="8"/>
        <v>665.24873476200719</v>
      </c>
      <c r="BI33" s="62">
        <f ca="1">AVERAGE(OFFSET($BH$3,0,0,'Données projet'!$E$11+1,1))-AVERAGE(OFFSET($H$3,0,0,'Données projet'!$E$11+1,1))</f>
        <v>296.94146778663753</v>
      </c>
      <c r="BJ33" s="62">
        <f t="shared" si="38"/>
        <v>333.01339464897745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17.328999999999994</v>
      </c>
      <c r="D34" s="12">
        <f t="shared" si="32"/>
        <v>5.7297059045690339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177.99702803526966</v>
      </c>
      <c r="H34" s="70">
        <f t="shared" si="1"/>
        <v>333.49391278379102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302.30714066618623</v>
      </c>
      <c r="T34" s="62">
        <f t="shared" si="34"/>
        <v>218.81984836501334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153.09120195408497</v>
      </c>
      <c r="AO34" s="62">
        <f t="shared" si="36"/>
        <v>312.73854442032672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136.6</v>
      </c>
      <c r="BE34" s="14">
        <f>BD34*VLOOKUP('Données projet'!$B$11,Paramètres!$A$1:$I$89,3,0)*VLOOKUP('Données projet'!$B$11,Paramètres!$A$1:$I$89,5,0)</f>
        <v>142.77432000000002</v>
      </c>
      <c r="BF34" s="14">
        <f t="shared" si="37"/>
        <v>36.931835593911373</v>
      </c>
      <c r="BG34" s="22">
        <f t="shared" si="7"/>
        <v>312.98822099272894</v>
      </c>
      <c r="BH34" s="62">
        <f t="shared" si="8"/>
        <v>606.32155432606226</v>
      </c>
      <c r="BI34" s="62">
        <f ca="1">AVERAGE(OFFSET($BH$3,0,0,'Données projet'!$E$11+1,1))-AVERAGE(OFFSET($H$3,0,0,'Données projet'!$E$11+1,1))</f>
        <v>296.94146778663753</v>
      </c>
      <c r="BJ34" s="62">
        <f t="shared" si="38"/>
        <v>333.01339464897745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17.887999999999995</v>
      </c>
      <c r="D35" s="12">
        <f t="shared" si="32"/>
        <v>5.8927180139048909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183.57045484417804</v>
      </c>
      <c r="H35" s="70">
        <f t="shared" si="1"/>
        <v>334.75141720755096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302.30714066618623</v>
      </c>
      <c r="T35" s="62">
        <f t="shared" si="34"/>
        <v>218.81984836501334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153.09120195408497</v>
      </c>
      <c r="AO35" s="62">
        <f t="shared" si="36"/>
        <v>312.73854442032672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147.19999999999999</v>
      </c>
      <c r="BE35" s="14">
        <f>BD35*VLOOKUP('Données projet'!$B$11,Paramètres!$A$1:$I$89,3,0)*VLOOKUP('Données projet'!$B$11,Paramètres!$A$1:$I$89,5,0)</f>
        <v>153.85344000000001</v>
      </c>
      <c r="BF35" s="14">
        <f t="shared" si="37"/>
        <v>39.452996736271224</v>
      </c>
      <c r="BG35" s="22">
        <f t="shared" si="7"/>
        <v>336.67537731567239</v>
      </c>
      <c r="BH35" s="62">
        <f t="shared" si="8"/>
        <v>630.00871064900571</v>
      </c>
      <c r="BI35" s="62">
        <f ca="1">AVERAGE(OFFSET($BH$3,0,0,'Données projet'!$E$11+1,1))-AVERAGE(OFFSET($H$3,0,0,'Données projet'!$E$11+1,1))</f>
        <v>296.94146778663753</v>
      </c>
      <c r="BJ35" s="62">
        <f t="shared" si="38"/>
        <v>333.01339464897745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18.446999999999996</v>
      </c>
      <c r="D36" s="12">
        <f t="shared" si="32"/>
        <v>6.0551381420288193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189.13931197355578</v>
      </c>
      <c r="H36" s="70">
        <f t="shared" si="1"/>
        <v>336.00789059736684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302.30714066618623</v>
      </c>
      <c r="T36" s="62">
        <f t="shared" si="34"/>
        <v>218.81984836501334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153.09120195408497</v>
      </c>
      <c r="AO36" s="62">
        <f t="shared" si="36"/>
        <v>312.73854442032672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157.79999999999998</v>
      </c>
      <c r="BE36" s="14">
        <f>BD36*VLOOKUP('Données projet'!$B$11,Paramètres!$A$1:$I$89,3,0)*VLOOKUP('Données projet'!$B$11,Paramètres!$A$1:$I$89,5,0)</f>
        <v>164.93256</v>
      </c>
      <c r="BF36" s="14">
        <f t="shared" si="37"/>
        <v>41.953094454391525</v>
      </c>
      <c r="BG36" s="22">
        <f t="shared" si="7"/>
        <v>360.3258481747319</v>
      </c>
      <c r="BH36" s="62">
        <f t="shared" si="8"/>
        <v>653.65918150806522</v>
      </c>
      <c r="BI36" s="62">
        <f ca="1">AVERAGE(OFFSET($BH$3,0,0,'Données projet'!$E$11+1,1))-AVERAGE(OFFSET($H$3,0,0,'Données projet'!$E$11+1,1))</f>
        <v>296.94146778663753</v>
      </c>
      <c r="BJ36" s="62">
        <f t="shared" si="38"/>
        <v>333.01339464897745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19.005999999999997</v>
      </c>
      <c r="D37" s="12">
        <f t="shared" si="32"/>
        <v>6.216986286773305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194.70375379263601</v>
      </c>
      <c r="H37" s="70">
        <f t="shared" si="1"/>
        <v>337.26336778279682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302.30714066618623</v>
      </c>
      <c r="T37" s="62">
        <f t="shared" si="34"/>
        <v>218.81984836501334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153.09120195408497</v>
      </c>
      <c r="AO37" s="62">
        <f t="shared" si="36"/>
        <v>312.73854442032672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168.39999999999998</v>
      </c>
      <c r="BE37" s="14">
        <f>BD37*VLOOKUP('Données projet'!$B$11,Paramètres!$A$1:$I$89,3,0)*VLOOKUP('Données projet'!$B$11,Paramètres!$A$1:$I$89,5,0)</f>
        <v>176.01167999999998</v>
      </c>
      <c r="BF37" s="14">
        <f t="shared" si="37"/>
        <v>44.433704640372461</v>
      </c>
      <c r="BG37" s="22">
        <f t="shared" si="7"/>
        <v>383.94237824864871</v>
      </c>
      <c r="BH37" s="62">
        <f t="shared" si="8"/>
        <v>677.27571158198202</v>
      </c>
      <c r="BI37" s="62">
        <f ca="1">AVERAGE(OFFSET($BH$3,0,0,'Données projet'!$E$11+1,1))-AVERAGE(OFFSET($H$3,0,0,'Données projet'!$E$11+1,1))</f>
        <v>296.94146778663753</v>
      </c>
      <c r="BJ37" s="62">
        <f t="shared" si="38"/>
        <v>333.01339464897745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19.564999999999998</v>
      </c>
      <c r="D38" s="12">
        <f t="shared" si="32"/>
        <v>6.3782812027501414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200.26392507386075</v>
      </c>
      <c r="H38" s="70">
        <f t="shared" si="1"/>
        <v>338.51788142812313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302.30714066618623</v>
      </c>
      <c r="T38" s="62">
        <f t="shared" si="34"/>
        <v>218.81984836501334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153.09120195408497</v>
      </c>
      <c r="AO38" s="62">
        <f t="shared" si="36"/>
        <v>312.73854442032672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179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178.99999999999997</v>
      </c>
      <c r="BE38" s="14">
        <f>BD38*VLOOKUP('Données projet'!$B$11,Paramètres!$A$1:$I$89,3,0)*VLOOKUP('Données projet'!$B$11,Paramètres!$A$1:$I$89,5,0)</f>
        <v>187.0908</v>
      </c>
      <c r="BF38" s="14">
        <f t="shared" si="37"/>
        <v>46.896193582104758</v>
      </c>
      <c r="BG38" s="22">
        <f t="shared" si="7"/>
        <v>407.52734715549917</v>
      </c>
      <c r="BH38" s="62">
        <f t="shared" si="8"/>
        <v>700.86068048883249</v>
      </c>
      <c r="BI38" s="62">
        <f ca="1">AVERAGE(OFFSET($BH$3,0,0,'Données projet'!$E$11+1,1))-AVERAGE(OFFSET($H$3,0,0,'Données projet'!$E$11+1,1))</f>
        <v>296.94146778663753</v>
      </c>
      <c r="BJ38" s="62">
        <f t="shared" si="38"/>
        <v>333.01339464897745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39" s="12">
        <f t="shared" si="32"/>
        <v>6.539040511923969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205.81996184643063</v>
      </c>
      <c r="H39" s="70">
        <f t="shared" si="1"/>
        <v>339.77146222493423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302.30714066618623</v>
      </c>
      <c r="T39" s="62">
        <f t="shared" si="34"/>
        <v>218.81984836501334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153.09120195408497</v>
      </c>
      <c r="AO39" s="62">
        <f t="shared" si="36"/>
        <v>312.73854442032672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152.59999999999997</v>
      </c>
      <c r="BE39" s="14">
        <f>BD39*VLOOKUP('Données projet'!$B$11,Paramètres!$A$1:$I$89,3,0)*VLOOKUP('Données projet'!$B$11,Paramètres!$A$1:$I$89,5,0)</f>
        <v>159.49751999999998</v>
      </c>
      <c r="BF39" s="14">
        <f t="shared" si="37"/>
        <v>40.729158900674001</v>
      </c>
      <c r="BG39" s="22">
        <f t="shared" si="7"/>
        <v>348.72813241867385</v>
      </c>
      <c r="BH39" s="62">
        <f t="shared" si="8"/>
        <v>642.06146575200717</v>
      </c>
      <c r="BI39" s="62">
        <f ca="1">AVERAGE(OFFSET($BH$3,0,0,'Données projet'!$E$11+1,1))-AVERAGE(OFFSET($H$3,0,0,'Données projet'!$E$11+1,1))</f>
        <v>296.94146778663753</v>
      </c>
      <c r="BJ39" s="62">
        <f t="shared" si="38"/>
        <v>333.01339464897745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</v>
      </c>
      <c r="D40" s="12">
        <f t="shared" si="32"/>
        <v>6.6992808015544387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211.37199215235009</v>
      </c>
      <c r="H40" s="70">
        <f t="shared" si="1"/>
        <v>341.02413906270726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302.30714066618623</v>
      </c>
      <c r="T40" s="62">
        <f t="shared" si="34"/>
        <v>218.81984836501334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153.09120195408497</v>
      </c>
      <c r="AO40" s="62">
        <f t="shared" si="36"/>
        <v>312.73854442032672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162.19999999999996</v>
      </c>
      <c r="BE40" s="14">
        <f>BD40*VLOOKUP('Données projet'!$B$11,Paramètres!$A$1:$I$89,3,0)*VLOOKUP('Données projet'!$B$11,Paramètres!$A$1:$I$89,5,0)</f>
        <v>169.53143999999998</v>
      </c>
      <c r="BF40" s="14">
        <f t="shared" si="37"/>
        <v>42.985064880945743</v>
      </c>
      <c r="BG40" s="22">
        <f t="shared" si="7"/>
        <v>370.13291266764713</v>
      </c>
      <c r="BH40" s="62">
        <f t="shared" si="8"/>
        <v>663.46624600098039</v>
      </c>
      <c r="BI40" s="62">
        <f ca="1">AVERAGE(OFFSET($BH$3,0,0,'Données projet'!$E$11+1,1))-AVERAGE(OFFSET($H$3,0,0,'Données projet'!$E$11+1,1))</f>
        <v>296.94146778663753</v>
      </c>
      <c r="BJ40" s="62">
        <f t="shared" si="38"/>
        <v>333.01339464897745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21.242000000000001</v>
      </c>
      <c r="D41" s="12">
        <f t="shared" si="32"/>
        <v>6.859017711252279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216.92013671843867</v>
      </c>
      <c r="H41" s="70">
        <f t="shared" si="1"/>
        <v>342.27593918043101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302.30714066618623</v>
      </c>
      <c r="T41" s="62">
        <f t="shared" si="34"/>
        <v>218.81984836501334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153.09120195408497</v>
      </c>
      <c r="AO41" s="62">
        <f t="shared" si="36"/>
        <v>312.73854442032672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171.79999999999995</v>
      </c>
      <c r="BE41" s="14">
        <f>BD41*VLOOKUP('Données projet'!$B$11,Paramètres!$A$1:$I$89,3,0)*VLOOKUP('Données projet'!$B$11,Paramètres!$A$1:$I$89,5,0)</f>
        <v>179.56535999999997</v>
      </c>
      <c r="BF41" s="14">
        <f t="shared" si="37"/>
        <v>45.22547317259032</v>
      </c>
      <c r="BG41" s="22">
        <f t="shared" si="7"/>
        <v>391.51070110892806</v>
      </c>
      <c r="BH41" s="62">
        <f t="shared" si="8"/>
        <v>684.84403444226132</v>
      </c>
      <c r="BI41" s="62">
        <f ca="1">AVERAGE(OFFSET($BH$3,0,0,'Données projet'!$E$11+1,1))-AVERAGE(OFFSET($H$3,0,0,'Données projet'!$E$11+1,1))</f>
        <v>296.94146778663753</v>
      </c>
      <c r="BJ41" s="62">
        <f t="shared" si="38"/>
        <v>333.01339464897745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21.801000000000002</v>
      </c>
      <c r="D42" s="12">
        <f t="shared" si="32"/>
        <v>7.0182660106137922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222.46450955561525</v>
      </c>
      <c r="H42" s="70">
        <f t="shared" si="1"/>
        <v>343.52688830181899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302.30714066618623</v>
      </c>
      <c r="T42" s="62">
        <f t="shared" si="34"/>
        <v>218.81984836501334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153.09120195408497</v>
      </c>
      <c r="AO42" s="62">
        <f t="shared" si="36"/>
        <v>312.73854442032672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181.39999999999995</v>
      </c>
      <c r="BE42" s="14">
        <f>BD42*VLOOKUP('Données projet'!$B$11,Paramètres!$A$1:$I$89,3,0)*VLOOKUP('Données projet'!$B$11,Paramètres!$A$1:$I$89,5,0)</f>
        <v>189.59927999999996</v>
      </c>
      <c r="BF42" s="14">
        <f t="shared" si="37"/>
        <v>47.451348465617379</v>
      </c>
      <c r="BG42" s="22">
        <f t="shared" si="7"/>
        <v>412.86317791095013</v>
      </c>
      <c r="BH42" s="62">
        <f t="shared" si="8"/>
        <v>706.19651124428344</v>
      </c>
      <c r="BI42" s="62">
        <f ca="1">AVERAGE(OFFSET($BH$3,0,0,'Données projet'!$E$11+1,1))-AVERAGE(OFFSET($H$3,0,0,'Données projet'!$E$11+1,1))</f>
        <v>296.94146778663753</v>
      </c>
      <c r="BJ42" s="62">
        <f t="shared" si="38"/>
        <v>333.01339464897745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22.360000000000003</v>
      </c>
      <c r="D43" s="12">
        <f t="shared" si="32"/>
        <v>7.1770396686687832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228.00521849498713</v>
      </c>
      <c r="H43" s="70">
        <f t="shared" si="1"/>
        <v>344.77701075626476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302.30714066618623</v>
      </c>
      <c r="T43" s="62">
        <f t="shared" si="34"/>
        <v>218.81984836501334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153.09120195408497</v>
      </c>
      <c r="AO43" s="62">
        <f t="shared" si="36"/>
        <v>312.73854442032672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191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190.99999999999994</v>
      </c>
      <c r="BE43" s="14">
        <f>BD43*VLOOKUP('Données projet'!$B$11,Paramètres!$A$1:$I$89,3,0)*VLOOKUP('Données projet'!$B$11,Paramètres!$A$1:$I$89,5,0)</f>
        <v>199.63319999999996</v>
      </c>
      <c r="BF43" s="14">
        <f t="shared" si="37"/>
        <v>49.663547577057855</v>
      </c>
      <c r="BG43" s="22">
        <f t="shared" si="7"/>
        <v>434.19183536337567</v>
      </c>
      <c r="BH43" s="62">
        <f t="shared" si="8"/>
        <v>727.52516869670899</v>
      </c>
      <c r="BI43" s="62">
        <f ca="1">AVERAGE(OFFSET($BH$3,0,0,'Données projet'!$E$11+1,1))-AVERAGE(OFFSET($H$3,0,0,'Données projet'!$E$11+1,1))</f>
        <v>296.94146778663753</v>
      </c>
      <c r="BJ43" s="62">
        <f t="shared" si="38"/>
        <v>333.01339464897745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22.919000000000004</v>
      </c>
      <c r="D44" s="12">
        <f t="shared" si="32"/>
        <v>7.3353519161881984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233.54236566882119</v>
      </c>
      <c r="H44" s="70">
        <f t="shared" si="1"/>
        <v>346.02632958736109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302.30714066618623</v>
      </c>
      <c r="T44" s="62">
        <f t="shared" si="34"/>
        <v>218.81984836501334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153.09120195408497</v>
      </c>
      <c r="AO44" s="62">
        <f t="shared" si="36"/>
        <v>312.73854442032672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8.6</v>
      </c>
      <c r="BD44" s="13">
        <f>IF('Données projet'!$A$88&gt;35,BD43+BC44-BL43,IF(A44&lt;'Données projet'!$A$88,$BA$205^A44,IF(A44='Données projet'!$A$88,'Données projet'!$B$88,BD43+BC44-BL43)))</f>
        <v>166.59999999999994</v>
      </c>
      <c r="BE44" s="14">
        <f>BD44*VLOOKUP('Données projet'!$B$11,Paramètres!$A$1:$I$89,3,0)*VLOOKUP('Données projet'!$B$11,Paramètres!$A$1:$I$89,5,0)</f>
        <v>174.13031999999995</v>
      </c>
      <c r="BF44" s="14">
        <f t="shared" si="37"/>
        <v>44.013781492418865</v>
      </c>
      <c r="BG44" s="22">
        <f t="shared" si="7"/>
        <v>379.93431009929617</v>
      </c>
      <c r="BH44" s="62">
        <f t="shared" si="8"/>
        <v>673.26764343262948</v>
      </c>
      <c r="BI44" s="62">
        <f ca="1">AVERAGE(OFFSET($BH$3,0,0,'Données projet'!$E$11+1,1))-AVERAGE(OFFSET($H$3,0,0,'Données projet'!$E$11+1,1))</f>
        <v>296.94146778663753</v>
      </c>
      <c r="BJ44" s="62">
        <f t="shared" si="38"/>
        <v>333.01339464897745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23.478000000000005</v>
      </c>
      <c r="D45" s="12">
        <f t="shared" si="32"/>
        <v>7.4932153017418228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239.07604794327025</v>
      </c>
      <c r="H45" s="70">
        <f t="shared" si="1"/>
        <v>347.27486665053368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302.30714066618623</v>
      </c>
      <c r="T45" s="62">
        <f t="shared" si="34"/>
        <v>218.81984836501334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153.09120195408497</v>
      </c>
      <c r="AO45" s="62">
        <f t="shared" si="36"/>
        <v>312.73854442032672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8.6</v>
      </c>
      <c r="BD45" s="13">
        <f>IF('Données projet'!$A$88&gt;35,BD44+BC45-BL44,IF(A45&lt;'Données projet'!$A$88,$BA$205^A45,IF(A45='Données projet'!$A$88,'Données projet'!$B$88,BD44+BC45-BL44)))</f>
        <v>175.19999999999993</v>
      </c>
      <c r="BE45" s="14">
        <f>BD45*VLOOKUP('Données projet'!$B$11,Paramètres!$A$1:$I$89,3,0)*VLOOKUP('Données projet'!$B$11,Paramètres!$A$1:$I$89,5,0)</f>
        <v>183.11903999999993</v>
      </c>
      <c r="BF45" s="14">
        <f t="shared" si="37"/>
        <v>46.015419753284419</v>
      </c>
      <c r="BG45" s="22">
        <f t="shared" si="7"/>
        <v>399.07585073697027</v>
      </c>
      <c r="BH45" s="62">
        <f t="shared" si="8"/>
        <v>692.40918407030358</v>
      </c>
      <c r="BI45" s="62">
        <f ca="1">AVERAGE(OFFSET($BH$3,0,0,'Données projet'!$E$11+1,1))-AVERAGE(OFFSET($H$3,0,0,'Données projet'!$E$11+1,1))</f>
        <v>296.94146778663753</v>
      </c>
      <c r="BJ45" s="62">
        <f t="shared" si="38"/>
        <v>333.01339464897745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24.037000000000006</v>
      </c>
      <c r="D46" s="12">
        <f t="shared" si="32"/>
        <v>7.6506417422667603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244.60635730872593</v>
      </c>
      <c r="H46" s="70">
        <f t="shared" si="1"/>
        <v>348.52264270111459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302.30714066618623</v>
      </c>
      <c r="T46" s="62">
        <f t="shared" si="34"/>
        <v>218.81984836501334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153.09120195408497</v>
      </c>
      <c r="AO46" s="62">
        <f t="shared" si="36"/>
        <v>312.73854442032672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8.6</v>
      </c>
      <c r="BD46" s="13">
        <f>IF('Données projet'!$A$88&gt;35,BD45+BC46-BL45,IF(A46&lt;'Données projet'!$A$88,$BA$205^A46,IF(A46='Données projet'!$A$88,'Données projet'!$B$88,BD45+BC46-BL45)))</f>
        <v>183.79999999999993</v>
      </c>
      <c r="BE46" s="14">
        <f>BD46*VLOOKUP('Données projet'!$B$11,Paramètres!$A$1:$I$89,3,0)*VLOOKUP('Données projet'!$B$11,Paramètres!$A$1:$I$89,5,0)</f>
        <v>192.10775999999993</v>
      </c>
      <c r="BF46" s="14">
        <f t="shared" si="37"/>
        <v>48.005649029996185</v>
      </c>
      <c r="BG46" s="22">
        <f t="shared" si="7"/>
        <v>418.19752072724322</v>
      </c>
      <c r="BH46" s="62">
        <f t="shared" si="8"/>
        <v>711.53085406057653</v>
      </c>
      <c r="BI46" s="62">
        <f ca="1">AVERAGE(OFFSET($BH$3,0,0,'Données projet'!$E$11+1,1))-AVERAGE(OFFSET($H$3,0,0,'Données projet'!$E$11+1,1))</f>
        <v>296.94146778663753</v>
      </c>
      <c r="BJ46" s="62">
        <f t="shared" si="38"/>
        <v>333.01339464897745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24.596000000000007</v>
      </c>
      <c r="D47" s="12">
        <f t="shared" si="32"/>
        <v>7.8076425687993289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250.13338123283697</v>
      </c>
      <c r="H47" s="70">
        <f t="shared" si="1"/>
        <v>349.76967747399215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302.30714066618623</v>
      </c>
      <c r="T47" s="62">
        <f t="shared" si="34"/>
        <v>218.81984836501334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153.09120195408497</v>
      </c>
      <c r="AO47" s="62">
        <f t="shared" si="36"/>
        <v>312.73854442032672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8.6</v>
      </c>
      <c r="BD47" s="13">
        <f>IF('Données projet'!$A$88&gt;35,BD46+BC47-BL46,IF(A47&lt;'Données projet'!$A$88,$BA$205^A47,IF(A47='Données projet'!$A$88,'Données projet'!$B$88,BD46+BC47-BL46)))</f>
        <v>192.39999999999992</v>
      </c>
      <c r="BE47" s="14">
        <f>BD47*VLOOKUP('Données projet'!$B$11,Paramètres!$A$1:$I$89,3,0)*VLOOKUP('Données projet'!$B$11,Paramètres!$A$1:$I$89,5,0)</f>
        <v>201.09647999999993</v>
      </c>
      <c r="BF47" s="14">
        <f t="shared" si="37"/>
        <v>49.985064109987178</v>
      </c>
      <c r="BG47" s="22">
        <f t="shared" si="7"/>
        <v>437.30035599156082</v>
      </c>
      <c r="BH47" s="62">
        <f t="shared" si="8"/>
        <v>730.63368932489414</v>
      </c>
      <c r="BI47" s="62">
        <f ca="1">AVERAGE(OFFSET($BH$3,0,0,'Données projet'!$E$11+1,1))-AVERAGE(OFFSET($H$3,0,0,'Données projet'!$E$11+1,1))</f>
        <v>296.94146778663753</v>
      </c>
      <c r="BJ47" s="62">
        <f t="shared" si="38"/>
        <v>333.01339464897745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25.155000000000008</v>
      </c>
      <c r="D48" s="12">
        <f t="shared" si="32"/>
        <v>7.9642285679322873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255.65720298053</v>
      </c>
      <c r="H48" s="70">
        <f t="shared" si="1"/>
        <v>351.01598975581538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302.30714066618623</v>
      </c>
      <c r="T48" s="62">
        <f t="shared" si="34"/>
        <v>218.81984836501334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153.09120195408497</v>
      </c>
      <c r="AO48" s="62">
        <f t="shared" si="36"/>
        <v>312.73854442032672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201</v>
      </c>
      <c r="BB48" s="13">
        <f>VLOOKUP(A48,'Données projet'!$A$87:$I$107,9,0)</f>
        <v>8.6</v>
      </c>
      <c r="BC48" s="13">
        <f t="array" ref="BC48">INDEX(BB:BB,MIN(IF(ISNUMBER(BB48:BB244),ROW(BB48:BB244),"")))</f>
        <v>8.6</v>
      </c>
      <c r="BD48" s="13">
        <f>IF('Données projet'!$A$88&gt;35,BD47+BC48-BL47,IF(A48&lt;'Données projet'!$A$88,$BA$205^A48,IF(A48='Données projet'!$A$88,'Données projet'!$B$88,BD47+BC48-BL47)))</f>
        <v>200.99999999999991</v>
      </c>
      <c r="BE48" s="14">
        <f>BD48*VLOOKUP('Données projet'!$B$11,Paramètres!$A$1:$I$89,3,0)*VLOOKUP('Données projet'!$B$11,Paramètres!$A$1:$I$89,5,0)</f>
        <v>210.08519999999993</v>
      </c>
      <c r="BF48" s="14">
        <f t="shared" si="37"/>
        <v>51.954203602341089</v>
      </c>
      <c r="BG48" s="22">
        <f t="shared" si="7"/>
        <v>456.38529460741051</v>
      </c>
      <c r="BH48" s="62">
        <f t="shared" si="8"/>
        <v>749.71862794074377</v>
      </c>
      <c r="BI48" s="62">
        <f ca="1">AVERAGE(OFFSET($BH$3,0,0,'Données projet'!$E$11+1,1))-AVERAGE(OFFSET($H$3,0,0,'Données projet'!$E$11+1,1))</f>
        <v>296.94146778663753</v>
      </c>
      <c r="BJ48" s="62">
        <f t="shared" si="38"/>
        <v>333.01339464897745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25.714000000000009</v>
      </c>
      <c r="D49" s="12">
        <f t="shared" si="32"/>
        <v>8.1204100194831259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261.17790190478212</v>
      </c>
      <c r="H49" s="70">
        <f t="shared" si="1"/>
        <v>352.26159745059977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302.30714066618623</v>
      </c>
      <c r="T49" s="62">
        <f t="shared" si="34"/>
        <v>218.81984836501334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153.09120195408497</v>
      </c>
      <c r="AO49" s="62">
        <f t="shared" si="36"/>
        <v>312.73854442032672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7.8</v>
      </c>
      <c r="BD49" s="13">
        <f>IF('Données projet'!$A$88&gt;35,BD48+BC49-BL48,IF(A49&lt;'Données projet'!$A$88,$BA$205^A49,IF(A49='Données projet'!$A$88,'Données projet'!$B$88,BD48+BC49-BL48)))</f>
        <v>177.79999999999993</v>
      </c>
      <c r="BE49" s="14">
        <f>BD49*VLOOKUP('Données projet'!$B$11,Paramètres!$A$1:$I$89,3,0)*VLOOKUP('Données projet'!$B$11,Paramètres!$A$1:$I$89,5,0)</f>
        <v>185.83655999999993</v>
      </c>
      <c r="BF49" s="14">
        <f t="shared" si="37"/>
        <v>46.618291785316778</v>
      </c>
      <c r="BG49" s="22">
        <f t="shared" si="7"/>
        <v>404.8588668594266</v>
      </c>
      <c r="BH49" s="62">
        <f t="shared" si="8"/>
        <v>698.19220019275986</v>
      </c>
      <c r="BI49" s="62">
        <f ca="1">AVERAGE(OFFSET($BH$3,0,0,'Données projet'!$E$11+1,1))-AVERAGE(OFFSET($H$3,0,0,'Données projet'!$E$11+1,1))</f>
        <v>296.94146778663753</v>
      </c>
      <c r="BJ49" s="62">
        <f t="shared" si="38"/>
        <v>333.01339464897745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26.27300000000001</v>
      </c>
      <c r="D50" s="12">
        <f t="shared" si="32"/>
        <v>8.2761967307944264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266.69555371139563</v>
      </c>
      <c r="H50" s="70">
        <f t="shared" si="1"/>
        <v>353.50651763946695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302.30714066618623</v>
      </c>
      <c r="T50" s="62">
        <f t="shared" si="34"/>
        <v>218.81984836501334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153.09120195408497</v>
      </c>
      <c r="AO50" s="62">
        <f t="shared" si="36"/>
        <v>312.73854442032672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7.8</v>
      </c>
      <c r="BD50" s="13">
        <f>IF('Données projet'!$A$88&gt;35,BD49+BC50-BL49,IF(A50&lt;'Données projet'!$A$88,$BA$205^A50,IF(A50='Données projet'!$A$88,'Données projet'!$B$88,BD49+BC50-BL49)))</f>
        <v>185.59999999999994</v>
      </c>
      <c r="BE50" s="14">
        <f>BD50*VLOOKUP('Données projet'!$B$11,Paramètres!$A$1:$I$89,3,0)*VLOOKUP('Données projet'!$B$11,Paramètres!$A$1:$I$89,5,0)</f>
        <v>193.98911999999996</v>
      </c>
      <c r="BF50" s="14">
        <f t="shared" si="37"/>
        <v>48.420821305775434</v>
      </c>
      <c r="BG50" s="22">
        <f t="shared" si="7"/>
        <v>422.19731444089211</v>
      </c>
      <c r="BH50" s="62">
        <f t="shared" si="8"/>
        <v>715.53064777422537</v>
      </c>
      <c r="BI50" s="62">
        <f ca="1">AVERAGE(OFFSET($BH$3,0,0,'Données projet'!$E$11+1,1))-AVERAGE(OFFSET($H$3,0,0,'Données projet'!$E$11+1,1))</f>
        <v>296.94146778663753</v>
      </c>
      <c r="BJ50" s="62">
        <f t="shared" si="38"/>
        <v>333.01339464897745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26.832000000000011</v>
      </c>
      <c r="D51" s="12">
        <f t="shared" si="32"/>
        <v>8.4315980680326348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272.21023070060295</v>
      </c>
      <c r="H51" s="70">
        <f t="shared" si="1"/>
        <v>354.75076663515682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302.30714066618623</v>
      </c>
      <c r="T51" s="62">
        <f t="shared" si="34"/>
        <v>218.81984836501334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153.09120195408497</v>
      </c>
      <c r="AO51" s="62">
        <f t="shared" si="36"/>
        <v>312.73854442032672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7.8</v>
      </c>
      <c r="BD51" s="13">
        <f>IF('Données projet'!$A$88&gt;35,BD50+BC51-BL50,IF(A51&lt;'Données projet'!$A$88,$BA$205^A51,IF(A51='Données projet'!$A$88,'Données projet'!$B$88,BD50+BC51-BL50)))</f>
        <v>193.39999999999995</v>
      </c>
      <c r="BE51" s="14">
        <f>BD51*VLOOKUP('Données projet'!$B$11,Paramètres!$A$1:$I$89,3,0)*VLOOKUP('Données projet'!$B$11,Paramètres!$A$1:$I$89,5,0)</f>
        <v>202.14167999999998</v>
      </c>
      <c r="BF51" s="14">
        <f t="shared" si="37"/>
        <v>50.214551990389438</v>
      </c>
      <c r="BG51" s="22">
        <f t="shared" si="7"/>
        <v>439.52043738326148</v>
      </c>
      <c r="BH51" s="62">
        <f t="shared" si="8"/>
        <v>732.85377071659479</v>
      </c>
      <c r="BI51" s="62">
        <f ca="1">AVERAGE(OFFSET($BH$3,0,0,'Données projet'!$E$11+1,1))-AVERAGE(OFFSET($H$3,0,0,'Données projet'!$E$11+1,1))</f>
        <v>296.94146778663753</v>
      </c>
      <c r="BJ51" s="62">
        <f t="shared" si="38"/>
        <v>333.01339464897745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27.391000000000012</v>
      </c>
      <c r="D52" s="12">
        <f t="shared" si="32"/>
        <v>8.586622984805059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277.72200198796901</v>
      </c>
      <c r="H52" s="70">
        <f t="shared" si="1"/>
        <v>355.99436003186884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302.30714066618623</v>
      </c>
      <c r="T52" s="62">
        <f t="shared" si="34"/>
        <v>218.81984836501334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153.09120195408497</v>
      </c>
      <c r="AO52" s="62">
        <f t="shared" si="36"/>
        <v>312.73854442032672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7.8</v>
      </c>
      <c r="BD52" s="13">
        <f>IF('Données projet'!$A$88&gt;35,BD51+BC52-BL51,IF(A52&lt;'Données projet'!$A$88,$BA$205^A52,IF(A52='Données projet'!$A$88,'Données projet'!$B$88,BD51+BC52-BL51)))</f>
        <v>201.19999999999996</v>
      </c>
      <c r="BE52" s="14">
        <f>BD52*VLOOKUP('Données projet'!$B$11,Paramètres!$A$1:$I$89,3,0)*VLOOKUP('Données projet'!$B$11,Paramètres!$A$1:$I$89,5,0)</f>
        <v>210.29423999999997</v>
      </c>
      <c r="BF52" s="14">
        <f t="shared" si="37"/>
        <v>51.999879300656886</v>
      </c>
      <c r="BG52" s="22">
        <f t="shared" si="7"/>
        <v>456.82892444864393</v>
      </c>
      <c r="BH52" s="62">
        <f t="shared" si="8"/>
        <v>750.16225778197725</v>
      </c>
      <c r="BI52" s="62">
        <f ca="1">AVERAGE(OFFSET($BH$3,0,0,'Données projet'!$E$11+1,1))-AVERAGE(OFFSET($H$3,0,0,'Données projet'!$E$11+1,1))</f>
        <v>296.94146778663753</v>
      </c>
      <c r="BJ52" s="62">
        <f t="shared" si="38"/>
        <v>333.01339464897745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27.950000000000014</v>
      </c>
      <c r="D53" s="12">
        <f t="shared" si="32"/>
        <v>8.7412800483747457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283.23093370675252</v>
      </c>
      <c r="H53" s="70">
        <f t="shared" si="1"/>
        <v>357.23731275091933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302.30714066618623</v>
      </c>
      <c r="T53" s="62">
        <f t="shared" si="34"/>
        <v>218.81984836501334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153.09120195408497</v>
      </c>
      <c r="AO53" s="62">
        <f t="shared" si="36"/>
        <v>312.73854442032672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209</v>
      </c>
      <c r="BB53" s="13">
        <f>VLOOKUP(A53,'Données projet'!$A$87:$I$107,9,0)</f>
        <v>7.8</v>
      </c>
      <c r="BC53" s="13">
        <f t="array" ref="BC53">INDEX(BB:BB,MIN(IF(ISNUMBER(BB53:BB249),ROW(BB53:BB249),"")))</f>
        <v>7.8</v>
      </c>
      <c r="BD53" s="13">
        <f>IF('Données projet'!$A$88&gt;35,BD52+BC53-BL52,IF(A53&lt;'Données projet'!$A$88,$BA$205^A53,IF(A53='Données projet'!$A$88,'Données projet'!$B$88,BD52+BC53-BL52)))</f>
        <v>208.99999999999997</v>
      </c>
      <c r="BE53" s="14">
        <f>BD53*VLOOKUP('Données projet'!$B$11,Paramètres!$A$1:$I$89,3,0)*VLOOKUP('Données projet'!$B$11,Paramètres!$A$1:$I$89,5,0)</f>
        <v>218.4468</v>
      </c>
      <c r="BF53" s="14">
        <f t="shared" si="37"/>
        <v>53.777166299799823</v>
      </c>
      <c r="BG53" s="22">
        <f t="shared" si="7"/>
        <v>474.12340797215137</v>
      </c>
      <c r="BH53" s="62">
        <f t="shared" si="8"/>
        <v>767.45674130548468</v>
      </c>
      <c r="BI53" s="62">
        <f ca="1">AVERAGE(OFFSET($BH$3,0,0,'Données projet'!$E$11+1,1))-AVERAGE(OFFSET($H$3,0,0,'Données projet'!$E$11+1,1))</f>
        <v>296.94146778663753</v>
      </c>
      <c r="BJ53" s="62">
        <f t="shared" si="38"/>
        <v>333.01339464897745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28.509000000000015</v>
      </c>
      <c r="D54" s="12">
        <f t="shared" si="32"/>
        <v>8.8955774637189755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288.73708919362031</v>
      </c>
      <c r="H54" s="70">
        <f t="shared" si="1"/>
        <v>358.47963908264387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302.30714066618623</v>
      </c>
      <c r="T54" s="62">
        <f t="shared" si="34"/>
        <v>218.81984836501334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153.09120195408497</v>
      </c>
      <c r="AO54" s="62">
        <f t="shared" si="36"/>
        <v>312.73854442032672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6.8</v>
      </c>
      <c r="BD54" s="13">
        <f>IF('Données projet'!$A$88&gt;35,BD53+BC54-BL53,IF(A54&lt;'Données projet'!$A$88,$BA$205^A54,IF(A54='Données projet'!$A$88,'Données projet'!$B$88,BD53+BC54-BL53)))</f>
        <v>187.79999999999998</v>
      </c>
      <c r="BE54" s="14">
        <f>BD54*VLOOKUP('Données projet'!$B$11,Paramètres!$A$1:$I$89,3,0)*VLOOKUP('Données projet'!$B$11,Paramètres!$A$1:$I$89,5,0)</f>
        <v>196.28855999999999</v>
      </c>
      <c r="BF54" s="14">
        <f t="shared" si="37"/>
        <v>48.927618464681274</v>
      </c>
      <c r="BG54" s="22">
        <f t="shared" si="7"/>
        <v>427.08484415931986</v>
      </c>
      <c r="BH54" s="62">
        <f t="shared" si="8"/>
        <v>720.41817749265317</v>
      </c>
      <c r="BI54" s="62">
        <f ca="1">AVERAGE(OFFSET($BH$3,0,0,'Données projet'!$E$11+1,1))-AVERAGE(OFFSET($H$3,0,0,'Données projet'!$E$11+1,1))</f>
        <v>296.94146778663753</v>
      </c>
      <c r="BJ54" s="62">
        <f t="shared" si="38"/>
        <v>333.01339464897745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29.068000000000016</v>
      </c>
      <c r="D55" s="12">
        <f t="shared" si="32"/>
        <v>9.0495230956474586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294.24052915938398</v>
      </c>
      <c r="H55" s="70">
        <f t="shared" si="1"/>
        <v>359.72135272491931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302.30714066618623</v>
      </c>
      <c r="T55" s="62">
        <f t="shared" si="34"/>
        <v>218.81984836501334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153.09120195408497</v>
      </c>
      <c r="AO55" s="62">
        <f t="shared" si="36"/>
        <v>312.73854442032672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6.8</v>
      </c>
      <c r="BD55" s="13">
        <f>IF('Données projet'!$A$88&gt;35,BD54+BC55-BL54,IF(A55&lt;'Données projet'!$A$88,$BA$205^A55,IF(A55='Données projet'!$A$88,'Données projet'!$B$88,BD54+BC55-BL54)))</f>
        <v>194.6</v>
      </c>
      <c r="BE55" s="14">
        <f>BD55*VLOOKUP('Données projet'!$B$11,Paramètres!$A$1:$I$89,3,0)*VLOOKUP('Données projet'!$B$11,Paramètres!$A$1:$I$89,5,0)</f>
        <v>203.39592000000002</v>
      </c>
      <c r="BF55" s="14">
        <f t="shared" si="37"/>
        <v>50.489755252507052</v>
      </c>
      <c r="BG55" s="22">
        <f t="shared" si="7"/>
        <v>442.18421773144979</v>
      </c>
      <c r="BH55" s="62">
        <f t="shared" si="8"/>
        <v>735.51755106478311</v>
      </c>
      <c r="BI55" s="62">
        <f ca="1">AVERAGE(OFFSET($BH$3,0,0,'Données projet'!$E$11+1,1))-AVERAGE(OFFSET($H$3,0,0,'Données projet'!$E$11+1,1))</f>
        <v>296.94146778663753</v>
      </c>
      <c r="BJ55" s="62">
        <f t="shared" si="38"/>
        <v>333.01339464897745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29.627000000000017</v>
      </c>
      <c r="D56" s="12">
        <f t="shared" si="32"/>
        <v>9.2031244891710831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299.74131184623303</v>
      </c>
      <c r="H56" s="70">
        <f t="shared" si="1"/>
        <v>360.96246681863965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302.30714066618623</v>
      </c>
      <c r="T56" s="62">
        <f t="shared" si="34"/>
        <v>218.81984836501334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153.09120195408497</v>
      </c>
      <c r="AO56" s="62">
        <f t="shared" si="36"/>
        <v>312.73854442032672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6.8</v>
      </c>
      <c r="BD56" s="13">
        <f>IF('Données projet'!$A$88&gt;35,BD55+BC56-BL55,IF(A56&lt;'Données projet'!$A$88,$BA$205^A56,IF(A56='Données projet'!$A$88,'Données projet'!$B$88,BD55+BC56-BL55)))</f>
        <v>201.4</v>
      </c>
      <c r="BE56" s="14">
        <f>BD56*VLOOKUP('Données projet'!$B$11,Paramètres!$A$1:$I$89,3,0)*VLOOKUP('Données projet'!$B$11,Paramètres!$A$1:$I$89,5,0)</f>
        <v>210.50328000000005</v>
      </c>
      <c r="BF56" s="14">
        <f t="shared" si="37"/>
        <v>52.045549714335849</v>
      </c>
      <c r="BG56" s="22">
        <f t="shared" si="7"/>
        <v>457.27254508580171</v>
      </c>
      <c r="BH56" s="62">
        <f t="shared" si="8"/>
        <v>750.60587841913502</v>
      </c>
      <c r="BI56" s="62">
        <f ca="1">AVERAGE(OFFSET($BH$3,0,0,'Données projet'!$E$11+1,1))-AVERAGE(OFFSET($H$3,0,0,'Données projet'!$E$11+1,1))</f>
        <v>296.94146778663753</v>
      </c>
      <c r="BJ56" s="62">
        <f t="shared" si="38"/>
        <v>333.01339464897745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30.186000000000018</v>
      </c>
      <c r="D57" s="12">
        <f t="shared" si="32"/>
        <v>9.3563888882898691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305.23949317276401</v>
      </c>
      <c r="H57" s="70">
        <f t="shared" si="1"/>
        <v>362.20299398043818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302.30714066618623</v>
      </c>
      <c r="T57" s="62">
        <f t="shared" si="34"/>
        <v>218.81984836501334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153.09120195408497</v>
      </c>
      <c r="AO57" s="62">
        <f t="shared" si="36"/>
        <v>312.73854442032672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6.8</v>
      </c>
      <c r="BD57" s="13">
        <f>IF('Données projet'!$A$88&gt;35,BD56+BC57-BL56,IF(A57&lt;'Données projet'!$A$88,$BA$205^A57,IF(A57='Données projet'!$A$88,'Données projet'!$B$88,BD56+BC57-BL56)))</f>
        <v>208.20000000000002</v>
      </c>
      <c r="BE57" s="14">
        <f>BD57*VLOOKUP('Données projet'!$B$11,Paramètres!$A$1:$I$89,3,0)*VLOOKUP('Données projet'!$B$11,Paramètres!$A$1:$I$89,5,0)</f>
        <v>217.61064000000005</v>
      </c>
      <c r="BF57" s="14">
        <f t="shared" si="37"/>
        <v>53.595240539151249</v>
      </c>
      <c r="BG57" s="22">
        <f t="shared" si="7"/>
        <v>472.35024193902177</v>
      </c>
      <c r="BH57" s="62">
        <f t="shared" si="8"/>
        <v>765.68357527235503</v>
      </c>
      <c r="BI57" s="62">
        <f ca="1">AVERAGE(OFFSET($BH$3,0,0,'Données projet'!$E$11+1,1))-AVERAGE(OFFSET($H$3,0,0,'Données projet'!$E$11+1,1))</f>
        <v>296.94146778663753</v>
      </c>
      <c r="BJ57" s="62">
        <f t="shared" si="38"/>
        <v>333.01339464897745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30.745000000000019</v>
      </c>
      <c r="D58" s="12">
        <f t="shared" si="32"/>
        <v>9.5093232533499261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310.73512686796454</v>
      </c>
      <c r="H58" s="70">
        <f t="shared" si="1"/>
        <v>363.44294633291781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302.30714066618623</v>
      </c>
      <c r="T58" s="62">
        <f t="shared" si="34"/>
        <v>218.81984836501334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153.09120195408497</v>
      </c>
      <c r="AO58" s="62">
        <f t="shared" si="36"/>
        <v>312.73854442032672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</v>
      </c>
      <c r="BB58" s="13">
        <f>VLOOKUP(A58,'Données projet'!$A$87:$I$107,9,0)</f>
        <v>6.8</v>
      </c>
      <c r="BC58" s="13">
        <f t="array" ref="BC58">INDEX(BB:BB,MIN(IF(ISNUMBER(BB58:BB254),ROW(BB58:BB254),"")))</f>
        <v>6.8</v>
      </c>
      <c r="BD58" s="13">
        <f>IF('Données projet'!$A$88&gt;35,BD57+BC58-BL57,IF(A58&lt;'Données projet'!$A$88,$BA$205^A58,IF(A58='Données projet'!$A$88,'Données projet'!$B$88,BD57+BC58-BL57)))</f>
        <v>215.00000000000003</v>
      </c>
      <c r="BE58" s="14">
        <f>BD58*VLOOKUP('Données projet'!$B$11,Paramètres!$A$1:$I$89,3,0)*VLOOKUP('Données projet'!$B$11,Paramètres!$A$1:$I$89,5,0)</f>
        <v>224.71800000000007</v>
      </c>
      <c r="BF58" s="14">
        <f t="shared" si="37"/>
        <v>55.13904993933199</v>
      </c>
      <c r="BG58" s="22">
        <f t="shared" si="7"/>
        <v>487.41769531100323</v>
      </c>
      <c r="BH58" s="62">
        <f t="shared" si="8"/>
        <v>780.75102864433654</v>
      </c>
      <c r="BI58" s="62">
        <f ca="1">AVERAGE(OFFSET($BH$3,0,0,'Données projet'!$E$11+1,1))-AVERAGE(OFFSET($H$3,0,0,'Données projet'!$E$11+1,1))</f>
        <v>296.94146778663753</v>
      </c>
      <c r="BJ58" s="62">
        <f t="shared" si="38"/>
        <v>333.01339464897745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31.30400000000002</v>
      </c>
      <c r="D59" s="12">
        <f t="shared" si="32"/>
        <v>9.6619342771023238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316.22826459517597</v>
      </c>
      <c r="H59" s="70">
        <f t="shared" si="1"/>
        <v>364.6823355326199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302.30714066618623</v>
      </c>
      <c r="T59" s="62">
        <f t="shared" si="34"/>
        <v>218.81984836501334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153.09120195408497</v>
      </c>
      <c r="AO59" s="62">
        <f t="shared" si="36"/>
        <v>312.73854442032672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</v>
      </c>
      <c r="BD59" s="13">
        <f>IF('Données projet'!$A$88&gt;35,BD58+BC59-BL58,IF(A59&lt;'Données projet'!$A$88,$BA$205^A59,IF(A59='Données projet'!$A$88,'Données projet'!$B$88,BD58+BC59-BL58)))</f>
        <v>196.00000000000003</v>
      </c>
      <c r="BE59" s="14">
        <f>BD59*VLOOKUP('Données projet'!$B$11,Paramètres!$A$1:$I$89,3,0)*VLOOKUP('Données projet'!$B$11,Paramètres!$A$1:$I$89,5,0)</f>
        <v>204.85920000000004</v>
      </c>
      <c r="BF59" s="14">
        <f t="shared" si="37"/>
        <v>50.810576245160128</v>
      </c>
      <c r="BG59" s="22">
        <f t="shared" si="7"/>
        <v>445.2915269603206</v>
      </c>
      <c r="BH59" s="62">
        <f t="shared" si="8"/>
        <v>738.62486029365391</v>
      </c>
      <c r="BI59" s="62">
        <f ca="1">AVERAGE(OFFSET($BH$3,0,0,'Données projet'!$E$11+1,1))-AVERAGE(OFFSET($H$3,0,0,'Données projet'!$E$11+1,1))</f>
        <v>296.94146778663753</v>
      </c>
      <c r="BJ59" s="62">
        <f t="shared" si="38"/>
        <v>333.01339464897745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31.863000000000021</v>
      </c>
      <c r="D60" s="12">
        <f t="shared" si="32"/>
        <v>9.814228399582424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321.71895606695222</v>
      </c>
      <c r="H60" s="70">
        <f t="shared" si="1"/>
        <v>365.92117279593941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302.30714066618623</v>
      </c>
      <c r="T60" s="62">
        <f t="shared" si="34"/>
        <v>218.81984836501334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153.09120195408497</v>
      </c>
      <c r="AO60" s="62">
        <f t="shared" si="36"/>
        <v>312.73854442032672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</v>
      </c>
      <c r="BD60" s="13">
        <f>IF('Données projet'!$A$88&gt;35,BD59+BC60-BL59,IF(A60&lt;'Données projet'!$A$88,$BA$205^A60,IF(A60='Données projet'!$A$88,'Données projet'!$B$88,BD59+BC60-BL59)))</f>
        <v>202.00000000000003</v>
      </c>
      <c r="BE60" s="14">
        <f>BD60*VLOOKUP('Données projet'!$B$11,Paramètres!$A$1:$I$89,3,0)*VLOOKUP('Données projet'!$B$11,Paramètres!$A$1:$I$89,5,0)</f>
        <v>211.13040000000007</v>
      </c>
      <c r="BF60" s="14">
        <f t="shared" si="37"/>
        <v>52.182529306074585</v>
      </c>
      <c r="BG60" s="22">
        <f t="shared" si="7"/>
        <v>458.60335187474658</v>
      </c>
      <c r="BH60" s="62">
        <f t="shared" si="8"/>
        <v>751.93668520807989</v>
      </c>
      <c r="BI60" s="62">
        <f ca="1">AVERAGE(OFFSET($BH$3,0,0,'Données projet'!$E$11+1,1))-AVERAGE(OFFSET($H$3,0,0,'Données projet'!$E$11+1,1))</f>
        <v>296.94146778663753</v>
      </c>
      <c r="BJ60" s="62">
        <f t="shared" si="38"/>
        <v>333.01339464897745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32.422000000000018</v>
      </c>
      <c r="D61" s="12">
        <f t="shared" si="32"/>
        <v>9.9662118219155289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327.20724915162879</v>
      </c>
      <c r="H61" s="70">
        <f t="shared" si="1"/>
        <v>367.15946892316958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302.30714066618623</v>
      </c>
      <c r="T61" s="62">
        <f t="shared" si="34"/>
        <v>218.81984836501334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153.09120195408497</v>
      </c>
      <c r="AO61" s="62">
        <f t="shared" si="36"/>
        <v>312.73854442032672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</v>
      </c>
      <c r="BD61" s="13">
        <f>IF('Données projet'!$A$88&gt;35,BD60+BC61-BL60,IF(A61&lt;'Données projet'!$A$88,$BA$205^A61,IF(A61='Données projet'!$A$88,'Données projet'!$B$88,BD60+BC61-BL60)))</f>
        <v>208.00000000000003</v>
      </c>
      <c r="BE61" s="14">
        <f>BD61*VLOOKUP('Données projet'!$B$11,Paramètres!$A$1:$I$89,3,0)*VLOOKUP('Données projet'!$B$11,Paramètres!$A$1:$I$89,5,0)</f>
        <v>217.40160000000003</v>
      </c>
      <c r="BF61" s="14">
        <f t="shared" si="37"/>
        <v>53.549746395925162</v>
      </c>
      <c r="BG61" s="22">
        <f t="shared" si="7"/>
        <v>471.90692830623647</v>
      </c>
      <c r="BH61" s="62">
        <f t="shared" si="8"/>
        <v>765.24026163956978</v>
      </c>
      <c r="BI61" s="62">
        <f ca="1">AVERAGE(OFFSET($BH$3,0,0,'Données projet'!$E$11+1,1))-AVERAGE(OFFSET($H$3,0,0,'Données projet'!$E$11+1,1))</f>
        <v>296.94146778663753</v>
      </c>
      <c r="BJ61" s="62">
        <f t="shared" si="38"/>
        <v>333.01339464897745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32.981000000000016</v>
      </c>
      <c r="D62" s="12">
        <f t="shared" si="32"/>
        <v>10.117890519143426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332.69318997233535</v>
      </c>
      <c r="H62" s="70">
        <f t="shared" si="1"/>
        <v>368.39723432084145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302.30714066618623</v>
      </c>
      <c r="T62" s="62">
        <f t="shared" si="34"/>
        <v>218.81984836501334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153.09120195408497</v>
      </c>
      <c r="AO62" s="62">
        <f t="shared" si="36"/>
        <v>312.73854442032672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</v>
      </c>
      <c r="BD62" s="13">
        <f>IF('Données projet'!$A$88&gt;35,BD61+BC62-BL61,IF(A62&lt;'Données projet'!$A$88,$BA$205^A62,IF(A62='Données projet'!$A$88,'Données projet'!$B$88,BD61+BC62-BL61)))</f>
        <v>214.00000000000003</v>
      </c>
      <c r="BE62" s="14">
        <f>BD62*VLOOKUP('Données projet'!$B$11,Paramètres!$A$1:$I$89,3,0)*VLOOKUP('Données projet'!$B$11,Paramètres!$A$1:$I$89,5,0)</f>
        <v>223.67280000000005</v>
      </c>
      <c r="BF62" s="14">
        <f t="shared" si="37"/>
        <v>54.91237981823884</v>
      </c>
      <c r="BG62" s="22">
        <f t="shared" si="7"/>
        <v>485.20252151676613</v>
      </c>
      <c r="BH62" s="62">
        <f t="shared" si="8"/>
        <v>778.53585485009944</v>
      </c>
      <c r="BI62" s="62">
        <f ca="1">AVERAGE(OFFSET($BH$3,0,0,'Données projet'!$E$11+1,1))-AVERAGE(OFFSET($H$3,0,0,'Données projet'!$E$11+1,1))</f>
        <v>296.94146778663753</v>
      </c>
      <c r="BJ62" s="62">
        <f t="shared" si="38"/>
        <v>333.01339464897745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33.540000000000013</v>
      </c>
      <c r="D63" s="12">
        <f t="shared" si="32"/>
        <v>10.269270252156671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338.17682299910427</v>
      </c>
      <c r="H63" s="70">
        <f t="shared" si="1"/>
        <v>369.63447902250618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302.30714066618623</v>
      </c>
      <c r="T63" s="62">
        <f t="shared" si="34"/>
        <v>218.81984836501334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153.09120195408497</v>
      </c>
      <c r="AO63" s="62">
        <f t="shared" si="36"/>
        <v>312.73854442032672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220</v>
      </c>
      <c r="BB63" s="13">
        <f>VLOOKUP(A63,'Données projet'!$A$87:$I$107,9,0)</f>
        <v>6</v>
      </c>
      <c r="BC63" s="13">
        <f t="array" ref="BC63">INDEX(BB:BB,MIN(IF(ISNUMBER(BB63:BB259),ROW(BB63:BB259),"")))</f>
        <v>6</v>
      </c>
      <c r="BD63" s="13">
        <f>IF('Données projet'!$A$88&gt;35,BD62+BC63-BL62,IF(A63&lt;'Données projet'!$A$88,$BA$205^A63,IF(A63='Données projet'!$A$88,'Données projet'!$B$88,BD62+BC63-BL62)))</f>
        <v>220.00000000000003</v>
      </c>
      <c r="BE63" s="14">
        <f>BD63*VLOOKUP('Données projet'!$B$11,Paramètres!$A$1:$I$89,3,0)*VLOOKUP('Données projet'!$B$11,Paramètres!$A$1:$I$89,5,0)</f>
        <v>229.94400000000007</v>
      </c>
      <c r="BF63" s="14">
        <f t="shared" si="37"/>
        <v>56.270572850262418</v>
      </c>
      <c r="BG63" s="22">
        <f t="shared" si="7"/>
        <v>498.49038104754044</v>
      </c>
      <c r="BH63" s="62">
        <f t="shared" si="8"/>
        <v>791.82371438087375</v>
      </c>
      <c r="BI63" s="62">
        <f ca="1">AVERAGE(OFFSET($BH$3,0,0,'Données projet'!$E$11+1,1))-AVERAGE(OFFSET($H$3,0,0,'Données projet'!$E$11+1,1))</f>
        <v>296.94146778663753</v>
      </c>
      <c r="BJ63" s="62">
        <f t="shared" si="38"/>
        <v>333.01339464897745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34.099000000000011</v>
      </c>
      <c r="D64" s="12">
        <f t="shared" si="32"/>
        <v>10.420356578808908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343.65819113466529</v>
      </c>
      <c r="H64" s="70">
        <f t="shared" si="1"/>
        <v>370.87121270809217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302.30714066618623</v>
      </c>
      <c r="T64" s="62">
        <f t="shared" si="34"/>
        <v>218.81984836501334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153.09120195408497</v>
      </c>
      <c r="AO64" s="62">
        <f t="shared" si="36"/>
        <v>312.73854442032672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203.20000000000002</v>
      </c>
      <c r="BE64" s="14">
        <f>BD64*VLOOKUP('Données projet'!$B$11,Paramètres!$A$1:$I$89,3,0)*VLOOKUP('Données projet'!$B$11,Paramètres!$A$1:$I$89,5,0)</f>
        <v>212.38464000000002</v>
      </c>
      <c r="BF64" s="14">
        <f t="shared" si="37"/>
        <v>52.456346591387693</v>
      </c>
      <c r="BG64" s="22">
        <f t="shared" si="7"/>
        <v>461.26471831333356</v>
      </c>
      <c r="BH64" s="62">
        <f t="shared" si="8"/>
        <v>754.59805164666682</v>
      </c>
      <c r="BI64" s="62">
        <f ca="1">AVERAGE(OFFSET($BH$3,0,0,'Données projet'!$E$11+1,1))-AVERAGE(OFFSET($H$3,0,0,'Données projet'!$E$11+1,1))</f>
        <v>296.94146778663753</v>
      </c>
      <c r="BJ64" s="62">
        <f t="shared" si="38"/>
        <v>333.01339464897745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34.658000000000008</v>
      </c>
      <c r="D65" s="12">
        <f t="shared" si="32"/>
        <v>10.571154864281649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349.13733579445488</v>
      </c>
      <c r="H65" s="70">
        <f t="shared" si="1"/>
        <v>372.10744472195717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302.30714066618623</v>
      </c>
      <c r="T65" s="62">
        <f t="shared" si="34"/>
        <v>218.81984836501334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153.09120195408497</v>
      </c>
      <c r="AO65" s="62">
        <f t="shared" si="36"/>
        <v>312.73854442032672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208.4</v>
      </c>
      <c r="BE65" s="14">
        <f>BD65*VLOOKUP('Données projet'!$B$11,Paramètres!$A$1:$I$89,3,0)*VLOOKUP('Données projet'!$B$11,Paramètres!$A$1:$I$89,5,0)</f>
        <v>217.81968000000003</v>
      </c>
      <c r="BF65" s="14">
        <f t="shared" si="37"/>
        <v>53.640729595707775</v>
      </c>
      <c r="BG65" s="22">
        <f t="shared" si="7"/>
        <v>472.7935467125244</v>
      </c>
      <c r="BH65" s="62">
        <f t="shared" si="8"/>
        <v>766.12688004585766</v>
      </c>
      <c r="BI65" s="62">
        <f ca="1">AVERAGE(OFFSET($BH$3,0,0,'Données projet'!$E$11+1,1))-AVERAGE(OFFSET($H$3,0,0,'Données projet'!$E$11+1,1))</f>
        <v>296.94146778663753</v>
      </c>
      <c r="BJ65" s="62">
        <f t="shared" si="38"/>
        <v>333.01339464897745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66" s="12">
        <f t="shared" si="32"/>
        <v>10.721670290761447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354.6142969813165</v>
      </c>
      <c r="H66" s="70">
        <f t="shared" si="1"/>
        <v>373.34318408974286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302.30714066618623</v>
      </c>
      <c r="T66" s="62">
        <f t="shared" si="34"/>
        <v>218.81984836501334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153.09120195408497</v>
      </c>
      <c r="AO66" s="62">
        <f t="shared" si="36"/>
        <v>312.73854442032672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213.6</v>
      </c>
      <c r="BE66" s="14">
        <f>BD66*VLOOKUP('Données projet'!$B$11,Paramètres!$A$1:$I$89,3,0)*VLOOKUP('Données projet'!$B$11,Paramètres!$A$1:$I$89,5,0)</f>
        <v>223.25471999999999</v>
      </c>
      <c r="BF66" s="14">
        <f t="shared" si="37"/>
        <v>54.821677274695034</v>
      </c>
      <c r="BG66" s="22">
        <f t="shared" si="7"/>
        <v>484.31639192009379</v>
      </c>
      <c r="BH66" s="62">
        <f t="shared" si="8"/>
        <v>777.64972525342705</v>
      </c>
      <c r="BI66" s="62">
        <f ca="1">AVERAGE(OFFSET($BH$3,0,0,'Données projet'!$E$11+1,1))-AVERAGE(OFFSET($H$3,0,0,'Données projet'!$E$11+1,1))</f>
        <v>296.94146778663753</v>
      </c>
      <c r="BJ66" s="62">
        <f t="shared" si="38"/>
        <v>333.01339464897745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35.776000000000003</v>
      </c>
      <c r="D67" s="12">
        <f t="shared" si="32"/>
        <v>10.871907866485202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360.0891133553244</v>
      </c>
      <c r="H67" s="70">
        <f t="shared" si="1"/>
        <v>374.57843953412839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302.30714066618623</v>
      </c>
      <c r="T67" s="62">
        <f t="shared" si="34"/>
        <v>218.81984836501334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153.09120195408497</v>
      </c>
      <c r="AO67" s="62">
        <f t="shared" si="36"/>
        <v>312.73854442032672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218.79999999999998</v>
      </c>
      <c r="BE67" s="14">
        <f>BD67*VLOOKUP('Données projet'!$B$11,Paramètres!$A$1:$I$89,3,0)*VLOOKUP('Données projet'!$B$11,Paramètres!$A$1:$I$89,5,0)</f>
        <v>228.68976000000001</v>
      </c>
      <c r="BF67" s="14">
        <f t="shared" si="37"/>
        <v>55.999282881040642</v>
      </c>
      <c r="BG67" s="22">
        <f t="shared" si="7"/>
        <v>495.83341635114584</v>
      </c>
      <c r="BH67" s="62">
        <f t="shared" si="8"/>
        <v>789.1667496844791</v>
      </c>
      <c r="BI67" s="62">
        <f ca="1">AVERAGE(OFFSET($BH$3,0,0,'Données projet'!$E$11+1,1))-AVERAGE(OFFSET($H$3,0,0,'Données projet'!$E$11+1,1))</f>
        <v>296.94146778663753</v>
      </c>
      <c r="BJ67" s="62">
        <f t="shared" si="38"/>
        <v>333.01339464897745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36.335000000000001</v>
      </c>
      <c r="D68" s="12">
        <f t="shared" si="32"/>
        <v>11.02187243420407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365.56182229911923</v>
      </c>
      <c r="H68" s="70">
        <f t="shared" ref="H68:H131" si="56">(B68+E68+F68)*44/12+(C68+D68)*0.475*44/12</f>
        <v>375.81321948957208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302.30714066618623</v>
      </c>
      <c r="T68" s="62">
        <f t="shared" si="34"/>
        <v>218.81984836501334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153.09120195408497</v>
      </c>
      <c r="AO68" s="62">
        <f t="shared" si="36"/>
        <v>312.73854442032672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224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223.99999999999997</v>
      </c>
      <c r="BE68" s="14">
        <f>BD68*VLOOKUP('Données projet'!$B$11,Paramètres!$A$1:$I$89,3,0)*VLOOKUP('Données projet'!$B$11,Paramètres!$A$1:$I$89,5,0)</f>
        <v>234.12479999999999</v>
      </c>
      <c r="BF68" s="14">
        <f t="shared" si="37"/>
        <v>57.173634982132555</v>
      </c>
      <c r="BG68" s="22">
        <f t="shared" ref="BG68:BG131" si="61">(BE68+BF68)*0.475*44/12</f>
        <v>507.34477426054747</v>
      </c>
      <c r="BH68" s="62">
        <f t="shared" ref="BH68:BH131" si="62">BG68+(AY68+AZ68)*44/12</f>
        <v>800.67810759388078</v>
      </c>
      <c r="BI68" s="62">
        <f ca="1">AVERAGE(OFFSET($BH$3,0,0,'Données projet'!$E$11+1,1))-AVERAGE(OFFSET($H$3,0,0,'Données projet'!$E$11+1,1))</f>
        <v>296.94146778663753</v>
      </c>
      <c r="BJ68" s="62">
        <f t="shared" si="38"/>
        <v>333.01339464897745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36.893999999999998</v>
      </c>
      <c r="D69" s="12">
        <f t="shared" ref="D69:D132" si="86">IFERROR(EXP(-1.0587+0.8836*LN(C69)+0.284),0)</f>
        <v>11.17156867911179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371.03245997910858</v>
      </c>
      <c r="H69" s="70">
        <f t="shared" si="56"/>
        <v>377.04753211611967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302.30714066618623</v>
      </c>
      <c r="T69" s="62">
        <f t="shared" ref="T69:T132" si="88">$T$3</f>
        <v>218.81984836501334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153.09120195408497</v>
      </c>
      <c r="AO69" s="62">
        <f t="shared" ref="AO69:AO132" si="90">$AO$3</f>
        <v>312.73854442032672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4.5999999999999996</v>
      </c>
      <c r="BD69" s="13">
        <f>IF('Données projet'!$A$88&gt;35,BD68+BC69-BL68,IF(A69&lt;'Données projet'!$A$88,$BA$205^A69,IF(A69='Données projet'!$A$88,'Données projet'!$B$88,BD68+BC69-BL68)))</f>
        <v>208.59999999999997</v>
      </c>
      <c r="BE69" s="14">
        <f>BD69*VLOOKUP('Données projet'!$B$11,Paramètres!$A$1:$I$89,3,0)*VLOOKUP('Données projet'!$B$11,Paramètres!$A$1:$I$89,5,0)</f>
        <v>218.02871999999996</v>
      </c>
      <c r="BF69" s="14">
        <f t="shared" ref="BF69:BF132" si="91">EXP(-1.0587+0.8836*LN(BE69)+0.284)</f>
        <v>53.686213571044199</v>
      </c>
      <c r="BG69" s="22">
        <f t="shared" si="61"/>
        <v>473.23684263623528</v>
      </c>
      <c r="BH69" s="62">
        <f t="shared" si="62"/>
        <v>766.5701759695686</v>
      </c>
      <c r="BI69" s="62">
        <f ca="1">AVERAGE(OFFSET($BH$3,0,0,'Données projet'!$E$11+1,1))-AVERAGE(OFFSET($H$3,0,0,'Données projet'!$E$11+1,1))</f>
        <v>296.94146778663753</v>
      </c>
      <c r="BJ69" s="62">
        <f t="shared" ref="BJ69:BJ132" si="92">$BJ$3</f>
        <v>333.01339464897745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37.452999999999996</v>
      </c>
      <c r="D70" s="12">
        <f t="shared" si="86"/>
        <v>11.321001136278802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376.50106140285385</v>
      </c>
      <c r="H70" s="70">
        <f t="shared" si="56"/>
        <v>378.2813853123522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302.30714066618623</v>
      </c>
      <c r="T70" s="62">
        <f t="shared" si="88"/>
        <v>218.81984836501334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153.09120195408497</v>
      </c>
      <c r="AO70" s="62">
        <f t="shared" si="90"/>
        <v>312.73854442032672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4.5999999999999996</v>
      </c>
      <c r="BD70" s="13">
        <f>IF('Données projet'!$A$88&gt;35,BD69+BC70-BL69,IF(A70&lt;'Données projet'!$A$88,$BA$205^A70,IF(A70='Données projet'!$A$88,'Données projet'!$B$88,BD69+BC70-BL69)))</f>
        <v>213.19999999999996</v>
      </c>
      <c r="BE70" s="14">
        <f>BD70*VLOOKUP('Données projet'!$B$11,Paramètres!$A$1:$I$89,3,0)*VLOOKUP('Données projet'!$B$11,Paramètres!$A$1:$I$89,5,0)</f>
        <v>222.83663999999999</v>
      </c>
      <c r="BF70" s="14">
        <f t="shared" si="91"/>
        <v>54.730954957867816</v>
      </c>
      <c r="BG70" s="22">
        <f t="shared" si="61"/>
        <v>483.43022788495313</v>
      </c>
      <c r="BH70" s="62">
        <f t="shared" si="62"/>
        <v>776.76356121828644</v>
      </c>
      <c r="BI70" s="62">
        <f ca="1">AVERAGE(OFFSET($BH$3,0,0,'Données projet'!$E$11+1,1))-AVERAGE(OFFSET($H$3,0,0,'Données projet'!$E$11+1,1))</f>
        <v>296.94146778663753</v>
      </c>
      <c r="BJ70" s="62">
        <f t="shared" si="92"/>
        <v>333.01339464897745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38.011999999999993</v>
      </c>
      <c r="D71" s="12">
        <f t="shared" si="86"/>
        <v>11.470174197629985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381.96766047293323</v>
      </c>
      <c r="H71" s="70">
        <f t="shared" si="56"/>
        <v>379.51478672753888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302.30714066618623</v>
      </c>
      <c r="T71" s="62">
        <f t="shared" si="88"/>
        <v>218.81984836501334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153.09120195408497</v>
      </c>
      <c r="AO71" s="62">
        <f t="shared" si="90"/>
        <v>312.73854442032672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4.5999999999999996</v>
      </c>
      <c r="BD71" s="13">
        <f>IF('Données projet'!$A$88&gt;35,BD70+BC71-BL70,IF(A71&lt;'Données projet'!$A$88,$BA$205^A71,IF(A71='Données projet'!$A$88,'Données projet'!$B$88,BD70+BC71-BL70)))</f>
        <v>217.79999999999995</v>
      </c>
      <c r="BE71" s="14">
        <f>BD71*VLOOKUP('Données projet'!$B$11,Paramètres!$A$1:$I$89,3,0)*VLOOKUP('Données projet'!$B$11,Paramètres!$A$1:$I$89,5,0)</f>
        <v>227.64455999999998</v>
      </c>
      <c r="BF71" s="14">
        <f t="shared" si="91"/>
        <v>55.773075611618694</v>
      </c>
      <c r="BG71" s="22">
        <f t="shared" si="61"/>
        <v>493.61904869023584</v>
      </c>
      <c r="BH71" s="62">
        <f t="shared" si="62"/>
        <v>786.95238202356916</v>
      </c>
      <c r="BI71" s="62">
        <f ca="1">AVERAGE(OFFSET($BH$3,0,0,'Données projet'!$E$11+1,1))-AVERAGE(OFFSET($H$3,0,0,'Données projet'!$E$11+1,1))</f>
        <v>296.94146778663753</v>
      </c>
      <c r="BJ71" s="62">
        <f t="shared" si="92"/>
        <v>333.01339464897745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38.570999999999991</v>
      </c>
      <c r="D72" s="12">
        <f t="shared" si="86"/>
        <v>11.619092118500239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387.43229003754567</v>
      </c>
      <c r="H72" s="70">
        <f t="shared" si="56"/>
        <v>380.74774377305454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302.30714066618623</v>
      </c>
      <c r="T72" s="62">
        <f t="shared" si="88"/>
        <v>218.81984836501334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153.09120195408497</v>
      </c>
      <c r="AO72" s="62">
        <f t="shared" si="90"/>
        <v>312.73854442032672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4.5999999999999996</v>
      </c>
      <c r="BD72" s="13">
        <f>IF('Données projet'!$A$88&gt;35,BD71+BC72-BL71,IF(A72&lt;'Données projet'!$A$88,$BA$205^A72,IF(A72='Données projet'!$A$88,'Données projet'!$B$88,BD71+BC72-BL71)))</f>
        <v>222.39999999999995</v>
      </c>
      <c r="BE72" s="14">
        <f>BD72*VLOOKUP('Données projet'!$B$11,Paramètres!$A$1:$I$89,3,0)*VLOOKUP('Données projet'!$B$11,Paramètres!$A$1:$I$89,5,0)</f>
        <v>232.45247999999998</v>
      </c>
      <c r="BF72" s="14">
        <f t="shared" si="91"/>
        <v>56.812637259137787</v>
      </c>
      <c r="BG72" s="22">
        <f t="shared" si="61"/>
        <v>503.80341255966488</v>
      </c>
      <c r="BH72" s="62">
        <f t="shared" si="62"/>
        <v>797.13674589299819</v>
      </c>
      <c r="BI72" s="62">
        <f ca="1">AVERAGE(OFFSET($BH$3,0,0,'Données projet'!$E$11+1,1))-AVERAGE(OFFSET($H$3,0,0,'Données projet'!$E$11+1,1))</f>
        <v>296.94146778663753</v>
      </c>
      <c r="BJ72" s="62">
        <f t="shared" si="92"/>
        <v>333.01339464897745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39.129999999999988</v>
      </c>
      <c r="D73" s="12">
        <f t="shared" si="86"/>
        <v>11.767759023799293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392.89498193809976</v>
      </c>
      <c r="H73" s="70">
        <f t="shared" si="56"/>
        <v>381.98026363311709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302.30714066618623</v>
      </c>
      <c r="T73" s="62">
        <f t="shared" si="88"/>
        <v>218.81984836501334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153.09120195408497</v>
      </c>
      <c r="AO73" s="62">
        <f t="shared" si="90"/>
        <v>312.73854442032672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227</v>
      </c>
      <c r="BB73" s="13">
        <f>VLOOKUP(A73,'Données projet'!$A$87:$I$107,9,0)</f>
        <v>4.5999999999999996</v>
      </c>
      <c r="BC73" s="13">
        <f t="array" ref="BC73">INDEX(BB:BB,MIN(IF(ISNUMBER(BB73:BB269),ROW(BB73:BB269),"")))</f>
        <v>4.5999999999999996</v>
      </c>
      <c r="BD73" s="13">
        <f>IF('Données projet'!$A$88&gt;35,BD72+BC73-BL72,IF(A73&lt;'Données projet'!$A$88,$BA$205^A73,IF(A73='Données projet'!$A$88,'Données projet'!$B$88,BD72+BC73-BL72)))</f>
        <v>226.99999999999994</v>
      </c>
      <c r="BE73" s="14">
        <f>BD73*VLOOKUP('Données projet'!$B$11,Paramètres!$A$1:$I$89,3,0)*VLOOKUP('Données projet'!$B$11,Paramètres!$A$1:$I$89,5,0)</f>
        <v>237.26039999999998</v>
      </c>
      <c r="BF73" s="14">
        <f t="shared" si="91"/>
        <v>57.849698927879167</v>
      </c>
      <c r="BG73" s="22">
        <f t="shared" si="61"/>
        <v>513.98342229938953</v>
      </c>
      <c r="BH73" s="62">
        <f t="shared" si="62"/>
        <v>807.31675563272279</v>
      </c>
      <c r="BI73" s="62">
        <f ca="1">AVERAGE(OFFSET($BH$3,0,0,'Données projet'!$E$11+1,1))-AVERAGE(OFFSET($H$3,0,0,'Données projet'!$E$11+1,1))</f>
        <v>296.94146778663753</v>
      </c>
      <c r="BJ73" s="62">
        <f t="shared" si="92"/>
        <v>333.01339464897745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39.688999999999986</v>
      </c>
      <c r="D74" s="12">
        <f t="shared" si="86"/>
        <v>11.916178913814131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398.35576705400371</v>
      </c>
      <c r="H74" s="70">
        <f t="shared" si="56"/>
        <v>383.21235327489291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302.30714066618623</v>
      </c>
      <c r="T74" s="62">
        <f t="shared" si="88"/>
        <v>218.81984836501334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153.09120195408497</v>
      </c>
      <c r="AO74" s="62">
        <f t="shared" si="90"/>
        <v>312.73854442032672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</v>
      </c>
      <c r="BD74" s="13">
        <f>IF('Données projet'!$A$88&gt;35,BD73+BC74-BL73,IF(A74&lt;'Données projet'!$A$88,$BA$205^A74,IF(A74='Données projet'!$A$88,'Données projet'!$B$88,BD73+BC74-BL73)))</f>
        <v>213.99999999999994</v>
      </c>
      <c r="BE74" s="14">
        <f>BD74*VLOOKUP('Données projet'!$B$11,Paramètres!$A$1:$I$89,3,0)*VLOOKUP('Données projet'!$B$11,Paramètres!$A$1:$I$89,5,0)</f>
        <v>223.67279999999997</v>
      </c>
      <c r="BF74" s="14">
        <f t="shared" si="91"/>
        <v>54.912379818238797</v>
      </c>
      <c r="BG74" s="22">
        <f t="shared" si="61"/>
        <v>485.2025215167659</v>
      </c>
      <c r="BH74" s="62">
        <f t="shared" si="62"/>
        <v>778.53585485009921</v>
      </c>
      <c r="BI74" s="62">
        <f ca="1">AVERAGE(OFFSET($BH$3,0,0,'Données projet'!$E$11+1,1))-AVERAGE(OFFSET($H$3,0,0,'Données projet'!$E$11+1,1))</f>
        <v>296.94146778663753</v>
      </c>
      <c r="BJ74" s="62">
        <f t="shared" si="92"/>
        <v>333.01339464897745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40.247999999999983</v>
      </c>
      <c r="D75" s="12">
        <f t="shared" si="86"/>
        <v>12.064355669675358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403.81467534486228</v>
      </c>
      <c r="H75" s="70">
        <f t="shared" si="56"/>
        <v>384.44401945801786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302.30714066618623</v>
      </c>
      <c r="T75" s="62">
        <f t="shared" si="88"/>
        <v>218.81984836501334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153.09120195408497</v>
      </c>
      <c r="AO75" s="62">
        <f t="shared" si="90"/>
        <v>312.73854442032672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</v>
      </c>
      <c r="BD75" s="13">
        <f>IF('Données projet'!$A$88&gt;35,BD74+BC75-BL74,IF(A75&lt;'Données projet'!$A$88,$BA$205^A75,IF(A75='Données projet'!$A$88,'Données projet'!$B$88,BD74+BC75-BL74)))</f>
        <v>217.99999999999994</v>
      </c>
      <c r="BE75" s="14">
        <f>BD75*VLOOKUP('Données projet'!$B$11,Paramètres!$A$1:$I$89,3,0)*VLOOKUP('Données projet'!$B$11,Paramètres!$A$1:$I$89,5,0)</f>
        <v>227.85359999999997</v>
      </c>
      <c r="BF75" s="14">
        <f t="shared" si="91"/>
        <v>55.818326719749798</v>
      </c>
      <c r="BG75" s="22">
        <f t="shared" si="61"/>
        <v>494.06193903689751</v>
      </c>
      <c r="BH75" s="62">
        <f t="shared" si="62"/>
        <v>787.39527237023083</v>
      </c>
      <c r="BI75" s="62">
        <f ca="1">AVERAGE(OFFSET($BH$3,0,0,'Données projet'!$E$11+1,1))-AVERAGE(OFFSET($H$3,0,0,'Données projet'!$E$11+1,1))</f>
        <v>296.94146778663753</v>
      </c>
      <c r="BJ75" s="62">
        <f t="shared" si="92"/>
        <v>333.01339464897745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40.806999999999981</v>
      </c>
      <c r="D76" s="12">
        <f t="shared" si="86"/>
        <v>12.212293058511113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409.27173589026114</v>
      </c>
      <c r="H76" s="70">
        <f t="shared" si="56"/>
        <v>385.67526874357344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302.30714066618623</v>
      </c>
      <c r="T76" s="62">
        <f t="shared" si="88"/>
        <v>218.81984836501334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153.09120195408497</v>
      </c>
      <c r="AO76" s="62">
        <f t="shared" si="90"/>
        <v>312.73854442032672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</v>
      </c>
      <c r="BD76" s="13">
        <f>IF('Données projet'!$A$88&gt;35,BD75+BC76-BL75,IF(A76&lt;'Données projet'!$A$88,$BA$205^A76,IF(A76='Données projet'!$A$88,'Données projet'!$B$88,BD75+BC76-BL75)))</f>
        <v>221.99999999999994</v>
      </c>
      <c r="BE76" s="14">
        <f>BD76*VLOOKUP('Données projet'!$B$11,Paramètres!$A$1:$I$89,3,0)*VLOOKUP('Données projet'!$B$11,Paramètres!$A$1:$I$89,5,0)</f>
        <v>232.03439999999998</v>
      </c>
      <c r="BF76" s="14">
        <f t="shared" si="91"/>
        <v>56.722340668285831</v>
      </c>
      <c r="BG76" s="22">
        <f t="shared" si="61"/>
        <v>502.91798999726444</v>
      </c>
      <c r="BH76" s="62">
        <f t="shared" si="62"/>
        <v>796.25132333059776</v>
      </c>
      <c r="BI76" s="62">
        <f ca="1">AVERAGE(OFFSET($BH$3,0,0,'Données projet'!$E$11+1,1))-AVERAGE(OFFSET($H$3,0,0,'Données projet'!$E$11+1,1))</f>
        <v>296.94146778663753</v>
      </c>
      <c r="BJ76" s="62">
        <f t="shared" si="92"/>
        <v>333.01339464897745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41.365999999999978</v>
      </c>
      <c r="D77" s="12">
        <f t="shared" si="86"/>
        <v>12.359994738310659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414.72697692731026</v>
      </c>
      <c r="H77" s="70">
        <f t="shared" si="56"/>
        <v>386.90610750255769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302.30714066618623</v>
      </c>
      <c r="T77" s="62">
        <f t="shared" si="88"/>
        <v>218.81984836501334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153.09120195408497</v>
      </c>
      <c r="AO77" s="62">
        <f t="shared" si="90"/>
        <v>312.73854442032672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</v>
      </c>
      <c r="BD77" s="13">
        <f>IF('Données projet'!$A$88&gt;35,BD76+BC77-BL76,IF(A77&lt;'Données projet'!$A$88,$BA$205^A77,IF(A77='Données projet'!$A$88,'Données projet'!$B$88,BD76+BC77-BL76)))</f>
        <v>225.99999999999994</v>
      </c>
      <c r="BE77" s="14">
        <f>BD77*VLOOKUP('Données projet'!$B$11,Paramètres!$A$1:$I$89,3,0)*VLOOKUP('Données projet'!$B$11,Paramètres!$A$1:$I$89,5,0)</f>
        <v>236.21519999999995</v>
      </c>
      <c r="BF77" s="14">
        <f t="shared" si="91"/>
        <v>57.624460509298522</v>
      </c>
      <c r="BG77" s="22">
        <f t="shared" si="61"/>
        <v>511.77074205369485</v>
      </c>
      <c r="BH77" s="62">
        <f t="shared" si="62"/>
        <v>805.10407538702816</v>
      </c>
      <c r="BI77" s="62">
        <f ca="1">AVERAGE(OFFSET($BH$3,0,0,'Données projet'!$E$11+1,1))-AVERAGE(OFFSET($H$3,0,0,'Données projet'!$E$11+1,1))</f>
        <v>296.94146778663753</v>
      </c>
      <c r="BJ77" s="62">
        <f t="shared" si="92"/>
        <v>333.01339464897745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41.924999999999976</v>
      </c>
      <c r="D78" s="12">
        <f t="shared" si="86"/>
        <v>12.507464262517514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420.18042588609995</v>
      </c>
      <c r="H78" s="70">
        <f t="shared" si="56"/>
        <v>388.13654192388464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302.30714066618623</v>
      </c>
      <c r="T78" s="62">
        <f t="shared" si="88"/>
        <v>218.81984836501334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153.09120195408497</v>
      </c>
      <c r="AO78" s="62">
        <f t="shared" si="90"/>
        <v>312.73854442032672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230</v>
      </c>
      <c r="BB78" s="13">
        <f>VLOOKUP(A78,'Données projet'!$A$87:$I$107,9,0)</f>
        <v>4</v>
      </c>
      <c r="BC78" s="13">
        <f t="array" ref="BC78">INDEX(BB:BB,MIN(IF(ISNUMBER(BB78:BB274),ROW(BB78:BB274),"")))</f>
        <v>4</v>
      </c>
      <c r="BD78" s="13">
        <f>IF('Données projet'!$A$88&gt;35,BD77+BC78-BL77,IF(A78&lt;'Données projet'!$A$88,$BA$205^A78,IF(A78='Données projet'!$A$88,'Données projet'!$B$88,BD77+BC78-BL77)))</f>
        <v>229.99999999999994</v>
      </c>
      <c r="BE78" s="14">
        <f>BD78*VLOOKUP('Données projet'!$B$11,Paramètres!$A$1:$I$89,3,0)*VLOOKUP('Données projet'!$B$11,Paramètres!$A$1:$I$89,5,0)</f>
        <v>240.39599999999996</v>
      </c>
      <c r="BF78" s="14">
        <f t="shared" si="91"/>
        <v>58.524723634421605</v>
      </c>
      <c r="BG78" s="22">
        <f t="shared" si="61"/>
        <v>520.62026032995084</v>
      </c>
      <c r="BH78" s="62">
        <f t="shared" si="62"/>
        <v>813.95359366328421</v>
      </c>
      <c r="BI78" s="62">
        <f ca="1">AVERAGE(OFFSET($BH$3,0,0,'Données projet'!$E$11+1,1))-AVERAGE(OFFSET($H$3,0,0,'Données projet'!$E$11+1,1))</f>
        <v>296.94146778663753</v>
      </c>
      <c r="BJ78" s="62">
        <f t="shared" si="92"/>
        <v>333.01339464897745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15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42.483999999999973</v>
      </c>
      <c r="D79" s="12">
        <f t="shared" si="86"/>
        <v>12.654705084370672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425.63210942321194</v>
      </c>
      <c r="H79" s="70">
        <f t="shared" si="56"/>
        <v>389.36657802194554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302.30714066618623</v>
      </c>
      <c r="T79" s="62">
        <f t="shared" si="88"/>
        <v>218.81984836501334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153.09120195408497</v>
      </c>
      <c r="AO79" s="62">
        <f t="shared" si="90"/>
        <v>312.73854442032672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218.59999999999994</v>
      </c>
      <c r="BE79" s="14">
        <f>BD79*VLOOKUP('Données projet'!$B$11,Paramètres!$A$1:$I$89,3,0)*VLOOKUP('Données projet'!$B$11,Paramètres!$A$1:$I$89,5,0)</f>
        <v>228.48071999999993</v>
      </c>
      <c r="BF79" s="14">
        <f t="shared" si="91"/>
        <v>55.954051071533556</v>
      </c>
      <c r="BG79" s="22">
        <f t="shared" si="61"/>
        <v>495.39055961625405</v>
      </c>
      <c r="BH79" s="62">
        <f t="shared" si="62"/>
        <v>788.72389294958737</v>
      </c>
      <c r="BI79" s="62">
        <f ca="1">AVERAGE(OFFSET($BH$3,0,0,'Données projet'!$E$11+1,1))-AVERAGE(OFFSET($H$3,0,0,'Données projet'!$E$11+1,1))</f>
        <v>296.94146778663753</v>
      </c>
      <c r="BJ79" s="62">
        <f t="shared" si="92"/>
        <v>333.01339464897745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43.042999999999971</v>
      </c>
      <c r="D80" s="12">
        <f t="shared" si="86"/>
        <v>12.80172056101086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431.08205345341702</v>
      </c>
      <c r="H80" s="70">
        <f t="shared" si="56"/>
        <v>390.59622164376049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302.30714066618623</v>
      </c>
      <c r="T80" s="62">
        <f t="shared" si="88"/>
        <v>218.81984836501334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153.09120195408497</v>
      </c>
      <c r="AO80" s="62">
        <f t="shared" si="90"/>
        <v>312.73854442032672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222.19999999999993</v>
      </c>
      <c r="BE80" s="14">
        <f>BD80*VLOOKUP('Données projet'!$B$11,Paramètres!$A$1:$I$89,3,0)*VLOOKUP('Données projet'!$B$11,Paramètres!$A$1:$I$89,5,0)</f>
        <v>232.24343999999996</v>
      </c>
      <c r="BF80" s="14">
        <f t="shared" si="91"/>
        <v>56.767491328816384</v>
      </c>
      <c r="BG80" s="22">
        <f t="shared" si="61"/>
        <v>503.36070539768843</v>
      </c>
      <c r="BH80" s="62">
        <f t="shared" si="62"/>
        <v>796.69403873102169</v>
      </c>
      <c r="BI80" s="62">
        <f ca="1">AVERAGE(OFFSET($BH$3,0,0,'Données projet'!$E$11+1,1))-AVERAGE(OFFSET($H$3,0,0,'Données projet'!$E$11+1,1))</f>
        <v>296.94146778663753</v>
      </c>
      <c r="BJ80" s="62">
        <f t="shared" si="92"/>
        <v>333.01339464897745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43.601999999999968</v>
      </c>
      <c r="D81" s="12">
        <f t="shared" si="86"/>
        <v>12.948513957367386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436.53028317967784</v>
      </c>
      <c r="H81" s="70">
        <f t="shared" si="56"/>
        <v>391.82547847574813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302.30714066618623</v>
      </c>
      <c r="T81" s="62">
        <f t="shared" si="88"/>
        <v>218.81984836501334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153.09120195408497</v>
      </c>
      <c r="AO81" s="62">
        <f t="shared" si="90"/>
        <v>312.73854442032672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225.79999999999993</v>
      </c>
      <c r="BE81" s="14">
        <f>BD81*VLOOKUP('Données projet'!$B$11,Paramètres!$A$1:$I$89,3,0)*VLOOKUP('Données projet'!$B$11,Paramètres!$A$1:$I$89,5,0)</f>
        <v>236.00615999999997</v>
      </c>
      <c r="BF81" s="14">
        <f t="shared" si="91"/>
        <v>57.579398919369801</v>
      </c>
      <c r="BG81" s="22">
        <f t="shared" si="61"/>
        <v>511.32818178456893</v>
      </c>
      <c r="BH81" s="62">
        <f t="shared" si="62"/>
        <v>804.66151511790224</v>
      </c>
      <c r="BI81" s="62">
        <f ca="1">AVERAGE(OFFSET($BH$3,0,0,'Données projet'!$E$11+1,1))-AVERAGE(OFFSET($H$3,0,0,'Données projet'!$E$11+1,1))</f>
        <v>296.94146778663753</v>
      </c>
      <c r="BJ81" s="62">
        <f t="shared" si="92"/>
        <v>333.01339464897745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44.160999999999966</v>
      </c>
      <c r="D82" s="12">
        <f t="shared" si="86"/>
        <v>13.095088449839977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441.9768231215715</v>
      </c>
      <c r="H82" s="70">
        <f t="shared" si="56"/>
        <v>393.05435405013787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302.30714066618623</v>
      </c>
      <c r="T82" s="62">
        <f t="shared" si="88"/>
        <v>218.81984836501334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153.09120195408497</v>
      </c>
      <c r="AO82" s="62">
        <f t="shared" si="90"/>
        <v>312.73854442032672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229.39999999999992</v>
      </c>
      <c r="BE82" s="14">
        <f>BD82*VLOOKUP('Données projet'!$B$11,Paramètres!$A$1:$I$89,3,0)*VLOOKUP('Données projet'!$B$11,Paramètres!$A$1:$I$89,5,0)</f>
        <v>239.76887999999994</v>
      </c>
      <c r="BF82" s="14">
        <f t="shared" si="91"/>
        <v>58.389801100332612</v>
      </c>
      <c r="BG82" s="22">
        <f t="shared" si="61"/>
        <v>519.2930362497458</v>
      </c>
      <c r="BH82" s="62">
        <f t="shared" si="62"/>
        <v>812.62636958307917</v>
      </c>
      <c r="BI82" s="62">
        <f ca="1">AVERAGE(OFFSET($BH$3,0,0,'Données projet'!$E$11+1,1))-AVERAGE(OFFSET($H$3,0,0,'Données projet'!$E$11+1,1))</f>
        <v>296.94146778663753</v>
      </c>
      <c r="BJ82" s="62">
        <f t="shared" si="92"/>
        <v>333.01339464897745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44.719999999999963</v>
      </c>
      <c r="D83" s="12">
        <f t="shared" si="86"/>
        <v>13.24144712978892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447.42169714222996</v>
      </c>
      <c r="H83" s="70">
        <f t="shared" si="56"/>
        <v>394.28285375104895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302.30714066618623</v>
      </c>
      <c r="T83" s="62">
        <f t="shared" si="88"/>
        <v>218.81984836501334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153.09120195408497</v>
      </c>
      <c r="AO83" s="62">
        <f t="shared" si="90"/>
        <v>312.73854442032672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233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232.99999999999991</v>
      </c>
      <c r="BE83" s="14">
        <f>BD83*VLOOKUP('Données projet'!$B$11,Paramètres!$A$1:$I$89,3,0)*VLOOKUP('Données projet'!$B$11,Paramètres!$A$1:$I$89,5,0)</f>
        <v>243.53159999999994</v>
      </c>
      <c r="BF83" s="14">
        <f t="shared" si="91"/>
        <v>59.198724224270357</v>
      </c>
      <c r="BG83" s="22">
        <f t="shared" si="61"/>
        <v>527.25531469060411</v>
      </c>
      <c r="BH83" s="62">
        <f t="shared" si="62"/>
        <v>820.58864802393737</v>
      </c>
      <c r="BI83" s="62">
        <f ca="1">AVERAGE(OFFSET($BH$3,0,0,'Données projet'!$E$11+1,1))-AVERAGE(OFFSET($H$3,0,0,'Données projet'!$E$11+1,1))</f>
        <v>296.94146778663753</v>
      </c>
      <c r="BJ83" s="62">
        <f t="shared" si="92"/>
        <v>333.01339464897745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45.278999999999961</v>
      </c>
      <c r="D84" s="12">
        <f t="shared" si="86"/>
        <v>13.387593006845686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452.86492847389621</v>
      </c>
      <c r="H84" s="70">
        <f t="shared" si="56"/>
        <v>395.51098282025612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302.30714066618623</v>
      </c>
      <c r="T84" s="62">
        <f t="shared" si="88"/>
        <v>218.81984836501334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153.09120195408497</v>
      </c>
      <c r="AO84" s="62">
        <f t="shared" si="90"/>
        <v>312.73854442032672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</v>
      </c>
      <c r="BD84" s="13">
        <f>IF('Données projet'!$A$88&gt;35,BD83+BC84-BL83,IF(A84&lt;'Données projet'!$A$88,$BA$205^A84,IF(A84='Données projet'!$A$88,'Données projet'!$B$88,BD83+BC84-BL83)))</f>
        <v>222.99999999999991</v>
      </c>
      <c r="BE84" s="14">
        <f>BD84*VLOOKUP('Données projet'!$B$11,Paramètres!$A$1:$I$89,3,0)*VLOOKUP('Données projet'!$B$11,Paramètres!$A$1:$I$89,5,0)</f>
        <v>233.07959999999991</v>
      </c>
      <c r="BF84" s="14">
        <f t="shared" si="91"/>
        <v>56.948046716289042</v>
      </c>
      <c r="BG84" s="22">
        <f t="shared" si="61"/>
        <v>505.13148469753651</v>
      </c>
      <c r="BH84" s="62">
        <f t="shared" si="62"/>
        <v>798.46481803086976</v>
      </c>
      <c r="BI84" s="62">
        <f ca="1">AVERAGE(OFFSET($BH$3,0,0,'Données projet'!$E$11+1,1))-AVERAGE(OFFSET($H$3,0,0,'Données projet'!$E$11+1,1))</f>
        <v>296.94146778663753</v>
      </c>
      <c r="BJ84" s="62">
        <f t="shared" si="92"/>
        <v>333.01339464897745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45.837999999999958</v>
      </c>
      <c r="D85" s="12">
        <f t="shared" si="86"/>
        <v>13.533529012055453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458.30653974218217</v>
      </c>
      <c r="H85" s="70">
        <f t="shared" si="56"/>
        <v>396.73874636266316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302.30714066618623</v>
      </c>
      <c r="T85" s="62">
        <f t="shared" si="88"/>
        <v>218.81984836501334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153.09120195408497</v>
      </c>
      <c r="AO85" s="62">
        <f t="shared" si="90"/>
        <v>312.73854442032672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</v>
      </c>
      <c r="BD85" s="13">
        <f>IF('Données projet'!$A$88&gt;35,BD84+BC85-BL84,IF(A85&lt;'Données projet'!$A$88,$BA$205^A85,IF(A85='Données projet'!$A$88,'Données projet'!$B$88,BD84+BC85-BL84)))</f>
        <v>225.99999999999991</v>
      </c>
      <c r="BE85" s="14">
        <f>BD85*VLOOKUP('Données projet'!$B$11,Paramètres!$A$1:$I$89,3,0)*VLOOKUP('Données projet'!$B$11,Paramètres!$A$1:$I$89,5,0)</f>
        <v>236.21519999999995</v>
      </c>
      <c r="BF85" s="14">
        <f t="shared" si="91"/>
        <v>57.624460509298522</v>
      </c>
      <c r="BG85" s="22">
        <f t="shared" si="61"/>
        <v>511.77074205369485</v>
      </c>
      <c r="BH85" s="62">
        <f t="shared" si="62"/>
        <v>805.10407538702816</v>
      </c>
      <c r="BI85" s="62">
        <f ca="1">AVERAGE(OFFSET($BH$3,0,0,'Données projet'!$E$11+1,1))-AVERAGE(OFFSET($H$3,0,0,'Données projet'!$E$11+1,1))</f>
        <v>296.94146778663753</v>
      </c>
      <c r="BJ85" s="62">
        <f t="shared" si="92"/>
        <v>333.01339464897745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46.396999999999956</v>
      </c>
      <c r="D86" s="12">
        <f t="shared" si="86"/>
        <v>13.679258000861923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463.7465529891092</v>
      </c>
      <c r="H86" s="70">
        <f t="shared" si="56"/>
        <v>397.96614935150109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302.30714066618623</v>
      </c>
      <c r="T86" s="62">
        <f t="shared" si="88"/>
        <v>218.81984836501334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153.09120195408497</v>
      </c>
      <c r="AO86" s="62">
        <f t="shared" si="90"/>
        <v>312.73854442032672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</v>
      </c>
      <c r="BD86" s="13">
        <f>IF('Données projet'!$A$88&gt;35,BD85+BC86-BL85,IF(A86&lt;'Données projet'!$A$88,$BA$205^A86,IF(A86='Données projet'!$A$88,'Données projet'!$B$88,BD85+BC86-BL85)))</f>
        <v>228.99999999999991</v>
      </c>
      <c r="BE86" s="14">
        <f>BD86*VLOOKUP('Données projet'!$B$11,Paramètres!$A$1:$I$89,3,0)*VLOOKUP('Données projet'!$B$11,Paramètres!$A$1:$I$89,5,0)</f>
        <v>239.35079999999994</v>
      </c>
      <c r="BF86" s="14">
        <f t="shared" si="91"/>
        <v>58.299829927807131</v>
      </c>
      <c r="BG86" s="22">
        <f t="shared" si="61"/>
        <v>518.40818045759727</v>
      </c>
      <c r="BH86" s="62">
        <f t="shared" si="62"/>
        <v>811.74151379093064</v>
      </c>
      <c r="BI86" s="62">
        <f ca="1">AVERAGE(OFFSET($BH$3,0,0,'Données projet'!$E$11+1,1))-AVERAGE(OFFSET($H$3,0,0,'Données projet'!$E$11+1,1))</f>
        <v>296.94146778663753</v>
      </c>
      <c r="BJ86" s="62">
        <f t="shared" si="92"/>
        <v>333.01339464897745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46.955999999999953</v>
      </c>
      <c r="D87" s="12">
        <f t="shared" si="86"/>
        <v>13.824782755944199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469.18498969500752</v>
      </c>
      <c r="H87" s="70">
        <f t="shared" si="56"/>
        <v>399.19319663326939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302.30714066618623</v>
      </c>
      <c r="T87" s="62">
        <f t="shared" si="88"/>
        <v>218.81984836501334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153.09120195408497</v>
      </c>
      <c r="AO87" s="62">
        <f t="shared" si="90"/>
        <v>312.73854442032672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</v>
      </c>
      <c r="BD87" s="13">
        <f>IF('Données projet'!$A$88&gt;35,BD86+BC87-BL86,IF(A87&lt;'Données projet'!$A$88,$BA$205^A87,IF(A87='Données projet'!$A$88,'Données projet'!$B$88,BD86+BC87-BL86)))</f>
        <v>231.99999999999991</v>
      </c>
      <c r="BE87" s="14">
        <f>BD87*VLOOKUP('Données projet'!$B$11,Paramètres!$A$1:$I$89,3,0)*VLOOKUP('Données projet'!$B$11,Paramètres!$A$1:$I$89,5,0)</f>
        <v>242.48639999999992</v>
      </c>
      <c r="BF87" s="14">
        <f t="shared" si="91"/>
        <v>58.974170235372419</v>
      </c>
      <c r="BG87" s="22">
        <f t="shared" si="61"/>
        <v>525.04382649327351</v>
      </c>
      <c r="BH87" s="62">
        <f t="shared" si="62"/>
        <v>818.37715982660688</v>
      </c>
      <c r="BI87" s="62">
        <f ca="1">AVERAGE(OFFSET($BH$3,0,0,'Données projet'!$E$11+1,1))-AVERAGE(OFFSET($H$3,0,0,'Données projet'!$E$11+1,1))</f>
        <v>296.94146778663753</v>
      </c>
      <c r="BJ87" s="62">
        <f t="shared" si="92"/>
        <v>333.01339464897745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47.514999999999951</v>
      </c>
      <c r="D88" s="12">
        <f t="shared" si="86"/>
        <v>13.970105989914776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474.62187079934182</v>
      </c>
      <c r="H88" s="70">
        <f t="shared" si="56"/>
        <v>400.41989293243478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302.30714066618623</v>
      </c>
      <c r="T88" s="62">
        <f t="shared" si="88"/>
        <v>218.81984836501334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153.09120195408497</v>
      </c>
      <c r="AO88" s="62">
        <f t="shared" si="90"/>
        <v>312.73854442032672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235</v>
      </c>
      <c r="BB88" s="13">
        <f>VLOOKUP(A88,'Données projet'!$A$87:$I$107,9,0)</f>
        <v>3</v>
      </c>
      <c r="BC88" s="13">
        <f t="array" ref="BC88">INDEX(BB:BB,MIN(IF(ISNUMBER(BB88:BB284),ROW(BB88:BB284),"")))</f>
        <v>3</v>
      </c>
      <c r="BD88" s="13">
        <f>IF('Données projet'!$A$88&gt;35,BD87+BC88-BL87,IF(A88&lt;'Données projet'!$A$88,$BA$205^A88,IF(A88='Données projet'!$A$88,'Données projet'!$B$88,BD87+BC88-BL87)))</f>
        <v>234.99999999999991</v>
      </c>
      <c r="BE88" s="14">
        <f>BD88*VLOOKUP('Données projet'!$B$11,Paramètres!$A$1:$I$89,3,0)*VLOOKUP('Données projet'!$B$11,Paramètres!$A$1:$I$89,5,0)</f>
        <v>245.62199999999996</v>
      </c>
      <c r="BF88" s="14">
        <f t="shared" si="91"/>
        <v>59.647496278110026</v>
      </c>
      <c r="BG88" s="22">
        <f t="shared" si="61"/>
        <v>531.67770601770815</v>
      </c>
      <c r="BH88" s="62">
        <f t="shared" si="62"/>
        <v>825.01103935104152</v>
      </c>
      <c r="BI88" s="62">
        <f ca="1">AVERAGE(OFFSET($BH$3,0,0,'Données projet'!$E$11+1,1))-AVERAGE(OFFSET($H$3,0,0,'Données projet'!$E$11+1,1))</f>
        <v>296.94146778663753</v>
      </c>
      <c r="BJ88" s="62">
        <f t="shared" si="92"/>
        <v>333.01339464897745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12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48.073999999999948</v>
      </c>
      <c r="D89" s="12">
        <f t="shared" si="86"/>
        <v>14.115230347886868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480.05721672052988</v>
      </c>
      <c r="H89" s="70">
        <f t="shared" si="56"/>
        <v>401.64624285590287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302.30714066618623</v>
      </c>
      <c r="T89" s="62">
        <f t="shared" si="88"/>
        <v>218.81984836501334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153.09120195408497</v>
      </c>
      <c r="AO89" s="62">
        <f t="shared" si="90"/>
        <v>312.73854442032672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2.6</v>
      </c>
      <c r="BD89" s="13">
        <f>IF('Données projet'!$A$88&gt;35,BD88+BC89-BL88,IF(A89&lt;'Données projet'!$A$88,$BA$205^A89,IF(A89='Données projet'!$A$88,'Données projet'!$B$88,BD88+BC89-BL88)))</f>
        <v>225.59999999999991</v>
      </c>
      <c r="BE89" s="14">
        <f>BD89*VLOOKUP('Données projet'!$B$11,Paramètres!$A$1:$I$89,3,0)*VLOOKUP('Données projet'!$B$11,Paramètres!$A$1:$I$89,5,0)</f>
        <v>235.79711999999995</v>
      </c>
      <c r="BF89" s="14">
        <f t="shared" si="91"/>
        <v>57.53433268334701</v>
      </c>
      <c r="BG89" s="22">
        <f t="shared" si="61"/>
        <v>510.88561342349595</v>
      </c>
      <c r="BH89" s="62">
        <f t="shared" si="62"/>
        <v>804.21894675682927</v>
      </c>
      <c r="BI89" s="62">
        <f ca="1">AVERAGE(OFFSET($BH$3,0,0,'Données projet'!$E$11+1,1))-AVERAGE(OFFSET($H$3,0,0,'Données projet'!$E$11+1,1))</f>
        <v>296.94146778663753</v>
      </c>
      <c r="BJ89" s="62">
        <f t="shared" si="92"/>
        <v>333.01339464897745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48.632999999999946</v>
      </c>
      <c r="D90" s="12">
        <f t="shared" si="86"/>
        <v>14.260158409918965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485.49104737481269</v>
      </c>
      <c r="H90" s="70">
        <f t="shared" si="56"/>
        <v>402.87225089727542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302.30714066618623</v>
      </c>
      <c r="T90" s="62">
        <f t="shared" si="88"/>
        <v>218.81984836501334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153.09120195408497</v>
      </c>
      <c r="AO90" s="62">
        <f t="shared" si="90"/>
        <v>312.73854442032672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2.6</v>
      </c>
      <c r="BD90" s="13">
        <f>IF('Données projet'!$A$88&gt;35,BD89+BC90-BL89,IF(A90&lt;'Données projet'!$A$88,$BA$205^A90,IF(A90='Données projet'!$A$88,'Données projet'!$B$88,BD89+BC90-BL89)))</f>
        <v>228.1999999999999</v>
      </c>
      <c r="BE90" s="14">
        <f>BD90*VLOOKUP('Données projet'!$B$11,Paramètres!$A$1:$I$89,3,0)*VLOOKUP('Données projet'!$B$11,Paramètres!$A$1:$I$89,5,0)</f>
        <v>238.51463999999993</v>
      </c>
      <c r="BF90" s="14">
        <f t="shared" si="91"/>
        <v>58.119832662919471</v>
      </c>
      <c r="BG90" s="22">
        <f t="shared" si="61"/>
        <v>516.63837322125119</v>
      </c>
      <c r="BH90" s="62">
        <f t="shared" si="62"/>
        <v>809.97170655458444</v>
      </c>
      <c r="BI90" s="62">
        <f ca="1">AVERAGE(OFFSET($BH$3,0,0,'Données projet'!$E$11+1,1))-AVERAGE(OFFSET($H$3,0,0,'Données projet'!$E$11+1,1))</f>
        <v>296.94146778663753</v>
      </c>
      <c r="BJ90" s="62">
        <f t="shared" si="92"/>
        <v>333.01339464897745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49.191999999999943</v>
      </c>
      <c r="D91" s="12">
        <f t="shared" si="86"/>
        <v>14.404892693343806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490.92338219423249</v>
      </c>
      <c r="H91" s="70">
        <f t="shared" si="56"/>
        <v>404.09792144090699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302.30714066618623</v>
      </c>
      <c r="T91" s="62">
        <f t="shared" si="88"/>
        <v>218.81984836501334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153.09120195408497</v>
      </c>
      <c r="AO91" s="62">
        <f t="shared" si="90"/>
        <v>312.73854442032672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2.6</v>
      </c>
      <c r="BD91" s="13">
        <f>IF('Données projet'!$A$88&gt;35,BD90+BC91-BL90,IF(A91&lt;'Données projet'!$A$88,$BA$205^A91,IF(A91='Données projet'!$A$88,'Données projet'!$B$88,BD90+BC91-BL90)))</f>
        <v>230.7999999999999</v>
      </c>
      <c r="BE91" s="14">
        <f>BD91*VLOOKUP('Données projet'!$B$11,Paramètres!$A$1:$I$89,3,0)*VLOOKUP('Données projet'!$B$11,Paramètres!$A$1:$I$89,5,0)</f>
        <v>241.23215999999991</v>
      </c>
      <c r="BF91" s="14">
        <f t="shared" si="91"/>
        <v>58.704556646354881</v>
      </c>
      <c r="BG91" s="22">
        <f t="shared" si="61"/>
        <v>522.38978149240131</v>
      </c>
      <c r="BH91" s="62">
        <f t="shared" si="62"/>
        <v>815.72311482573468</v>
      </c>
      <c r="BI91" s="62">
        <f ca="1">AVERAGE(OFFSET($BH$3,0,0,'Données projet'!$E$11+1,1))-AVERAGE(OFFSET($H$3,0,0,'Données projet'!$E$11+1,1))</f>
        <v>296.94146778663753</v>
      </c>
      <c r="BJ91" s="62">
        <f t="shared" si="92"/>
        <v>333.01339464897745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49.750999999999941</v>
      </c>
      <c r="D92" s="12">
        <f t="shared" si="86"/>
        <v>14.549435654988406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496.35424014376969</v>
      </c>
      <c r="H92" s="70">
        <f t="shared" si="56"/>
        <v>405.32325876577136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302.30714066618623</v>
      </c>
      <c r="T92" s="62">
        <f t="shared" si="88"/>
        <v>218.81984836501334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153.09120195408497</v>
      </c>
      <c r="AO92" s="62">
        <f t="shared" si="90"/>
        <v>312.73854442032672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2.6</v>
      </c>
      <c r="BD92" s="13">
        <f>IF('Données projet'!$A$88&gt;35,BD91+BC92-BL91,IF(A92&lt;'Données projet'!$A$88,$BA$205^A92,IF(A92='Données projet'!$A$88,'Données projet'!$B$88,BD91+BC92-BL91)))</f>
        <v>233.39999999999989</v>
      </c>
      <c r="BE92" s="14">
        <f>BD92*VLOOKUP('Données projet'!$B$11,Paramètres!$A$1:$I$89,3,0)*VLOOKUP('Données projet'!$B$11,Paramètres!$A$1:$I$89,5,0)</f>
        <v>243.94967999999989</v>
      </c>
      <c r="BF92" s="14">
        <f t="shared" si="91"/>
        <v>59.288514386933123</v>
      </c>
      <c r="BG92" s="22">
        <f t="shared" si="61"/>
        <v>528.13985522390828</v>
      </c>
      <c r="BH92" s="62">
        <f t="shared" si="62"/>
        <v>821.47318855724166</v>
      </c>
      <c r="BI92" s="62">
        <f ca="1">AVERAGE(OFFSET($BH$3,0,0,'Données projet'!$E$11+1,1))-AVERAGE(OFFSET($H$3,0,0,'Données projet'!$E$11+1,1))</f>
        <v>296.94146778663753</v>
      </c>
      <c r="BJ92" s="62">
        <f t="shared" si="92"/>
        <v>333.01339464897745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50.309999999999938</v>
      </c>
      <c r="D93" s="12">
        <f t="shared" si="86"/>
        <v>14.693789693291537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501.7836397376887</v>
      </c>
      <c r="H93" s="70">
        <f t="shared" si="56"/>
        <v>406.54826704914933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302.30714066618623</v>
      </c>
      <c r="T93" s="62">
        <f t="shared" si="88"/>
        <v>218.81984836501334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153.09120195408497</v>
      </c>
      <c r="AO93" s="62">
        <f t="shared" si="90"/>
        <v>312.73854442032672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236</v>
      </c>
      <c r="BB93" s="13">
        <f>VLOOKUP(A93,'Données projet'!$A$87:$I$107,9,0)</f>
        <v>2.6</v>
      </c>
      <c r="BC93" s="13">
        <f t="array" ref="BC93">INDEX(BB:BB,MIN(IF(ISNUMBER(BB93:BB289),ROW(BB93:BB289),"")))</f>
        <v>2.6</v>
      </c>
      <c r="BD93" s="13">
        <f>IF('Données projet'!$A$88&gt;35,BD92+BC93-BL92,IF(A93&lt;'Données projet'!$A$88,$BA$205^A93,IF(A93='Données projet'!$A$88,'Données projet'!$B$88,BD92+BC93-BL92)))</f>
        <v>235.99999999999989</v>
      </c>
      <c r="BE93" s="14">
        <f>BD93*VLOOKUP('Données projet'!$B$11,Paramètres!$A$1:$I$89,3,0)*VLOOKUP('Données projet'!$B$11,Paramètres!$A$1:$I$89,5,0)</f>
        <v>246.66719999999989</v>
      </c>
      <c r="BF93" s="14">
        <f t="shared" si="91"/>
        <v>59.871715408125738</v>
      </c>
      <c r="BG93" s="22">
        <f t="shared" si="61"/>
        <v>533.88861100248539</v>
      </c>
      <c r="BH93" s="62">
        <f t="shared" si="62"/>
        <v>827.22194433581876</v>
      </c>
      <c r="BI93" s="62">
        <f ca="1">AVERAGE(OFFSET($BH$3,0,0,'Données projet'!$E$11+1,1))-AVERAGE(OFFSET($H$3,0,0,'Données projet'!$E$11+1,1))</f>
        <v>296.94146778663753</v>
      </c>
      <c r="BJ93" s="62">
        <f t="shared" si="92"/>
        <v>333.01339464897745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236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50.868999999999936</v>
      </c>
      <c r="D94" s="12">
        <f t="shared" si="86"/>
        <v>14.837957150324335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507.21159905513474</v>
      </c>
      <c r="H94" s="70">
        <f t="shared" si="56"/>
        <v>407.77295037014807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302.30714066618623</v>
      </c>
      <c r="T94" s="62">
        <f t="shared" si="88"/>
        <v>218.81984836501334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153.09120195408497</v>
      </c>
      <c r="AO94" s="62">
        <f t="shared" si="90"/>
        <v>312.73854442032672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-1.1882548278663309E-13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296.94146778663753</v>
      </c>
      <c r="BJ94" s="62">
        <f t="shared" si="92"/>
        <v>333.01339464897745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95" s="12">
        <f t="shared" si="86"/>
        <v>14.981940313719656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512.63813575502843</v>
      </c>
      <c r="H95" s="70">
        <f t="shared" si="56"/>
        <v>408.9973127130616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302.30714066618623</v>
      </c>
      <c r="T95" s="62">
        <f t="shared" si="88"/>
        <v>218.81984836501334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153.09120195408497</v>
      </c>
      <c r="AO95" s="62">
        <f t="shared" si="90"/>
        <v>312.73854442032672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-1.1882548278663309E-13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296.94146778663753</v>
      </c>
      <c r="BJ95" s="62">
        <f t="shared" si="92"/>
        <v>333.01339464897745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51.986999999999931</v>
      </c>
      <c r="D96" s="12">
        <f t="shared" si="86"/>
        <v>15.125741418515025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518.06326709029088</v>
      </c>
      <c r="H96" s="70">
        <f t="shared" si="56"/>
        <v>410.22135797058019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302.30714066618623</v>
      </c>
      <c r="T96" s="62">
        <f t="shared" si="88"/>
        <v>218.81984836501334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153.09120195408497</v>
      </c>
      <c r="AO96" s="62">
        <f t="shared" si="90"/>
        <v>312.73854442032672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-1.1882548278663309E-13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296.94146778663753</v>
      </c>
      <c r="BJ96" s="62">
        <f t="shared" si="92"/>
        <v>333.01339464897745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52.545999999999928</v>
      </c>
      <c r="D97" s="12">
        <f t="shared" si="86"/>
        <v>15.269362648914145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523.487009921442</v>
      </c>
      <c r="H97" s="70">
        <f t="shared" si="56"/>
        <v>411.44508994685867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302.30714066618623</v>
      </c>
      <c r="T97" s="62">
        <f t="shared" si="88"/>
        <v>218.81984836501334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153.09120195408497</v>
      </c>
      <c r="AO97" s="62">
        <f t="shared" si="90"/>
        <v>312.73854442032672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-1.1882548278663309E-13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296.94146778663753</v>
      </c>
      <c r="BJ97" s="62">
        <f t="shared" si="92"/>
        <v>333.01339464897745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53.104999999999926</v>
      </c>
      <c r="D98" s="12">
        <f t="shared" si="86"/>
        <v>15.412806139971298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528.9093807296025</v>
      </c>
      <c r="H98" s="70">
        <f t="shared" si="56"/>
        <v>412.66851236044988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302.30714066618623</v>
      </c>
      <c r="T98" s="62">
        <f t="shared" si="88"/>
        <v>218.81984836501334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153.09120195408497</v>
      </c>
      <c r="AO98" s="62">
        <f t="shared" si="90"/>
        <v>312.73854442032672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-1.1882548278663309E-13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296.94146778663753</v>
      </c>
      <c r="BJ98" s="62">
        <f t="shared" si="92"/>
        <v>333.01339464897745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53.663999999999923</v>
      </c>
      <c r="D99" s="12">
        <f t="shared" si="86"/>
        <v>15.556073979202761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534.33039562893293</v>
      </c>
      <c r="H99" s="70">
        <f t="shared" si="56"/>
        <v>413.89162884711129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302.30714066618623</v>
      </c>
      <c r="T99" s="62">
        <f t="shared" si="88"/>
        <v>218.81984836501334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153.09120195408497</v>
      </c>
      <c r="AO99" s="62">
        <f t="shared" si="90"/>
        <v>312.73854442032672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-1.1882548278663309E-13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296.94146778663753</v>
      </c>
      <c r="BJ99" s="62">
        <f t="shared" si="92"/>
        <v>333.01339464897745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54.222999999999921</v>
      </c>
      <c r="D100" s="12">
        <f t="shared" si="86"/>
        <v>15.699168208129208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539.75007037854073</v>
      </c>
      <c r="H100" s="70">
        <f t="shared" si="56"/>
        <v>415.11444296249152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302.30714066618623</v>
      </c>
      <c r="T100" s="62">
        <f t="shared" si="88"/>
        <v>218.81984836501334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153.09120195408497</v>
      </c>
      <c r="AO100" s="62">
        <f t="shared" si="90"/>
        <v>312.73854442032672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-1.1882548278663309E-13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296.94146778663753</v>
      </c>
      <c r="BJ100" s="62">
        <f t="shared" si="92"/>
        <v>333.01339464897745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54.781999999999918</v>
      </c>
      <c r="D101" s="12">
        <f t="shared" si="86"/>
        <v>15.842090823752644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545.1684203938795</v>
      </c>
      <c r="H101" s="70">
        <f t="shared" si="56"/>
        <v>416.33695818470238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302.30714066618623</v>
      </c>
      <c r="T101" s="62">
        <f t="shared" si="88"/>
        <v>218.81984836501334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153.09120195408497</v>
      </c>
      <c r="AO101" s="62">
        <f t="shared" si="90"/>
        <v>312.73854442032672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-1.1882548278663309E-13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296.94146778663753</v>
      </c>
      <c r="BJ101" s="62">
        <f t="shared" si="92"/>
        <v>333.01339464897745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55.340999999999916</v>
      </c>
      <c r="D102" s="12">
        <f t="shared" si="86"/>
        <v>15.984843779971341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550.58546075767288</v>
      </c>
      <c r="H102" s="70">
        <f t="shared" si="56"/>
        <v>417.55917791678326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302.30714066618623</v>
      </c>
      <c r="T102" s="62">
        <f t="shared" si="88"/>
        <v>218.81984836501334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153.09120195408497</v>
      </c>
      <c r="AO102" s="62">
        <f t="shared" si="90"/>
        <v>312.73854442032672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-1.1882548278663309E-13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296.94146778663753</v>
      </c>
      <c r="BJ102" s="62">
        <f t="shared" si="92"/>
        <v>333.01339464897745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55.899999999999913</v>
      </c>
      <c r="D103" s="12">
        <f t="shared" si="86"/>
        <v>16.127428988936046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556.00120623038276</v>
      </c>
      <c r="H103" s="70">
        <f t="shared" si="56"/>
        <v>418.78110548906341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302.30714066618623</v>
      </c>
      <c r="T103" s="62">
        <f t="shared" si="88"/>
        <v>218.81984836501334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153.09120195408497</v>
      </c>
      <c r="AO103" s="62">
        <f t="shared" si="90"/>
        <v>312.73854442032672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-1.1882548278663309E-13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296.94146778663753</v>
      </c>
      <c r="BJ103" s="62">
        <f t="shared" si="92"/>
        <v>333.01339464897745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56.458999999999911</v>
      </c>
      <c r="D104" s="12">
        <f t="shared" si="86"/>
        <v>16.269848322350242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561.41567126024688</v>
      </c>
      <c r="H104" s="70">
        <f t="shared" si="56"/>
        <v>420.00274416142651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302.30714066618623</v>
      </c>
      <c r="T104" s="62">
        <f t="shared" si="88"/>
        <v>218.81984836501334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153.09120195408497</v>
      </c>
      <c r="AO104" s="62">
        <f t="shared" si="90"/>
        <v>312.73854442032672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-1.1882548278663309E-13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296.94146778663753</v>
      </c>
      <c r="BJ104" s="62">
        <f t="shared" si="92"/>
        <v>333.01339464897745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57.017999999999908</v>
      </c>
      <c r="D105" s="12">
        <f t="shared" si="86"/>
        <v>16.412103612717605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566.82886999290713</v>
      </c>
      <c r="H105" s="70">
        <f t="shared" si="56"/>
        <v>421.22409712548301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302.30714066618623</v>
      </c>
      <c r="T105" s="62">
        <f t="shared" si="88"/>
        <v>218.81984836501334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153.09120195408497</v>
      </c>
      <c r="AO105" s="62">
        <f t="shared" si="90"/>
        <v>312.73854442032672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-1.1882548278663309E-13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296.94146778663753</v>
      </c>
      <c r="BJ105" s="62">
        <f t="shared" si="92"/>
        <v>333.01339464897745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57.576999999999906</v>
      </c>
      <c r="D106" s="12">
        <f t="shared" si="86"/>
        <v>16.554196654539041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572.24081628065153</v>
      </c>
      <c r="H106" s="70">
        <f t="shared" si="56"/>
        <v>422.44516750665525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302.30714066618623</v>
      </c>
      <c r="T106" s="62">
        <f t="shared" si="88"/>
        <v>218.81984836501334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153.09120195408497</v>
      </c>
      <c r="AO106" s="62">
        <f t="shared" si="90"/>
        <v>312.73854442032672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-1.1882548278663309E-13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296.94146778663753</v>
      </c>
      <c r="BJ106" s="62">
        <f t="shared" si="92"/>
        <v>333.01339464897745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58.135999999999903</v>
      </c>
      <c r="D107" s="12">
        <f t="shared" si="86"/>
        <v>16.696129205461904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577.65152369128418</v>
      </c>
      <c r="H107" s="70">
        <f t="shared" si="56"/>
        <v>423.66595836617932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302.30714066618623</v>
      </c>
      <c r="T107" s="62">
        <f t="shared" si="88"/>
        <v>218.81984836501334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153.09120195408497</v>
      </c>
      <c r="AO107" s="62">
        <f t="shared" si="90"/>
        <v>312.73854442032672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-1.1882548278663309E-13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296.94146778663753</v>
      </c>
      <c r="BJ107" s="62">
        <f t="shared" si="92"/>
        <v>333.01339464897745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58.694999999999901</v>
      </c>
      <c r="D108" s="12">
        <f t="shared" si="86"/>
        <v>16.837902987383803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583.06100551664622</v>
      </c>
      <c r="H108" s="70">
        <f t="shared" si="56"/>
        <v>424.88647270302658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302.30714066618623</v>
      </c>
      <c r="T108" s="62">
        <f t="shared" si="88"/>
        <v>218.81984836501334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153.09120195408497</v>
      </c>
      <c r="AO108" s="62">
        <f t="shared" si="90"/>
        <v>312.73854442032672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-1.1882548278663309E-13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296.94146778663753</v>
      </c>
      <c r="BJ108" s="62">
        <f t="shared" si="92"/>
        <v>333.01339464897745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59.253999999999898</v>
      </c>
      <c r="D109" s="12">
        <f t="shared" si="86"/>
        <v>16.97951968751314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588.46927478080249</v>
      </c>
      <c r="H109" s="70">
        <f t="shared" si="56"/>
        <v>426.10671345575184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302.30714066618623</v>
      </c>
      <c r="T109" s="62">
        <f t="shared" si="88"/>
        <v>218.81984836501334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153.09120195408497</v>
      </c>
      <c r="AO109" s="62">
        <f t="shared" si="90"/>
        <v>312.73854442032672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-1.1882548278663309E-13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296.94146778663753</v>
      </c>
      <c r="BJ109" s="62">
        <f t="shared" si="92"/>
        <v>333.01339464897745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59.812999999999896</v>
      </c>
      <c r="D110" s="12">
        <f t="shared" si="86"/>
        <v>17.12098095938844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593.87634424790997</v>
      </c>
      <c r="H110" s="70">
        <f t="shared" si="56"/>
        <v>427.32668350426798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302.30714066618623</v>
      </c>
      <c r="T110" s="62">
        <f t="shared" si="88"/>
        <v>218.81984836501334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153.09120195408497</v>
      </c>
      <c r="AO110" s="62">
        <f t="shared" si="90"/>
        <v>312.73854442032672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-1.1882548278663309E-13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296.94146778663753</v>
      </c>
      <c r="BJ110" s="62">
        <f t="shared" si="92"/>
        <v>333.01339464897745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60.371999999999893</v>
      </c>
      <c r="D111" s="12">
        <f t="shared" si="86"/>
        <v>17.26228842385855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599.28222642978437</v>
      </c>
      <c r="H111" s="70">
        <f t="shared" si="56"/>
        <v>428.54638567155342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302.30714066618623</v>
      </c>
      <c r="T111" s="62">
        <f t="shared" si="88"/>
        <v>218.81984836501334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153.09120195408497</v>
      </c>
      <c r="AO111" s="62">
        <f t="shared" si="90"/>
        <v>312.73854442032672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-1.1882548278663309E-13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296.94146778663753</v>
      </c>
      <c r="BJ111" s="62">
        <f t="shared" si="92"/>
        <v>333.01339464897745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60.930999999999891</v>
      </c>
      <c r="D112" s="12">
        <f t="shared" si="86"/>
        <v>17.403443670025414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604.68693359317786</v>
      </c>
      <c r="H112" s="70">
        <f t="shared" si="56"/>
        <v>429.76582272529407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302.30714066618623</v>
      </c>
      <c r="T112" s="62">
        <f t="shared" si="88"/>
        <v>218.81984836501334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153.09120195408497</v>
      </c>
      <c r="AO112" s="62">
        <f t="shared" si="90"/>
        <v>312.73854442032672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-1.1882548278663309E-13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296.94146778663753</v>
      </c>
      <c r="BJ112" s="62">
        <f t="shared" si="92"/>
        <v>333.01339464897745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61.489999999999888</v>
      </c>
      <c r="D113" s="12">
        <f t="shared" si="86"/>
        <v>17.544448256151377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610.09047776678176</v>
      </c>
      <c r="H113" s="70">
        <f t="shared" si="56"/>
        <v>430.98499737946338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302.30714066618623</v>
      </c>
      <c r="T113" s="62">
        <f t="shared" si="88"/>
        <v>218.81984836501334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153.09120195408497</v>
      </c>
      <c r="AO113" s="62">
        <f t="shared" si="90"/>
        <v>312.73854442032672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-1.1882548278663309E-13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296.94146778663753</v>
      </c>
      <c r="BJ113" s="62">
        <f t="shared" si="92"/>
        <v>333.01339464897745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62.048999999999886</v>
      </c>
      <c r="D114" s="12">
        <f t="shared" si="86"/>
        <v>17.685303710532441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615.49287074796894</v>
      </c>
      <c r="H114" s="70">
        <f t="shared" si="56"/>
        <v>432.20391229584379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302.30714066618623</v>
      </c>
      <c r="T114" s="62">
        <f t="shared" si="88"/>
        <v>218.81984836501334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153.09120195408497</v>
      </c>
      <c r="AO114" s="62">
        <f t="shared" si="90"/>
        <v>312.73854442032672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-1.1882548278663309E-13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296.94146778663753</v>
      </c>
      <c r="BJ114" s="62">
        <f t="shared" si="92"/>
        <v>333.01339464897745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62.607999999999883</v>
      </c>
      <c r="D115" s="12">
        <f t="shared" si="86"/>
        <v>17.826011532339194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620.89412410928401</v>
      </c>
      <c r="H115" s="70">
        <f t="shared" si="56"/>
        <v>433.42257008549052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302.30714066618623</v>
      </c>
      <c r="T115" s="62">
        <f t="shared" si="88"/>
        <v>218.81984836501334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153.09120195408497</v>
      </c>
      <c r="AO115" s="62">
        <f t="shared" si="90"/>
        <v>312.73854442032672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-1.1882548278663309E-13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296.94146778663753</v>
      </c>
      <c r="BJ115" s="62">
        <f t="shared" si="92"/>
        <v>333.01339464897745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63.166999999999881</v>
      </c>
      <c r="D116" s="12">
        <f t="shared" si="86"/>
        <v>17.966573192426846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626.29424920469751</v>
      </c>
      <c r="H116" s="70">
        <f t="shared" si="56"/>
        <v>434.64097331014318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302.30714066618623</v>
      </c>
      <c r="T116" s="62">
        <f t="shared" si="88"/>
        <v>218.81984836501334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153.09120195408497</v>
      </c>
      <c r="AO116" s="62">
        <f t="shared" si="90"/>
        <v>312.73854442032672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-1.1882548278663309E-13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296.94146778663753</v>
      </c>
      <c r="BJ116" s="62">
        <f t="shared" si="92"/>
        <v>333.01339464897745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63.725999999999878</v>
      </c>
      <c r="D117" s="12">
        <f t="shared" si="86"/>
        <v>18.106990134115801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631.69325717562981</v>
      </c>
      <c r="H117" s="70">
        <f t="shared" si="56"/>
        <v>435.85912448358476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302.30714066618623</v>
      </c>
      <c r="T117" s="62">
        <f t="shared" si="88"/>
        <v>218.81984836501334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153.09120195408497</v>
      </c>
      <c r="AO117" s="62">
        <f t="shared" si="90"/>
        <v>312.73854442032672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-1.1882548278663309E-13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296.94146778663753</v>
      </c>
      <c r="BJ117" s="62">
        <f t="shared" si="92"/>
        <v>333.01339464897745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64.284999999999883</v>
      </c>
      <c r="D118" s="12">
        <f t="shared" si="86"/>
        <v>18.247263773943999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637.09115895675984</v>
      </c>
      <c r="H118" s="70">
        <f t="shared" si="56"/>
        <v>437.07702607295221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302.30714066618623</v>
      </c>
      <c r="T118" s="62">
        <f t="shared" si="88"/>
        <v>218.81984836501334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153.09120195408497</v>
      </c>
      <c r="AO118" s="62">
        <f t="shared" si="90"/>
        <v>312.73854442032672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-1.1882548278663309E-13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296.94146778663753</v>
      </c>
      <c r="BJ118" s="62">
        <f t="shared" si="92"/>
        <v>333.01339464897745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64.84399999999988</v>
      </c>
      <c r="D119" s="12">
        <f t="shared" si="86"/>
        <v>18.387395502392327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642.48796528162404</v>
      </c>
      <c r="H119" s="70">
        <f t="shared" si="56"/>
        <v>438.29468049999969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302.30714066618623</v>
      </c>
      <c r="T119" s="62">
        <f t="shared" si="88"/>
        <v>218.81984836501334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153.09120195408497</v>
      </c>
      <c r="AO119" s="62">
        <f t="shared" si="90"/>
        <v>312.73854442032672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-1.1882548278663309E-13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296.94146778663753</v>
      </c>
      <c r="BJ119" s="62">
        <f t="shared" si="92"/>
        <v>333.01339464897745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65.402999999999878</v>
      </c>
      <c r="D120" s="12">
        <f t="shared" si="86"/>
        <v>18.527386684584421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647.88368668801934</v>
      </c>
      <c r="H120" s="70">
        <f t="shared" si="56"/>
        <v>439.51209014231767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302.30714066618623</v>
      </c>
      <c r="T120" s="62">
        <f t="shared" si="88"/>
        <v>218.81984836501334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153.09120195408497</v>
      </c>
      <c r="AO120" s="62">
        <f t="shared" si="90"/>
        <v>312.73854442032672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-1.1882548278663309E-13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296.94146778663753</v>
      </c>
      <c r="BJ120" s="62">
        <f t="shared" si="92"/>
        <v>333.01339464897745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65.961999999999875</v>
      </c>
      <c r="D121" s="12">
        <f t="shared" si="86"/>
        <v>18.667238660961754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653.27833352321261</v>
      </c>
      <c r="H121" s="70">
        <f t="shared" si="56"/>
        <v>440.72925733450813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302.30714066618623</v>
      </c>
      <c r="T121" s="62">
        <f t="shared" si="88"/>
        <v>218.81984836501334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153.09120195408497</v>
      </c>
      <c r="AO121" s="62">
        <f t="shared" si="90"/>
        <v>312.73854442032672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-1.1882548278663309E-13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296.94146778663753</v>
      </c>
      <c r="BJ121" s="62">
        <f t="shared" si="92"/>
        <v>333.01339464897745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66.520999999999873</v>
      </c>
      <c r="D122" s="12">
        <f t="shared" si="86"/>
        <v>18.806952747935146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658.67191594897213</v>
      </c>
      <c r="H122" s="70">
        <f t="shared" si="56"/>
        <v>441.94618436932012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302.30714066618623</v>
      </c>
      <c r="T122" s="62">
        <f t="shared" si="88"/>
        <v>218.81984836501334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153.09120195408497</v>
      </c>
      <c r="AO122" s="62">
        <f t="shared" si="90"/>
        <v>312.73854442032672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-1.1882548278663309E-13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296.94146778663753</v>
      </c>
      <c r="BJ122" s="62">
        <f t="shared" si="92"/>
        <v>333.01339464897745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67.07999999999987</v>
      </c>
      <c r="D123" s="12">
        <f t="shared" si="86"/>
        <v>18.946530238513862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664.06444394642187</v>
      </c>
      <c r="H123" s="70">
        <f t="shared" si="56"/>
        <v>443.16287349874472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302.30714066618623</v>
      </c>
      <c r="T123" s="62">
        <f t="shared" si="88"/>
        <v>218.81984836501334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153.09120195408497</v>
      </c>
      <c r="AO123" s="62">
        <f t="shared" si="90"/>
        <v>312.73854442032672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-1.1882548278663309E-13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296.94146778663753</v>
      </c>
      <c r="BJ123" s="62">
        <f t="shared" si="92"/>
        <v>333.01339464897745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67.638999999999868</v>
      </c>
      <c r="D124" s="12">
        <f t="shared" si="86"/>
        <v>19.085972402913047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669.45592732073135</v>
      </c>
      <c r="H124" s="70">
        <f t="shared" si="56"/>
        <v>444.37932693507332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302.30714066618623</v>
      </c>
      <c r="T124" s="62">
        <f t="shared" si="88"/>
        <v>218.81984836501334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153.09120195408497</v>
      </c>
      <c r="AO124" s="62">
        <f t="shared" si="90"/>
        <v>312.73854442032672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-1.1882548278663309E-13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296.94146778663753</v>
      </c>
      <c r="BJ124" s="62">
        <f t="shared" si="92"/>
        <v>333.01339464897745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68.197999999999865</v>
      </c>
      <c r="D125" s="12">
        <f t="shared" si="86"/>
        <v>19.225280489140612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674.84637570564576</v>
      </c>
      <c r="H125" s="70">
        <f t="shared" si="56"/>
        <v>445.59554685191961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302.30714066618623</v>
      </c>
      <c r="T125" s="62">
        <f t="shared" si="88"/>
        <v>218.81984836501334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153.09120195408497</v>
      </c>
      <c r="AO125" s="62">
        <f t="shared" si="90"/>
        <v>312.73854442032672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-1.1882548278663309E-13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296.94146778663753</v>
      </c>
      <c r="BJ125" s="62">
        <f t="shared" si="92"/>
        <v>333.01339464897745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68.756999999999863</v>
      </c>
      <c r="D126" s="12">
        <f t="shared" si="86"/>
        <v>19.364455723564159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680.23579856786262</v>
      </c>
      <c r="H126" s="70">
        <f t="shared" si="56"/>
        <v>446.81153538520732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302.30714066618623</v>
      </c>
      <c r="T126" s="62">
        <f t="shared" si="88"/>
        <v>218.81984836501334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153.09120195408497</v>
      </c>
      <c r="AO126" s="62">
        <f t="shared" si="90"/>
        <v>312.73854442032672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-1.1882548278663309E-13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296.94146778663753</v>
      </c>
      <c r="BJ126" s="62">
        <f t="shared" si="92"/>
        <v>333.01339464897745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69.31599999999986</v>
      </c>
      <c r="D127" s="12">
        <f t="shared" si="86"/>
        <v>19.503499311459102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685.62420521126216</v>
      </c>
      <c r="H127" s="70">
        <f t="shared" si="56"/>
        <v>448.02729463412436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302.30714066618623</v>
      </c>
      <c r="T127" s="62">
        <f t="shared" si="88"/>
        <v>218.81984836501334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153.09120195408497</v>
      </c>
      <c r="AO127" s="62">
        <f t="shared" si="90"/>
        <v>312.73854442032672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-1.1882548278663309E-13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296.94146778663753</v>
      </c>
      <c r="BJ127" s="62">
        <f t="shared" si="92"/>
        <v>333.01339464897745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69.874999999999858</v>
      </c>
      <c r="D128" s="12">
        <f t="shared" si="86"/>
        <v>19.642412437538525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691.01160478099803</v>
      </c>
      <c r="H128" s="70">
        <f t="shared" si="56"/>
        <v>449.24282666204601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302.30714066618623</v>
      </c>
      <c r="T128" s="62">
        <f t="shared" si="88"/>
        <v>218.81984836501334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153.09120195408497</v>
      </c>
      <c r="AO128" s="62">
        <f t="shared" si="90"/>
        <v>312.73854442032672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-1.1882548278663309E-13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296.94146778663753</v>
      </c>
      <c r="BJ128" s="62">
        <f t="shared" si="92"/>
        <v>333.01339464897745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70.433999999999855</v>
      </c>
      <c r="D129" s="12">
        <f t="shared" si="86"/>
        <v>19.781196266465557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696.39800626745227</v>
      </c>
      <c r="H129" s="70">
        <f t="shared" si="56"/>
        <v>450.45813349742724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302.30714066618623</v>
      </c>
      <c r="T129" s="62">
        <f t="shared" si="88"/>
        <v>218.81984836501334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153.09120195408497</v>
      </c>
      <c r="AO129" s="62">
        <f t="shared" si="90"/>
        <v>312.73854442032672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-1.1882548278663309E-13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296.94146778663753</v>
      </c>
      <c r="BJ129" s="62">
        <f t="shared" si="92"/>
        <v>333.01339464897745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70.992999999999853</v>
      </c>
      <c r="D130" s="12">
        <f t="shared" si="86"/>
        <v>19.919851943349197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701.78341851006292</v>
      </c>
      <c r="H130" s="70">
        <f t="shared" si="56"/>
        <v>451.67321713466623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302.30714066618623</v>
      </c>
      <c r="T130" s="62">
        <f t="shared" si="88"/>
        <v>218.81984836501334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153.09120195408497</v>
      </c>
      <c r="AO130" s="62">
        <f t="shared" si="90"/>
        <v>312.73854442032672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-1.1882548278663309E-13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296.94146778663753</v>
      </c>
      <c r="BJ130" s="62">
        <f t="shared" si="92"/>
        <v>333.01339464897745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71.55199999999985</v>
      </c>
      <c r="D131" s="12">
        <f t="shared" si="86"/>
        <v>20.058380594223749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707.16785020102441</v>
      </c>
      <c r="H131" s="70">
        <f t="shared" si="56"/>
        <v>452.88807953493938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302.30714066618623</v>
      </c>
      <c r="T131" s="62">
        <f t="shared" si="88"/>
        <v>218.81984836501334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153.09120195408497</v>
      </c>
      <c r="AO131" s="62">
        <f t="shared" si="90"/>
        <v>312.73854442032672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-1.1882548278663309E-13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296.94146778663753</v>
      </c>
      <c r="BJ131" s="62">
        <f t="shared" si="92"/>
        <v>333.01339464897745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72.110999999999848</v>
      </c>
      <c r="D132" s="12">
        <f t="shared" si="86"/>
        <v>20.19678332651322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712.55130988887277</v>
      </c>
      <c r="H132" s="70">
        <f t="shared" ref="H132:H195" si="110">(B132+E132+F132)*44/12+(C132+D132)*0.475*44/12</f>
        <v>454.10272262701022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302.30714066618623</v>
      </c>
      <c r="T132" s="62">
        <f t="shared" si="88"/>
        <v>218.81984836501334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153.09120195408497</v>
      </c>
      <c r="AO132" s="62">
        <f t="shared" si="90"/>
        <v>312.73854442032672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-1.1882548278663309E-13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296.94146778663753</v>
      </c>
      <c r="BJ132" s="62">
        <f t="shared" si="92"/>
        <v>333.01339464897745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72.669999999999845</v>
      </c>
      <c r="D133" s="12">
        <f t="shared" ref="D133:D196" si="140">IFERROR(EXP(-1.0587+0.8836*LN(C133)+0.284),0)</f>
        <v>20.335061229480619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717.93380598195461</v>
      </c>
      <c r="H133" s="70">
        <f t="shared" si="110"/>
        <v>455.31714830801172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302.30714066618623</v>
      </c>
      <c r="T133" s="62">
        <f t="shared" ref="T133:T196" si="142">$T$3</f>
        <v>218.81984836501334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153.09120195408497</v>
      </c>
      <c r="AO133" s="62">
        <f t="shared" ref="AO133:AO196" si="144">$AO$3</f>
        <v>312.73854442032672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-1.1882548278663309E-13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296.94146778663753</v>
      </c>
      <c r="BJ133" s="62">
        <f t="shared" ref="BJ133:BJ196" si="146">$BJ$3</f>
        <v>333.01339464897745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73.228999999999843</v>
      </c>
      <c r="D134" s="12">
        <f t="shared" si="140"/>
        <v>20.473215374663191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723.31534675178489</v>
      </c>
      <c r="H134" s="70">
        <f t="shared" si="110"/>
        <v>456.53135844420478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302.30714066618623</v>
      </c>
      <c r="T134" s="62">
        <f t="shared" si="142"/>
        <v>218.81984836501334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153.09120195408497</v>
      </c>
      <c r="AO134" s="62">
        <f t="shared" si="144"/>
        <v>312.73854442032672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-1.1882548278663309E-13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296.94146778663753</v>
      </c>
      <c r="BJ134" s="62">
        <f t="shared" si="146"/>
        <v>333.01339464897745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73.78799999999984</v>
      </c>
      <c r="D135" s="12">
        <f t="shared" si="140"/>
        <v>20.611246816293903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728.69594033630256</v>
      </c>
      <c r="H135" s="70">
        <f t="shared" si="110"/>
        <v>457.74535487171158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302.30714066618623</v>
      </c>
      <c r="T135" s="62">
        <f t="shared" si="142"/>
        <v>218.81984836501334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153.09120195408497</v>
      </c>
      <c r="AO135" s="62">
        <f t="shared" si="144"/>
        <v>312.73854442032672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-1.1882548278663309E-13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296.94146778663753</v>
      </c>
      <c r="BJ135" s="62">
        <f t="shared" si="146"/>
        <v>333.01339464897745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74.346999999999838</v>
      </c>
      <c r="D136" s="12">
        <f t="shared" si="140"/>
        <v>20.749156591709802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734.07559474302195</v>
      </c>
      <c r="H136" s="70">
        <f t="shared" si="110"/>
        <v>458.9591393972276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302.30714066618623</v>
      </c>
      <c r="T136" s="62">
        <f t="shared" si="142"/>
        <v>218.81984836501334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153.09120195408497</v>
      </c>
      <c r="AO136" s="62">
        <f t="shared" si="144"/>
        <v>312.73854442032672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-1.1882548278663309E-13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296.94146778663753</v>
      </c>
      <c r="BJ136" s="62">
        <f t="shared" si="146"/>
        <v>333.01339464897745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74.905999999999835</v>
      </c>
      <c r="D137" s="12">
        <f t="shared" si="140"/>
        <v>20.886945721747846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739.45431785208746</v>
      </c>
      <c r="H137" s="70">
        <f t="shared" si="110"/>
        <v>460.17271379871056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302.30714066618623</v>
      </c>
      <c r="T137" s="62">
        <f t="shared" si="142"/>
        <v>218.81984836501334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153.09120195408497</v>
      </c>
      <c r="AO137" s="62">
        <f t="shared" si="144"/>
        <v>312.73854442032672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-1.1882548278663309E-13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296.94146778663753</v>
      </c>
      <c r="BJ137" s="62">
        <f t="shared" si="146"/>
        <v>333.01339464897745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75.464999999999833</v>
      </c>
      <c r="D138" s="12">
        <f t="shared" si="140"/>
        <v>21.02461521112831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744.83211741923481</v>
      </c>
      <c r="H138" s="70">
        <f t="shared" si="110"/>
        <v>461.3860798260481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302.30714066618623</v>
      </c>
      <c r="T138" s="62">
        <f t="shared" si="142"/>
        <v>218.81984836501334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153.09120195408497</v>
      </c>
      <c r="AO138" s="62">
        <f t="shared" si="144"/>
        <v>312.73854442032672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-1.1882548278663309E-13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296.94146778663753</v>
      </c>
      <c r="BJ138" s="62">
        <f t="shared" si="146"/>
        <v>333.01339464897745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76.02399999999983</v>
      </c>
      <c r="D139" s="12">
        <f t="shared" si="140"/>
        <v>21.162166048826901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750.20900107866248</v>
      </c>
      <c r="H139" s="70">
        <f t="shared" si="110"/>
        <v>462.59923920170655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302.30714066618623</v>
      </c>
      <c r="T139" s="62">
        <f t="shared" si="142"/>
        <v>218.81984836501334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153.09120195408497</v>
      </c>
      <c r="AO139" s="62">
        <f t="shared" si="144"/>
        <v>312.73854442032672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-1.1882548278663309E-13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296.94146778663753</v>
      </c>
      <c r="BJ139" s="62">
        <f t="shared" si="146"/>
        <v>333.01339464897745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76.582999999999828</v>
      </c>
      <c r="D140" s="12">
        <f t="shared" si="140"/>
        <v>21.299599208435229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755.58497634581454</v>
      </c>
      <c r="H140" s="70">
        <f t="shared" si="110"/>
        <v>463.81219362135766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302.30714066618623</v>
      </c>
      <c r="T140" s="62">
        <f t="shared" si="142"/>
        <v>218.81984836501334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153.09120195408497</v>
      </c>
      <c r="AO140" s="62">
        <f t="shared" si="144"/>
        <v>312.73854442032672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-1.1882548278663309E-13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296.94146778663753</v>
      </c>
      <c r="BJ140" s="62">
        <f t="shared" si="146"/>
        <v>333.01339464897745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77.141999999999825</v>
      </c>
      <c r="D141" s="12">
        <f t="shared" si="140"/>
        <v>21.43691564851072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760.96005062008135</v>
      </c>
      <c r="H141" s="70">
        <f t="shared" si="110"/>
        <v>465.02494475448918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302.30714066618623</v>
      </c>
      <c r="T141" s="62">
        <f t="shared" si="142"/>
        <v>218.81984836501334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153.09120195408497</v>
      </c>
      <c r="AO141" s="62">
        <f t="shared" si="144"/>
        <v>312.73854442032672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-1.1882548278663309E-13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296.94146778663753</v>
      </c>
      <c r="BJ141" s="62">
        <f t="shared" si="146"/>
        <v>333.01339464897745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77.700999999999823</v>
      </c>
      <c r="D142" s="12">
        <f t="shared" si="140"/>
        <v>21.574116312915926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766.33423118741973</v>
      </c>
      <c r="H142" s="70">
        <f t="shared" si="110"/>
        <v>466.23749424499488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302.30714066618623</v>
      </c>
      <c r="T142" s="62">
        <f t="shared" si="142"/>
        <v>218.81984836501334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153.09120195408497</v>
      </c>
      <c r="AO142" s="62">
        <f t="shared" si="144"/>
        <v>312.73854442032672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-1.1882548278663309E-13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296.94146778663753</v>
      </c>
      <c r="BJ142" s="62">
        <f t="shared" si="146"/>
        <v>333.01339464897745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78.25999999999982</v>
      </c>
      <c r="D143" s="12">
        <f t="shared" si="140"/>
        <v>21.7112021311479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771.70752522289467</v>
      </c>
      <c r="H143" s="70">
        <f t="shared" si="110"/>
        <v>467.44984371174894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302.30714066618623</v>
      </c>
      <c r="T143" s="62">
        <f t="shared" si="142"/>
        <v>218.81984836501334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153.09120195408497</v>
      </c>
      <c r="AO143" s="62">
        <f t="shared" si="144"/>
        <v>312.73854442032672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-1.1882548278663309E-13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296.94146778663753</v>
      </c>
      <c r="BJ143" s="62">
        <f t="shared" si="146"/>
        <v>333.01339464897745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78.818999999999818</v>
      </c>
      <c r="D144" s="12">
        <f t="shared" si="140"/>
        <v>21.848174018657858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777.07993979314699</v>
      </c>
      <c r="H144" s="70">
        <f t="shared" si="110"/>
        <v>468.66199474916209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302.30714066618623</v>
      </c>
      <c r="T144" s="62">
        <f t="shared" si="142"/>
        <v>218.81984836501334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153.09120195408497</v>
      </c>
      <c r="AO144" s="62">
        <f t="shared" si="144"/>
        <v>312.73854442032672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-1.1882548278663309E-13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296.94146778663753</v>
      </c>
      <c r="BJ144" s="62">
        <f t="shared" si="146"/>
        <v>333.01339464897745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79.377999999999815</v>
      </c>
      <c r="D145" s="12">
        <f t="shared" si="140"/>
        <v>21.985032877161469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782.45148185878895</v>
      </c>
      <c r="H145" s="70">
        <f t="shared" si="110"/>
        <v>469.87394892772255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302.30714066618623</v>
      </c>
      <c r="T145" s="62">
        <f t="shared" si="142"/>
        <v>218.81984836501334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153.09120195408497</v>
      </c>
      <c r="AO145" s="62">
        <f t="shared" si="144"/>
        <v>312.73854442032672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-1.1882548278663309E-13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296.94146778663753</v>
      </c>
      <c r="BJ145" s="62">
        <f t="shared" si="146"/>
        <v>333.01339464897745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79.936999999999813</v>
      </c>
      <c r="D146" s="12">
        <f t="shared" si="140"/>
        <v>22.121779594940222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787.82215827673008</v>
      </c>
      <c r="H146" s="70">
        <f t="shared" si="110"/>
        <v>471.08570779452054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302.30714066618623</v>
      </c>
      <c r="T146" s="62">
        <f t="shared" si="142"/>
        <v>218.81984836501334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153.09120195408497</v>
      </c>
      <c r="AO146" s="62">
        <f t="shared" si="144"/>
        <v>312.73854442032672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-1.1882548278663309E-13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296.94146778663753</v>
      </c>
      <c r="BJ146" s="62">
        <f t="shared" si="146"/>
        <v>333.01339464897745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80.49599999999981</v>
      </c>
      <c r="D147" s="12">
        <f t="shared" si="140"/>
        <v>22.258415047134058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793.1919758024369</v>
      </c>
      <c r="H147" s="70">
        <f t="shared" si="110"/>
        <v>472.29727287375817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302.30714066618623</v>
      </c>
      <c r="T147" s="62">
        <f t="shared" si="142"/>
        <v>218.81984836501334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153.09120195408497</v>
      </c>
      <c r="AO147" s="62">
        <f t="shared" si="144"/>
        <v>312.73854442032672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-1.1882548278663309E-13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296.94146778663753</v>
      </c>
      <c r="BJ147" s="62">
        <f t="shared" si="146"/>
        <v>333.01339464897745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81.054999999999808</v>
      </c>
      <c r="D148" s="12">
        <f t="shared" si="140"/>
        <v>22.394940096025689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798.56094109212665</v>
      </c>
      <c r="H148" s="70">
        <f t="shared" si="110"/>
        <v>473.50864566724437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302.30714066618623</v>
      </c>
      <c r="T148" s="62">
        <f t="shared" si="142"/>
        <v>218.81984836501334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153.09120195408497</v>
      </c>
      <c r="AO148" s="62">
        <f t="shared" si="144"/>
        <v>312.73854442032672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-1.1882548278663309E-13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296.94146778663753</v>
      </c>
      <c r="BJ148" s="62">
        <f t="shared" si="146"/>
        <v>333.01339464897745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81.613999999999805</v>
      </c>
      <c r="D149" s="12">
        <f t="shared" si="140"/>
        <v>22.531355591316824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803.92906070490028</v>
      </c>
      <c r="H149" s="70">
        <f t="shared" si="110"/>
        <v>474.71982765487644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302.30714066618623</v>
      </c>
      <c r="T149" s="62">
        <f t="shared" si="142"/>
        <v>218.81984836501334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153.09120195408497</v>
      </c>
      <c r="AO149" s="62">
        <f t="shared" si="144"/>
        <v>312.73854442032672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-1.1882548278663309E-13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296.94146778663753</v>
      </c>
      <c r="BJ149" s="62">
        <f t="shared" si="146"/>
        <v>333.01339464897745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82.172999999999803</v>
      </c>
      <c r="D150" s="12">
        <f t="shared" si="140"/>
        <v>22.667662370396606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809.29634110481447</v>
      </c>
      <c r="H150" s="70">
        <f t="shared" si="110"/>
        <v>475.93082029510708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302.30714066618623</v>
      </c>
      <c r="T150" s="62">
        <f t="shared" si="142"/>
        <v>218.81984836501334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153.09120195408497</v>
      </c>
      <c r="AO150" s="62">
        <f t="shared" si="144"/>
        <v>312.73854442032672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-1.1882548278663309E-13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296.94146778663753</v>
      </c>
      <c r="BJ150" s="62">
        <f t="shared" si="146"/>
        <v>333.01339464897745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82.7319999999998</v>
      </c>
      <c r="D151" s="12">
        <f t="shared" si="140"/>
        <v>22.803861258602545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814.66278866289542</v>
      </c>
      <c r="H151" s="70">
        <f t="shared" si="110"/>
        <v>477.14162502539909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302.30714066618623</v>
      </c>
      <c r="T151" s="62">
        <f t="shared" si="142"/>
        <v>218.81984836501334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153.09120195408497</v>
      </c>
      <c r="AO151" s="62">
        <f t="shared" si="144"/>
        <v>312.73854442032672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-1.1882548278663309E-13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296.94146778663753</v>
      </c>
      <c r="BJ151" s="62">
        <f t="shared" si="146"/>
        <v>333.01339464897745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83.290999999999798</v>
      </c>
      <c r="D152" s="12">
        <f t="shared" si="140"/>
        <v>22.939953069474232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820.02840965909775</v>
      </c>
      <c r="H152" s="70">
        <f t="shared" si="110"/>
        <v>478.35224326266723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302.30714066618623</v>
      </c>
      <c r="T152" s="62">
        <f t="shared" si="142"/>
        <v>218.81984836501334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153.09120195408497</v>
      </c>
      <c r="AO152" s="62">
        <f t="shared" si="144"/>
        <v>312.73854442032672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-1.1882548278663309E-13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296.94146778663753</v>
      </c>
      <c r="BJ152" s="62">
        <f t="shared" si="146"/>
        <v>333.01339464897745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83.849999999999795</v>
      </c>
      <c r="D153" s="12">
        <f t="shared" si="140"/>
        <v>23.075938604999934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825.39321028420852</v>
      </c>
      <c r="H153" s="70">
        <f t="shared" si="110"/>
        <v>479.56267640370783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302.30714066618623</v>
      </c>
      <c r="T153" s="62">
        <f t="shared" si="142"/>
        <v>218.81984836501334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153.09120195408497</v>
      </c>
      <c r="AO153" s="62">
        <f t="shared" si="144"/>
        <v>312.73854442032672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-1.1882548278663309E-13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296.94146778663753</v>
      </c>
      <c r="BJ153" s="62">
        <f t="shared" si="146"/>
        <v>333.01339464897745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84.408999999999793</v>
      </c>
      <c r="D154" s="12">
        <f t="shared" si="140"/>
        <v>23.211818655856568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830.75719664169821</v>
      </c>
      <c r="H154" s="70">
        <f t="shared" si="110"/>
        <v>480.77292582561648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302.30714066618623</v>
      </c>
      <c r="T154" s="62">
        <f t="shared" si="142"/>
        <v>218.81984836501334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153.09120195408497</v>
      </c>
      <c r="AO154" s="62">
        <f t="shared" si="144"/>
        <v>312.73854442032672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-1.1882548278663309E-13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296.94146778663753</v>
      </c>
      <c r="BJ154" s="62">
        <f t="shared" si="146"/>
        <v>333.01339464897745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84.96799999999979</v>
      </c>
      <c r="D155" s="12">
        <f t="shared" si="140"/>
        <v>23.347594001643007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836.12037474952342</v>
      </c>
      <c r="H155" s="70">
        <f t="shared" si="110"/>
        <v>481.98299288619449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302.30714066618623</v>
      </c>
      <c r="T155" s="62">
        <f t="shared" si="142"/>
        <v>218.81984836501334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153.09120195408497</v>
      </c>
      <c r="AO155" s="62">
        <f t="shared" si="144"/>
        <v>312.73854442032672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-1.1882548278663309E-13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296.94146778663753</v>
      </c>
      <c r="BJ155" s="62">
        <f t="shared" si="146"/>
        <v>333.01339464897745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85.526999999999788</v>
      </c>
      <c r="D156" s="12">
        <f t="shared" si="140"/>
        <v>23.483265411107197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841.48275054187854</v>
      </c>
      <c r="H156" s="70">
        <f t="shared" si="110"/>
        <v>483.19287892434465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302.30714066618623</v>
      </c>
      <c r="T156" s="62">
        <f t="shared" si="142"/>
        <v>218.81984836501334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153.09120195408497</v>
      </c>
      <c r="AO156" s="62">
        <f t="shared" si="144"/>
        <v>312.73854442032672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-1.1882548278663309E-13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296.94146778663753</v>
      </c>
      <c r="BJ156" s="62">
        <f t="shared" si="146"/>
        <v>333.01339464897745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86.085999999999785</v>
      </c>
      <c r="D157" s="12">
        <f t="shared" si="140"/>
        <v>23.618833642367036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846.84432987090179</v>
      </c>
      <c r="H157" s="70">
        <f t="shared" si="110"/>
        <v>484.40258526045551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302.30714066618623</v>
      </c>
      <c r="T157" s="62">
        <f t="shared" si="142"/>
        <v>218.81984836501334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153.09120195408497</v>
      </c>
      <c r="AO157" s="62">
        <f t="shared" si="144"/>
        <v>312.73854442032672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-1.1882548278663309E-13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296.94146778663753</v>
      </c>
      <c r="BJ157" s="62">
        <f t="shared" si="146"/>
        <v>333.01339464897745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86.644999999999783</v>
      </c>
      <c r="D158" s="12">
        <f t="shared" si="140"/>
        <v>23.75429944312544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852.20511850833509</v>
      </c>
      <c r="H158" s="70">
        <f t="shared" si="110"/>
        <v>485.61211319677642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302.30714066618623</v>
      </c>
      <c r="T158" s="62">
        <f t="shared" si="142"/>
        <v>218.81984836501334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153.09120195408497</v>
      </c>
      <c r="AO158" s="62">
        <f t="shared" si="144"/>
        <v>312.73854442032672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-1.1882548278663309E-13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296.94146778663753</v>
      </c>
      <c r="BJ158" s="62">
        <f t="shared" si="146"/>
        <v>333.01339464897745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87.20399999999978</v>
      </c>
      <c r="D159" s="12">
        <f t="shared" si="140"/>
        <v>23.889663550879664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857.5651221471395</v>
      </c>
      <c r="H159" s="70">
        <f t="shared" si="110"/>
        <v>486.82146401778164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302.30714066618623</v>
      </c>
      <c r="T159" s="62">
        <f t="shared" si="142"/>
        <v>218.81984836501334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153.09120195408497</v>
      </c>
      <c r="AO159" s="62">
        <f t="shared" si="144"/>
        <v>312.73854442032672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-1.1882548278663309E-13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296.94146778663753</v>
      </c>
      <c r="BJ159" s="62">
        <f t="shared" si="146"/>
        <v>333.01339464897745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87.762999999999778</v>
      </c>
      <c r="D160" s="12">
        <f t="shared" si="140"/>
        <v>24.024926693125117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862.92434640306931</v>
      </c>
      <c r="H160" s="70">
        <f t="shared" si="110"/>
        <v>488.03063899052586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302.30714066618623</v>
      </c>
      <c r="T160" s="62">
        <f t="shared" si="142"/>
        <v>218.81984836501334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153.09120195408497</v>
      </c>
      <c r="AO160" s="62">
        <f t="shared" si="144"/>
        <v>312.73854442032672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-1.1882548278663309E-13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296.94146778663753</v>
      </c>
      <c r="BJ160" s="62">
        <f t="shared" si="146"/>
        <v>333.01339464897745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88.321999999999775</v>
      </c>
      <c r="D161" s="12">
        <f t="shared" si="140"/>
        <v>24.160089587553845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868.28279681620336</v>
      </c>
      <c r="H161" s="70">
        <f t="shared" si="110"/>
        <v>489.23963936498916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302.30714066618623</v>
      </c>
      <c r="T161" s="62">
        <f t="shared" si="142"/>
        <v>218.81984836501334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153.09120195408497</v>
      </c>
      <c r="AO161" s="62">
        <f t="shared" si="144"/>
        <v>312.73854442032672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-1.1882548278663309E-13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296.94146778663753</v>
      </c>
      <c r="BJ161" s="62">
        <f t="shared" si="146"/>
        <v>333.01339464897745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88.880999999999773</v>
      </c>
      <c r="D162" s="12">
        <f t="shared" si="140"/>
        <v>24.295152942247746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873.64047885243701</v>
      </c>
      <c r="H162" s="70">
        <f t="shared" si="110"/>
        <v>490.44846637441435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302.30714066618623</v>
      </c>
      <c r="T162" s="62">
        <f t="shared" si="142"/>
        <v>218.81984836501334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153.09120195408497</v>
      </c>
      <c r="AO162" s="62">
        <f t="shared" si="144"/>
        <v>312.73854442032672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-1.1882548278663309E-13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296.94146778663753</v>
      </c>
      <c r="BJ162" s="62">
        <f t="shared" si="146"/>
        <v>333.01339464897745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89.43999999999977</v>
      </c>
      <c r="D163" s="12">
        <f t="shared" si="140"/>
        <v>24.430117455866995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878.99739790493641</v>
      </c>
      <c r="H163" s="70">
        <f t="shared" si="110"/>
        <v>491.65712123563458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302.30714066618623</v>
      </c>
      <c r="T163" s="62">
        <f t="shared" si="142"/>
        <v>218.81984836501334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153.09120195408497</v>
      </c>
      <c r="AO163" s="62">
        <f t="shared" si="144"/>
        <v>312.73854442032672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-1.1882548278663309E-13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296.94146778663753</v>
      </c>
      <c r="BJ163" s="62">
        <f t="shared" si="146"/>
        <v>333.01339464897745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89.998999999999768</v>
      </c>
      <c r="D164" s="12">
        <f t="shared" si="140"/>
        <v>24.564983817833372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884.35355929555408</v>
      </c>
      <c r="H164" s="70">
        <f t="shared" si="110"/>
        <v>492.86560514939265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302.30714066618623</v>
      </c>
      <c r="T164" s="62">
        <f t="shared" si="142"/>
        <v>218.81984836501334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153.09120195408497</v>
      </c>
      <c r="AO164" s="62">
        <f t="shared" si="144"/>
        <v>312.73854442032672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-1.1882548278663309E-13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296.94146778663753</v>
      </c>
      <c r="BJ164" s="62">
        <f t="shared" si="146"/>
        <v>333.01339464897745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90.557999999999765</v>
      </c>
      <c r="D165" s="12">
        <f t="shared" si="140"/>
        <v>24.699752708509081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889.70896827620857</v>
      </c>
      <c r="H165" s="70">
        <f t="shared" si="110"/>
        <v>494.0739193006529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302.30714066618623</v>
      </c>
      <c r="T165" s="62">
        <f t="shared" si="142"/>
        <v>218.81984836501334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153.09120195408497</v>
      </c>
      <c r="AO165" s="62">
        <f t="shared" si="144"/>
        <v>312.73854442032672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-1.1882548278663309E-13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296.94146778663753</v>
      </c>
      <c r="BJ165" s="62">
        <f t="shared" si="146"/>
        <v>333.01339464897745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91.116999999999763</v>
      </c>
      <c r="D166" s="12">
        <f t="shared" si="140"/>
        <v>24.834424799371007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895.06363003023068</v>
      </c>
      <c r="H166" s="70">
        <f t="shared" si="110"/>
        <v>495.28206485890405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302.30714066618623</v>
      </c>
      <c r="T166" s="62">
        <f t="shared" si="142"/>
        <v>218.81984836501334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153.09120195408497</v>
      </c>
      <c r="AO166" s="62">
        <f t="shared" si="144"/>
        <v>312.73854442032672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-1.1882548278663309E-13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296.94146778663753</v>
      </c>
      <c r="BJ166" s="62">
        <f t="shared" si="146"/>
        <v>333.01339464897745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91.67599999999976</v>
      </c>
      <c r="D167" s="12">
        <f t="shared" si="140"/>
        <v>24.969000753180424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900.4175496736716</v>
      </c>
      <c r="H167" s="70">
        <f t="shared" si="110"/>
        <v>496.49004297845545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302.30714066618623</v>
      </c>
      <c r="T167" s="62">
        <f t="shared" si="142"/>
        <v>218.81984836501334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153.09120195408497</v>
      </c>
      <c r="AO167" s="62">
        <f t="shared" si="144"/>
        <v>312.73854442032672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-1.1882548278663309E-13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296.94146778663753</v>
      </c>
      <c r="BJ167" s="62">
        <f t="shared" si="146"/>
        <v>333.01339464897745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92.234999999999758</v>
      </c>
      <c r="D168" s="12">
        <f t="shared" si="140"/>
        <v>25.103481224148709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905.77073225658467</v>
      </c>
      <c r="H168" s="70">
        <f t="shared" si="110"/>
        <v>497.69785479872519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302.30714066618623</v>
      </c>
      <c r="T168" s="62">
        <f t="shared" si="142"/>
        <v>218.81984836501334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153.09120195408497</v>
      </c>
      <c r="AO168" s="62">
        <f t="shared" si="144"/>
        <v>312.73854442032672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-1.1882548278663309E-13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296.94146778663753</v>
      </c>
      <c r="BJ168" s="62">
        <f t="shared" si="146"/>
        <v>333.01339464897745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92.793999999999755</v>
      </c>
      <c r="D169" s="12">
        <f t="shared" si="140"/>
        <v>25.237866858098624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911.12318276426822</v>
      </c>
      <c r="H169" s="70">
        <f t="shared" si="110"/>
        <v>498.90550144452129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302.30714066618623</v>
      </c>
      <c r="T169" s="62">
        <f t="shared" si="142"/>
        <v>218.81984836501334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153.09120195408497</v>
      </c>
      <c r="AO169" s="62">
        <f t="shared" si="144"/>
        <v>312.73854442032672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-1.1882548278663309E-13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296.94146778663753</v>
      </c>
      <c r="BJ169" s="62">
        <f t="shared" si="146"/>
        <v>333.01339464897745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93.352999999999753</v>
      </c>
      <c r="D170" s="12">
        <f t="shared" si="140"/>
        <v>25.372158292621872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916.47490611848286</v>
      </c>
      <c r="H170" s="70">
        <f t="shared" si="110"/>
        <v>500.11298402631598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302.30714066618623</v>
      </c>
      <c r="T170" s="62">
        <f t="shared" si="142"/>
        <v>218.81984836501334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153.09120195408497</v>
      </c>
      <c r="AO170" s="62">
        <f t="shared" si="144"/>
        <v>312.73854442032672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-1.1882548278663309E-13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296.94146778663753</v>
      </c>
      <c r="BJ170" s="62">
        <f t="shared" si="146"/>
        <v>333.01339464897745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93.91199999999975</v>
      </c>
      <c r="D171" s="12">
        <f t="shared" si="140"/>
        <v>25.506356157232599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921.8259071786357</v>
      </c>
      <c r="H171" s="70">
        <f t="shared" si="110"/>
        <v>501.32030364051298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302.30714066618623</v>
      </c>
      <c r="T171" s="62">
        <f t="shared" si="142"/>
        <v>218.81984836501334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153.09120195408497</v>
      </c>
      <c r="AO171" s="62">
        <f t="shared" si="144"/>
        <v>312.73854442032672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-1.1882548278663309E-13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296.94146778663753</v>
      </c>
      <c r="BJ171" s="62">
        <f t="shared" si="146"/>
        <v>333.01339464897745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94.470999999999748</v>
      </c>
      <c r="D172" s="12">
        <f t="shared" si="140"/>
        <v>25.640461073517091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927.17619074293691</v>
      </c>
      <c r="H172" s="70">
        <f t="shared" si="110"/>
        <v>502.52746136970848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302.30714066618623</v>
      </c>
      <c r="T172" s="62">
        <f t="shared" si="142"/>
        <v>218.81984836501334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153.09120195408497</v>
      </c>
      <c r="AO172" s="62">
        <f t="shared" si="144"/>
        <v>312.73854442032672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-1.1882548278663309E-13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296.94146778663753</v>
      </c>
      <c r="BJ172" s="62">
        <f t="shared" si="146"/>
        <v>333.01339464897745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95.029999999999745</v>
      </c>
      <c r="D173" s="12">
        <f t="shared" si="140"/>
        <v>25.774473655280115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932.52576154952885</v>
      </c>
      <c r="H173" s="70">
        <f t="shared" si="110"/>
        <v>503.73445828294575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302.30714066618623</v>
      </c>
      <c r="T173" s="62">
        <f t="shared" si="142"/>
        <v>218.81984836501334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153.09120195408497</v>
      </c>
      <c r="AO173" s="62">
        <f t="shared" si="144"/>
        <v>312.73854442032672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-1.1882548278663309E-13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296.94146778663753</v>
      </c>
      <c r="BJ173" s="62">
        <f t="shared" si="146"/>
        <v>333.01339464897745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95.588999999999743</v>
      </c>
      <c r="D174" s="12">
        <f t="shared" si="140"/>
        <v>25.908394508687365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937.87462427758476</v>
      </c>
      <c r="H174" s="70">
        <f t="shared" si="110"/>
        <v>504.94129543596335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302.30714066618623</v>
      </c>
      <c r="T174" s="62">
        <f t="shared" si="142"/>
        <v>218.81984836501334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153.09120195408497</v>
      </c>
      <c r="AO174" s="62">
        <f t="shared" si="144"/>
        <v>312.73854442032672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-1.1882548278663309E-13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296.94146778663753</v>
      </c>
      <c r="BJ174" s="62">
        <f t="shared" si="146"/>
        <v>333.01339464897745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96.14799999999974</v>
      </c>
      <c r="D175" s="12">
        <f t="shared" si="140"/>
        <v>26.042224232404703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943.22278354838511</v>
      </c>
      <c r="H175" s="70">
        <f t="shared" si="110"/>
        <v>506.14797387143773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302.30714066618623</v>
      </c>
      <c r="T175" s="62">
        <f t="shared" si="142"/>
        <v>218.81984836501334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153.09120195408497</v>
      </c>
      <c r="AO175" s="62">
        <f t="shared" si="144"/>
        <v>312.73854442032672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-1.1882548278663309E-13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296.94146778663753</v>
      </c>
      <c r="BJ175" s="62">
        <f t="shared" si="146"/>
        <v>333.01339464897745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96.706999999999738</v>
      </c>
      <c r="D176" s="12">
        <f t="shared" si="140"/>
        <v>26.175963417733936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948.57024392636515</v>
      </c>
      <c r="H176" s="70">
        <f t="shared" si="110"/>
        <v>507.35449461921945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302.30714066618623</v>
      </c>
      <c r="T176" s="62">
        <f t="shared" si="142"/>
        <v>218.81984836501334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153.09120195408497</v>
      </c>
      <c r="AO176" s="62">
        <f t="shared" si="144"/>
        <v>312.73854442032672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-1.1882548278663309E-13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296.94146778663753</v>
      </c>
      <c r="BJ176" s="62">
        <f t="shared" si="146"/>
        <v>333.01339464897745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97.265999999999735</v>
      </c>
      <c r="D177" s="12">
        <f t="shared" si="140"/>
        <v>26.30961264874556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953.91700992013909</v>
      </c>
      <c r="H177" s="70">
        <f t="shared" si="110"/>
        <v>508.56085869656471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302.30714066618623</v>
      </c>
      <c r="T177" s="62">
        <f t="shared" si="142"/>
        <v>218.81984836501334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153.09120195408497</v>
      </c>
      <c r="AO177" s="62">
        <f t="shared" si="144"/>
        <v>312.73854442032672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-1.1882548278663309E-13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296.94146778663753</v>
      </c>
      <c r="BJ177" s="62">
        <f t="shared" si="146"/>
        <v>333.01339464897745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97.824999999999733</v>
      </c>
      <c r="D178" s="12">
        <f t="shared" si="140"/>
        <v>26.443172502408078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959.26308598349897</v>
      </c>
      <c r="H178" s="70">
        <f t="shared" si="110"/>
        <v>509.76706710836027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302.30714066618623</v>
      </c>
      <c r="T178" s="62">
        <f t="shared" si="142"/>
        <v>218.81984836501334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153.09120195408497</v>
      </c>
      <c r="AO178" s="62">
        <f t="shared" si="144"/>
        <v>312.73854442032672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-1.1882548278663309E-13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296.94146778663753</v>
      </c>
      <c r="BJ178" s="62">
        <f t="shared" si="146"/>
        <v>333.01339464897745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98.38399999999973</v>
      </c>
      <c r="D179" s="12">
        <f t="shared" si="140"/>
        <v>26.576643548714546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964.60847651639085</v>
      </c>
      <c r="H179" s="70">
        <f t="shared" si="110"/>
        <v>510.97312084734403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302.30714066618623</v>
      </c>
      <c r="T179" s="62">
        <f t="shared" si="142"/>
        <v>218.81984836501334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153.09120195408497</v>
      </c>
      <c r="AO179" s="62">
        <f t="shared" si="144"/>
        <v>312.73854442032672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-1.1882548278663309E-13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296.94146778663753</v>
      </c>
      <c r="BJ179" s="62">
        <f t="shared" si="146"/>
        <v>333.01339464897745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98.942999999999728</v>
      </c>
      <c r="D180" s="12">
        <f t="shared" si="140"/>
        <v>26.71002635080605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969.95318586586916</v>
      </c>
      <c r="H180" s="70">
        <f t="shared" si="110"/>
        <v>512.17902089432005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302.30714066618623</v>
      </c>
      <c r="T180" s="62">
        <f t="shared" si="142"/>
        <v>218.81984836501334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153.09120195408497</v>
      </c>
      <c r="AO180" s="62">
        <f t="shared" si="144"/>
        <v>312.73854442032672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-1.1882548278663309E-13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296.94146778663753</v>
      </c>
      <c r="BJ180" s="62">
        <f t="shared" si="146"/>
        <v>333.01339464897745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99.501999999999725</v>
      </c>
      <c r="D181" s="12">
        <f t="shared" si="140"/>
        <v>26.843321465092171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975.29721832702523</v>
      </c>
      <c r="H181" s="70">
        <f t="shared" si="110"/>
        <v>513.38476821836844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302.30714066618623</v>
      </c>
      <c r="T181" s="62">
        <f t="shared" si="142"/>
        <v>218.81984836501334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153.09120195408497</v>
      </c>
      <c r="AO181" s="62">
        <f t="shared" si="144"/>
        <v>312.73854442032672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-1.1882548278663309E-13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296.94146778663753</v>
      </c>
      <c r="BJ181" s="62">
        <f t="shared" si="146"/>
        <v>333.01339464897745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100.06099999999972</v>
      </c>
      <c r="D182" s="12">
        <f t="shared" si="140"/>
        <v>26.976529441368999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980.64057814389889</v>
      </c>
      <c r="H182" s="70">
        <f t="shared" si="110"/>
        <v>514.59036377705047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302.30714066618623</v>
      </c>
      <c r="T182" s="62">
        <f t="shared" si="142"/>
        <v>218.81984836501334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153.09120195408497</v>
      </c>
      <c r="AO182" s="62">
        <f t="shared" si="144"/>
        <v>312.73854442032672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-1.1882548278663309E-13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296.94146778663753</v>
      </c>
      <c r="BJ182" s="62">
        <f t="shared" si="146"/>
        <v>333.01339464897745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100.61999999999972</v>
      </c>
      <c r="D183" s="12">
        <f t="shared" si="140"/>
        <v>27.109650822934078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985.98326951036631</v>
      </c>
      <c r="H183" s="70">
        <f t="shared" si="110"/>
        <v>515.79580851660967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302.30714066618623</v>
      </c>
      <c r="T183" s="62">
        <f t="shared" si="142"/>
        <v>218.81984836501334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153.09120195408497</v>
      </c>
      <c r="AO183" s="62">
        <f t="shared" si="144"/>
        <v>312.73854442032672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-1.1882548278663309E-13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296.94146778663753</v>
      </c>
      <c r="BJ183" s="62">
        <f t="shared" si="146"/>
        <v>333.01339464897745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101.17899999999972</v>
      </c>
      <c r="D184" s="12">
        <f t="shared" si="140"/>
        <v>27.242686146698961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991.32529657100747</v>
      </c>
      <c r="H184" s="70">
        <f t="shared" si="110"/>
        <v>517.00110337216688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302.30714066618623</v>
      </c>
      <c r="T184" s="62">
        <f t="shared" si="142"/>
        <v>218.81984836501334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153.09120195408497</v>
      </c>
      <c r="AO184" s="62">
        <f t="shared" si="144"/>
        <v>312.73854442032672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-1.1882548278663309E-13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296.94146778663753</v>
      </c>
      <c r="BJ184" s="62">
        <f t="shared" si="146"/>
        <v>333.01339464897745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101.73799999999972</v>
      </c>
      <c r="D185" s="12">
        <f t="shared" si="140"/>
        <v>27.37563594329918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996.66666342195651</v>
      </c>
      <c r="H185" s="70">
        <f t="shared" si="110"/>
        <v>518.2062492679122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302.30714066618623</v>
      </c>
      <c r="T185" s="62">
        <f t="shared" si="142"/>
        <v>218.81984836501334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153.09120195408497</v>
      </c>
      <c r="AO185" s="62">
        <f t="shared" si="144"/>
        <v>312.73854442032672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-1.1882548278663309E-13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296.94146778663753</v>
      </c>
      <c r="BJ185" s="62">
        <f t="shared" si="146"/>
        <v>333.01339464897745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102.29699999999971</v>
      </c>
      <c r="D186" s="12">
        <f t="shared" si="140"/>
        <v>27.508500737201498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1002.0073741117286</v>
      </c>
      <c r="H186" s="70">
        <f t="shared" si="110"/>
        <v>519.41124711729208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302.30714066618623</v>
      </c>
      <c r="T186" s="62">
        <f t="shared" si="142"/>
        <v>218.81984836501334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153.09120195408497</v>
      </c>
      <c r="AO186" s="62">
        <f t="shared" si="144"/>
        <v>312.73854442032672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-1.1882548278663309E-13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296.94146778663753</v>
      </c>
      <c r="BJ186" s="62">
        <f t="shared" si="146"/>
        <v>333.01339464897745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102.85599999999971</v>
      </c>
      <c r="D187" s="12">
        <f t="shared" si="140"/>
        <v>27.641281046809159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1007.3474326420334</v>
      </c>
      <c r="H187" s="70">
        <f t="shared" si="110"/>
        <v>520.61609782319215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302.30714066618623</v>
      </c>
      <c r="T187" s="62">
        <f t="shared" si="142"/>
        <v>218.81984836501334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153.09120195408497</v>
      </c>
      <c r="AO187" s="62">
        <f t="shared" si="144"/>
        <v>312.73854442032672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-1.1882548278663309E-13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296.94146778663753</v>
      </c>
      <c r="BJ187" s="62">
        <f t="shared" si="146"/>
        <v>333.01339464897745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103.41499999999971</v>
      </c>
      <c r="D188" s="12">
        <f t="shared" si="140"/>
        <v>27.773977384564393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1012.6868429685651</v>
      </c>
      <c r="H188" s="70">
        <f t="shared" si="110"/>
        <v>521.82080227811582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302.30714066618623</v>
      </c>
      <c r="T188" s="62">
        <f t="shared" si="142"/>
        <v>218.81984836501334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153.09120195408497</v>
      </c>
      <c r="AO188" s="62">
        <f t="shared" si="144"/>
        <v>312.73854442032672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-1.1882548278663309E-13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296.94146778663753</v>
      </c>
      <c r="BJ188" s="62">
        <f t="shared" si="146"/>
        <v>333.01339464897745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103.97399999999971</v>
      </c>
      <c r="D189" s="12">
        <f t="shared" si="140"/>
        <v>27.906590257048816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1018.025609001778</v>
      </c>
      <c r="H189" s="70">
        <f t="shared" si="110"/>
        <v>523.02536136435947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302.30714066618623</v>
      </c>
      <c r="T189" s="62">
        <f t="shared" si="142"/>
        <v>218.81984836501334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153.09120195408497</v>
      </c>
      <c r="AO189" s="62">
        <f t="shared" si="144"/>
        <v>312.73854442032672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-1.1882548278663309E-13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296.94146778663753</v>
      </c>
      <c r="BJ189" s="62">
        <f t="shared" si="146"/>
        <v>333.01339464897745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104.5329999999997</v>
      </c>
      <c r="D190" s="12">
        <f t="shared" si="140"/>
        <v>28.039120165081656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1023.3637346076456</v>
      </c>
      <c r="H190" s="70">
        <f t="shared" si="110"/>
        <v>524.22977595418331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302.30714066618623</v>
      </c>
      <c r="T190" s="62">
        <f t="shared" si="142"/>
        <v>218.81984836501334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153.09120195408497</v>
      </c>
      <c r="AO190" s="62">
        <f t="shared" si="144"/>
        <v>312.73854442032672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-1.1882548278663309E-13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296.94146778663753</v>
      </c>
      <c r="BJ190" s="62">
        <f t="shared" si="146"/>
        <v>333.01339464897745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105.0919999999997</v>
      </c>
      <c r="D191" s="12">
        <f t="shared" si="140"/>
        <v>28.171567603815788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1028.7012236084001</v>
      </c>
      <c r="H191" s="70">
        <f t="shared" si="110"/>
        <v>525.43404690997863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302.30714066618623</v>
      </c>
      <c r="T191" s="62">
        <f t="shared" si="142"/>
        <v>218.81984836501334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153.09120195408497</v>
      </c>
      <c r="AO191" s="62">
        <f t="shared" si="144"/>
        <v>312.73854442032672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-1.1882548278663309E-13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296.94146778663753</v>
      </c>
      <c r="BJ191" s="62">
        <f t="shared" si="146"/>
        <v>333.01339464897745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105.6509999999997</v>
      </c>
      <c r="D192" s="12">
        <f t="shared" si="140"/>
        <v>28.303933062831472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1034.0380797832584</v>
      </c>
      <c r="H192" s="70">
        <f t="shared" si="110"/>
        <v>526.63817508443094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302.30714066618623</v>
      </c>
      <c r="T192" s="62">
        <f t="shared" si="142"/>
        <v>218.81984836501334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153.09120195408497</v>
      </c>
      <c r="AO192" s="62">
        <f t="shared" si="144"/>
        <v>312.73854442032672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-1.1882548278663309E-13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296.94146778663753</v>
      </c>
      <c r="BJ192" s="62">
        <f t="shared" si="146"/>
        <v>333.01339464897745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106.2099999999997</v>
      </c>
      <c r="D193" s="12">
        <f t="shared" si="140"/>
        <v>28.436217026228405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1039.3743068691292</v>
      </c>
      <c r="H193" s="70">
        <f t="shared" si="110"/>
        <v>527.84216132068059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302.30714066618623</v>
      </c>
      <c r="T193" s="62">
        <f t="shared" si="142"/>
        <v>218.81984836501334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153.09120195408497</v>
      </c>
      <c r="AO193" s="62">
        <f t="shared" si="144"/>
        <v>312.73854442032672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-1.1882548278663309E-13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296.94146778663753</v>
      </c>
      <c r="BJ193" s="62">
        <f t="shared" si="146"/>
        <v>333.01339464897745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106.76899999999969</v>
      </c>
      <c r="D194" s="12">
        <f t="shared" si="140"/>
        <v>28.568419972715443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1044.7099085613097</v>
      </c>
      <c r="H194" s="70">
        <f t="shared" si="110"/>
        <v>529.04600645247888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302.30714066618623</v>
      </c>
      <c r="T194" s="62">
        <f t="shared" si="142"/>
        <v>218.81984836501334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153.09120195408497</v>
      </c>
      <c r="AO194" s="62">
        <f t="shared" si="144"/>
        <v>312.73854442032672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-1.1882548278663309E-13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296.94146778663753</v>
      </c>
      <c r="BJ194" s="62">
        <f t="shared" si="146"/>
        <v>333.01339464897745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107.32799999999969</v>
      </c>
      <c r="D195" s="12">
        <f t="shared" si="140"/>
        <v>28.700542375698632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1050.0448885141625</v>
      </c>
      <c r="H195" s="70">
        <f t="shared" si="110"/>
        <v>530.24971130434119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302.30714066618623</v>
      </c>
      <c r="T195" s="62">
        <f t="shared" si="142"/>
        <v>218.81984836501334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153.09120195408497</v>
      </c>
      <c r="AO195" s="62">
        <f t="shared" si="144"/>
        <v>312.73854442032672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-1.1882548278663309E-13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296.94146778663753</v>
      </c>
      <c r="BJ195" s="62">
        <f t="shared" si="146"/>
        <v>333.01339464897745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107.88699999999969</v>
      </c>
      <c r="D196" s="12">
        <f t="shared" si="140"/>
        <v>28.832584703367186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1055.3792503417794</v>
      </c>
      <c r="H196" s="70">
        <f t="shared" ref="H196:H203" si="192">(B196+E196+F196)*44/12+(C196+D196)*0.475*44/12</f>
        <v>531.45327669169728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302.30714066618623</v>
      </c>
      <c r="T196" s="62">
        <f t="shared" si="142"/>
        <v>218.81984836501334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153.09120195408497</v>
      </c>
      <c r="AO196" s="62">
        <f t="shared" si="144"/>
        <v>312.73854442032672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-1.1882548278663309E-13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296.94146778663753</v>
      </c>
      <c r="BJ196" s="62">
        <f t="shared" si="146"/>
        <v>333.01339464897745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108.44599999999969</v>
      </c>
      <c r="D197" s="12">
        <f t="shared" ref="D197:D203" si="202">IFERROR(EXP(-1.0587+0.8836*LN(C197)+0.284),0)</f>
        <v>28.964547418777748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1060.7129976186329</v>
      </c>
      <c r="H197" s="70">
        <f t="shared" si="192"/>
        <v>532.65670342103738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302.30714066618623</v>
      </c>
      <c r="T197" s="62">
        <f t="shared" ref="T197:T203" si="204">$T$3</f>
        <v>218.81984836501334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153.09120195408497</v>
      </c>
      <c r="AO197" s="62">
        <f t="shared" ref="AO197:AO203" si="205">$AO$3</f>
        <v>312.73854442032672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-1.1882548278663309E-13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296.94146778663753</v>
      </c>
      <c r="BJ197" s="62">
        <f t="shared" ref="BJ197:BJ203" si="206">$BJ$3</f>
        <v>333.01339464897745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109.00499999999968</v>
      </c>
      <c r="D198" s="12">
        <f t="shared" si="202"/>
        <v>29.096430979936777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1066.0461338802113</v>
      </c>
      <c r="H198" s="70">
        <f t="shared" si="192"/>
        <v>533.85999229005597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302.30714066618623</v>
      </c>
      <c r="T198" s="62">
        <f t="shared" si="204"/>
        <v>218.81984836501334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153.09120195408497</v>
      </c>
      <c r="AO198" s="62">
        <f t="shared" si="205"/>
        <v>312.73854442032672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-1.1882548278663309E-13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296.94146778663753</v>
      </c>
      <c r="BJ198" s="62">
        <f t="shared" si="206"/>
        <v>333.01339464897745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109.56399999999968</v>
      </c>
      <c r="D199" s="12">
        <f t="shared" si="202"/>
        <v>29.228235839881293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1071.3786626236426</v>
      </c>
      <c r="H199" s="70">
        <f t="shared" si="192"/>
        <v>535.06314408779258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302.30714066618623</v>
      </c>
      <c r="T199" s="62">
        <f t="shared" si="204"/>
        <v>218.81984836501334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153.09120195408497</v>
      </c>
      <c r="AO199" s="62">
        <f t="shared" si="205"/>
        <v>312.73854442032672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-1.1882548278663309E-13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296.94146778663753</v>
      </c>
      <c r="BJ199" s="62">
        <f t="shared" si="206"/>
        <v>333.01339464897745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110.12299999999968</v>
      </c>
      <c r="D200" s="12">
        <f t="shared" si="202"/>
        <v>29.359962446757773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1076.7105873083033</v>
      </c>
      <c r="H200" s="70">
        <f t="shared" si="192"/>
        <v>536.26615959476919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302.30714066618623</v>
      </c>
      <c r="T200" s="62">
        <f t="shared" si="204"/>
        <v>218.81984836501334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153.09120195408497</v>
      </c>
      <c r="AO200" s="62">
        <f t="shared" si="205"/>
        <v>312.73854442032672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-1.1882548278663309E-13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296.94146778663753</v>
      </c>
      <c r="BJ200" s="62">
        <f t="shared" si="206"/>
        <v>333.01339464897745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110.68199999999968</v>
      </c>
      <c r="D201" s="12">
        <f t="shared" si="202"/>
        <v>29.491611243899612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1082.0419113564158</v>
      </c>
      <c r="H201" s="70">
        <f t="shared" si="192"/>
        <v>537.46903958312464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302.30714066618623</v>
      </c>
      <c r="T201" s="62">
        <f t="shared" si="204"/>
        <v>218.81984836501334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153.09120195408497</v>
      </c>
      <c r="AO201" s="62">
        <f t="shared" si="205"/>
        <v>312.73854442032672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-1.1882548278663309E-13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296.94146778663753</v>
      </c>
      <c r="BJ201" s="62">
        <f t="shared" si="206"/>
        <v>333.01339464897745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111.24099999999967</v>
      </c>
      <c r="D202" s="12">
        <f t="shared" si="202"/>
        <v>29.623182669902725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1087.3726381536326</v>
      </c>
      <c r="H202" s="70">
        <f t="shared" si="192"/>
        <v>538.67178481674659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302.30714066618623</v>
      </c>
      <c r="T202" s="62">
        <f t="shared" si="204"/>
        <v>218.81984836501334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153.09120195408497</v>
      </c>
      <c r="AO202" s="62">
        <f t="shared" si="205"/>
        <v>312.73854442032672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-1.1882548278663309E-13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296.94146778663753</v>
      </c>
      <c r="BJ202" s="62">
        <f t="shared" si="206"/>
        <v>333.01339464897745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111.79999999999967</v>
      </c>
      <c r="D203" s="12">
        <f t="shared" si="202"/>
        <v>29.754677158699842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1092.7027710496104</v>
      </c>
      <c r="H203" s="70">
        <f t="shared" si="192"/>
        <v>539.87439605140162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302.30714066618623</v>
      </c>
      <c r="T203" s="62">
        <f t="shared" si="204"/>
        <v>218.81984836501334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153.09120195408497</v>
      </c>
      <c r="AO203" s="62">
        <f t="shared" si="205"/>
        <v>312.73854442032672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-1.1882548278663309E-13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296.94146778663753</v>
      </c>
      <c r="BJ203" s="62">
        <f t="shared" si="206"/>
        <v>333.01339464897745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>
        <f>EXP(LN('Données projet'!B88)/'Données projet'!A88)</f>
        <v>1.2765231539157764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0.79920000000000002</v>
      </c>
      <c r="C6" s="156">
        <f ca="1">IF(OR('Données projet'!B9="",'Données projet'!C9="",'Données projet'!C9=0%),0,Calculateur!S3)</f>
        <v>302.30714066618623</v>
      </c>
      <c r="D6" s="156">
        <f>IF(OR('Données projet'!B9="",'Données projet'!C9="",'Données projet'!C9=0%),0,Calculateur!T3)</f>
        <v>218.81984836501334</v>
      </c>
      <c r="E6" s="156">
        <f ca="1">MIN(C6,D6)</f>
        <v>218.81984836501334</v>
      </c>
      <c r="F6" s="156">
        <f ca="1">E6*B6</f>
        <v>174.88082281331867</v>
      </c>
      <c r="G6" s="156">
        <f ca="1">F6*(100%-'Données projet'!$C$24)*(100%-'Données projet'!$C$25)*(100%-'Données projet'!$C$26)*(100%-'Données projet'!$C$27)</f>
        <v>141.65346647878815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141.65346647878815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0.79920000000000002</v>
      </c>
      <c r="C7" s="156">
        <f ca="1">IF(OR('Données projet'!B10="",'Données projet'!C10="",'Données projet'!C10=0%),0,Calculateur!AN3)</f>
        <v>153.09120195408497</v>
      </c>
      <c r="D7" s="156">
        <f>IF(OR('Données projet'!B10="",'Données projet'!C10="",'Données projet'!C10=0%),0,Calculateur!AO3)</f>
        <v>312.73854442032672</v>
      </c>
      <c r="E7" s="156">
        <f t="shared" ref="E7:E15" ca="1" si="0">MIN(C7,D7)</f>
        <v>153.09120195408497</v>
      </c>
      <c r="F7" s="156">
        <f t="shared" ref="F7:F15" ca="1" si="1">E7*B7</f>
        <v>122.35048860170471</v>
      </c>
      <c r="G7" s="156">
        <f ca="1">F7*(100%-'Données projet'!$C$24)*(100%-'Données projet'!$C$25)*(100%-'Données projet'!$C$26)*(100%-'Données projet'!$C$27)</f>
        <v>99.10389576738082</v>
      </c>
      <c r="H7" s="164">
        <f>IF(OR('Données projet'!B10="",'Données projet'!C10="",'Données projet'!C10=0%),0,AVERAGE(Calculateur!$AX$3:$AX$33)*B7)</f>
        <v>7.7394384022234242</v>
      </c>
      <c r="I7" s="158">
        <f>H7*(100%-'Données projet'!$C$24)*(100%-'Données projet'!$C$25)*(100%-'Données projet'!$C$26)*(100%-'Données projet'!$C$27)</f>
        <v>6.2689451058009737</v>
      </c>
      <c r="J7" s="159">
        <f>IF(OR('Données projet'!B10="",'Données projet'!C10="",'Données projet'!C10=0%),0,SUM(Calculateur!$AQ$3:$AQ$33)*VLOOKUP('Données projet'!$B$10,Paramètres!$A$1:$I$89,9,0)*B7)</f>
        <v>56.583359999999999</v>
      </c>
      <c r="K7" s="160">
        <f>J7*(100%-'Données projet'!$C$24)*(100%-'Données projet'!$C$25)*(100%-'Données projet'!$C$26)*(100%-'Données projet'!$C$27)</f>
        <v>45.8325216</v>
      </c>
      <c r="L7" s="161">
        <f t="shared" ref="L7:L15" ca="1" si="2">G7+I7+K7</f>
        <v>151.20536247318179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chevelu</v>
      </c>
      <c r="B8" s="163">
        <f>'Données projet'!D11</f>
        <v>0.2016</v>
      </c>
      <c r="C8" s="156">
        <f ca="1">IF(OR('Données projet'!B11="",'Données projet'!C11="",'Données projet'!C11=0%),0,Calculateur!BI3)</f>
        <v>296.94146778663753</v>
      </c>
      <c r="D8" s="156">
        <f>IF(OR('Données projet'!B11="",'Données projet'!C11="",'Données projet'!C11=0%),0,Calculateur!BJ3)</f>
        <v>333.01339464897745</v>
      </c>
      <c r="E8" s="156">
        <f t="shared" ca="1" si="0"/>
        <v>296.94146778663753</v>
      </c>
      <c r="F8" s="156">
        <f t="shared" ca="1" si="1"/>
        <v>59.863399905786125</v>
      </c>
      <c r="G8" s="156">
        <f ca="1">F8*(100%-'Données projet'!$C$24)*(100%-'Données projet'!$C$25)*(100%-'Données projet'!$C$26)*(100%-'Données projet'!$C$27)</f>
        <v>48.489353923686764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6.2496</v>
      </c>
      <c r="K8" s="160">
        <f>J8*(100%-'Données projet'!$C$24)*(100%-'Données projet'!$C$25)*(100%-'Données projet'!$C$26)*(100%-'Données projet'!$C$27)</f>
        <v>5.062176</v>
      </c>
      <c r="L8" s="161">
        <f t="shared" ca="1" si="2"/>
        <v>53.551529923686765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357.09471132080949</v>
      </c>
      <c r="G16" s="175">
        <f t="shared" ca="1" si="3"/>
        <v>289.24671616985574</v>
      </c>
      <c r="H16" s="176">
        <f t="shared" si="3"/>
        <v>7.7394384022234242</v>
      </c>
      <c r="I16" s="176">
        <f t="shared" si="3"/>
        <v>6.2689451058009737</v>
      </c>
      <c r="J16" s="177">
        <f t="shared" si="3"/>
        <v>62.83296</v>
      </c>
      <c r="K16" s="177">
        <f t="shared" si="3"/>
        <v>50.894697600000001</v>
      </c>
      <c r="L16" s="178">
        <f t="shared" ca="1" si="3"/>
        <v>346.4103588756567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chevelu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4" zoomScale="90" zoomScaleNormal="90" workbookViewId="0">
      <selection activeCell="G62" sqref="G6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1685.2755715400876</v>
      </c>
      <c r="U10" s="190">
        <f>'Données projet'!D9</f>
        <v>0.79920000000000002</v>
      </c>
      <c r="V10" s="189">
        <f>U10*T10</f>
        <v>1346.872236774838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3051.0967511953477</v>
      </c>
      <c r="U11" s="190">
        <f>'Données projet'!D10</f>
        <v>0.79920000000000002</v>
      </c>
      <c r="V11" s="189">
        <f t="shared" ref="V11" si="0">U11*T11</f>
        <v>2438.4365235553219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chevelu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0.2016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69.999999999999972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2799.9999999999991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1686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1686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1686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1686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-10136.914227743455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>
        <v>4</v>
      </c>
      <c r="I24" s="204">
        <v>1686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231.36102791644433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15</v>
      </c>
      <c r="D25" s="194">
        <f t="shared" si="2"/>
        <v>1320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-10368.275255659899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32</v>
      </c>
      <c r="D27" s="194">
        <f t="shared" si="2"/>
        <v>3264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45</v>
      </c>
      <c r="D28" s="194">
        <f t="shared" si="2"/>
        <v>5085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58</v>
      </c>
      <c r="D29" s="194">
        <f t="shared" si="2"/>
        <v>7192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62</v>
      </c>
      <c r="D30" s="194">
        <f t="shared" si="2"/>
        <v>8370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70</v>
      </c>
      <c r="D31" s="194">
        <f t="shared" si="2"/>
        <v>50610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>
        <v>8</v>
      </c>
      <c r="D54" s="191">
        <f>B54*C54</f>
        <v>224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>
        <v>12</v>
      </c>
      <c r="D55" s="191">
        <f t="shared" ref="D55:D73" si="4">B55*C55</f>
        <v>480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>
        <v>20</v>
      </c>
      <c r="D56" s="191">
        <f t="shared" si="4"/>
        <v>1040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>
        <v>25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34</v>
      </c>
      <c r="B58" s="193">
        <f>'Données projet'!D66</f>
        <v>325</v>
      </c>
      <c r="C58" s="204">
        <v>35</v>
      </c>
      <c r="D58" s="191">
        <f t="shared" si="4"/>
        <v>11375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chevelu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50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37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37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36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33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31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25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22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17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15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13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12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236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2024-05-23T15:02:26Z</dcterms:modified>
</cp:coreProperties>
</file>