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TERRE DE BANCALIE (81) - Indivision ALIBERT-ALIBERT DEQUE\Dossier déposé le 01 03 2024\"/>
    </mc:Choice>
  </mc:AlternateContent>
  <xr:revisionPtr revIDLastSave="0" documentId="13_ncr:1_{8C62AEAE-5F1E-42CE-9F2E-5044A2A50508}" xr6:coauthVersionLast="36" xr6:coauthVersionMax="36" xr10:uidLastSave="{00000000-0000-0000-0000-000000000000}"/>
  <bookViews>
    <workbookView xWindow="0" yWindow="0" windowWidth="28800" windowHeight="1261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<sst xmlns="http://schemas.openxmlformats.org/spreadsheetml/2006/main" count="1171" uniqueCount="324">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</sst>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523.12924541243819</c:v>
                </c:pt>
                <c:pt idx="107">
                  <c:v>530.78668966466364</c:v>
                </c:pt>
                <c:pt idx="108">
                  <c:v>538.44180953565854</c:v>
                </c:pt>
                <c:pt idx="109">
                  <c:v>546.09464274073571</c:v>
                </c:pt>
                <c:pt idx="110">
                  <c:v>553.74522585166335</c:v>
                </c:pt>
                <c:pt idx="111">
                  <c:v>524.66092206348787</c:v>
                </c:pt>
                <c:pt idx="112">
                  <c:v>531.93510488968684</c:v>
                </c:pt>
                <c:pt idx="113">
                  <c:v>539.20719514390646</c:v>
                </c:pt>
                <c:pt idx="114">
                  <c:v>546.47722503675379</c:v>
                </c:pt>
                <c:pt idx="115">
                  <c:v>553.74522585166335</c:v>
                </c:pt>
                <c:pt idx="116">
                  <c:v>526.1925045020057</c:v>
                </c:pt>
                <c:pt idx="117">
                  <c:v>533.08346794728629</c:v>
                </c:pt>
                <c:pt idx="118">
                  <c:v>539.97255792351177</c:v>
                </c:pt>
                <c:pt idx="119">
                  <c:v>546.85980171226186</c:v>
                </c:pt>
                <c:pt idx="120">
                  <c:v>553.7452258516638</c:v>
                </c:pt>
                <c:pt idx="121">
                  <c:v>4.107100892103012E-12</c:v>
                </c:pt>
                <c:pt idx="122">
                  <c:v>4.107100892103012E-12</c:v>
                </c:pt>
                <c:pt idx="123">
                  <c:v>4.107100892103012E-12</c:v>
                </c:pt>
                <c:pt idx="124">
                  <c:v>4.107100892103012E-12</c:v>
                </c:pt>
                <c:pt idx="125">
                  <c:v>4.107100892103012E-12</c:v>
                </c:pt>
                <c:pt idx="126">
                  <c:v>4.107100892103012E-12</c:v>
                </c:pt>
                <c:pt idx="127">
                  <c:v>4.107100892103012E-12</c:v>
                </c:pt>
                <c:pt idx="128">
                  <c:v>4.107100892103012E-12</c:v>
                </c:pt>
                <c:pt idx="129">
                  <c:v>4.107100892103012E-12</c:v>
                </c:pt>
                <c:pt idx="130">
                  <c:v>4.107100892103012E-12</c:v>
                </c:pt>
                <c:pt idx="131">
                  <c:v>4.107100892103012E-12</c:v>
                </c:pt>
                <c:pt idx="132">
                  <c:v>4.107100892103012E-12</c:v>
                </c:pt>
                <c:pt idx="133">
                  <c:v>4.107100892103012E-12</c:v>
                </c:pt>
                <c:pt idx="134">
                  <c:v>4.107100892103012E-12</c:v>
                </c:pt>
                <c:pt idx="135">
                  <c:v>4.107100892103012E-12</c:v>
                </c:pt>
                <c:pt idx="136">
                  <c:v>4.107100892103012E-12</c:v>
                </c:pt>
                <c:pt idx="137">
                  <c:v>4.107100892103012E-12</c:v>
                </c:pt>
                <c:pt idx="138">
                  <c:v>4.107100892103012E-12</c:v>
                </c:pt>
                <c:pt idx="139">
                  <c:v>4.107100892103012E-12</c:v>
                </c:pt>
                <c:pt idx="140">
                  <c:v>4.107100892103012E-12</c:v>
                </c:pt>
                <c:pt idx="141">
                  <c:v>4.107100892103012E-12</c:v>
                </c:pt>
                <c:pt idx="142">
                  <c:v>4.107100892103012E-12</c:v>
                </c:pt>
                <c:pt idx="143">
                  <c:v>4.107100892103012E-12</c:v>
                </c:pt>
                <c:pt idx="144">
                  <c:v>4.107100892103012E-12</c:v>
                </c:pt>
                <c:pt idx="145">
                  <c:v>4.107100892103012E-12</c:v>
                </c:pt>
                <c:pt idx="146">
                  <c:v>4.107100892103012E-12</c:v>
                </c:pt>
                <c:pt idx="147">
                  <c:v>4.107100892103012E-12</c:v>
                </c:pt>
                <c:pt idx="148">
                  <c:v>4.107100892103012E-12</c:v>
                </c:pt>
                <c:pt idx="149">
                  <c:v>4.107100892103012E-12</c:v>
                </c:pt>
                <c:pt idx="150">
                  <c:v>4.107100892103012E-12</c:v>
                </c:pt>
                <c:pt idx="151">
                  <c:v>4.107100892103012E-12</c:v>
                </c:pt>
                <c:pt idx="152">
                  <c:v>4.107100892103012E-12</c:v>
                </c:pt>
                <c:pt idx="153">
                  <c:v>4.107100892103012E-12</c:v>
                </c:pt>
                <c:pt idx="154">
                  <c:v>4.107100892103012E-12</c:v>
                </c:pt>
                <c:pt idx="155">
                  <c:v>4.107100892103012E-12</c:v>
                </c:pt>
                <c:pt idx="156">
                  <c:v>4.107100892103012E-12</c:v>
                </c:pt>
                <c:pt idx="157">
                  <c:v>4.107100892103012E-12</c:v>
                </c:pt>
                <c:pt idx="158">
                  <c:v>4.107100892103012E-12</c:v>
                </c:pt>
                <c:pt idx="159">
                  <c:v>4.107100892103012E-12</c:v>
                </c:pt>
                <c:pt idx="160">
                  <c:v>4.107100892103012E-12</c:v>
                </c:pt>
                <c:pt idx="161">
                  <c:v>4.107100892103012E-12</c:v>
                </c:pt>
                <c:pt idx="162">
                  <c:v>4.107100892103012E-12</c:v>
                </c:pt>
                <c:pt idx="163">
                  <c:v>4.107100892103012E-12</c:v>
                </c:pt>
                <c:pt idx="164">
                  <c:v>4.107100892103012E-12</c:v>
                </c:pt>
                <c:pt idx="165">
                  <c:v>4.107100892103012E-12</c:v>
                </c:pt>
                <c:pt idx="166">
                  <c:v>4.107100892103012E-12</c:v>
                </c:pt>
                <c:pt idx="167">
                  <c:v>4.107100892103012E-12</c:v>
                </c:pt>
                <c:pt idx="168">
                  <c:v>4.107100892103012E-12</c:v>
                </c:pt>
                <c:pt idx="169">
                  <c:v>4.107100892103012E-12</c:v>
                </c:pt>
                <c:pt idx="170">
                  <c:v>4.107100892103012E-12</c:v>
                </c:pt>
                <c:pt idx="171">
                  <c:v>4.107100892103012E-12</c:v>
                </c:pt>
                <c:pt idx="172">
                  <c:v>4.107100892103012E-12</c:v>
                </c:pt>
                <c:pt idx="173">
                  <c:v>4.107100892103012E-12</c:v>
                </c:pt>
                <c:pt idx="174">
                  <c:v>4.107100892103012E-12</c:v>
                </c:pt>
                <c:pt idx="175">
                  <c:v>4.107100892103012E-12</c:v>
                </c:pt>
                <c:pt idx="176">
                  <c:v>4.107100892103012E-12</c:v>
                </c:pt>
                <c:pt idx="177">
                  <c:v>4.107100892103012E-12</c:v>
                </c:pt>
                <c:pt idx="178">
                  <c:v>4.107100892103012E-12</c:v>
                </c:pt>
                <c:pt idx="179">
                  <c:v>4.107100892103012E-12</c:v>
                </c:pt>
                <c:pt idx="180">
                  <c:v>4.107100892103012E-12</c:v>
                </c:pt>
                <c:pt idx="181">
                  <c:v>4.107100892103012E-12</c:v>
                </c:pt>
                <c:pt idx="182">
                  <c:v>4.107100892103012E-12</c:v>
                </c:pt>
                <c:pt idx="183">
                  <c:v>4.107100892103012E-12</c:v>
                </c:pt>
                <c:pt idx="184">
                  <c:v>4.107100892103012E-12</c:v>
                </c:pt>
                <c:pt idx="185">
                  <c:v>4.107100892103012E-12</c:v>
                </c:pt>
                <c:pt idx="186">
                  <c:v>4.107100892103012E-12</c:v>
                </c:pt>
                <c:pt idx="187">
                  <c:v>4.107100892103012E-12</c:v>
                </c:pt>
                <c:pt idx="188">
                  <c:v>4.107100892103012E-12</c:v>
                </c:pt>
                <c:pt idx="189">
                  <c:v>4.107100892103012E-12</c:v>
                </c:pt>
                <c:pt idx="190">
                  <c:v>4.107100892103012E-12</c:v>
                </c:pt>
                <c:pt idx="191">
                  <c:v>4.107100892103012E-12</c:v>
                </c:pt>
                <c:pt idx="192">
                  <c:v>4.107100892103012E-12</c:v>
                </c:pt>
                <c:pt idx="193">
                  <c:v>4.107100892103012E-12</c:v>
                </c:pt>
                <c:pt idx="194">
                  <c:v>4.107100892103012E-12</c:v>
                </c:pt>
                <c:pt idx="195">
                  <c:v>4.107100892103012E-12</c:v>
                </c:pt>
                <c:pt idx="196">
                  <c:v>4.107100892103012E-12</c:v>
                </c:pt>
                <c:pt idx="197">
                  <c:v>4.107100892103012E-12</c:v>
                </c:pt>
                <c:pt idx="198">
                  <c:v>4.107100892103012E-12</c:v>
                </c:pt>
                <c:pt idx="199">
                  <c:v>4.107100892103012E-12</c:v>
                </c:pt>
                <c:pt idx="200">
                  <c:v>4.107100892103012E-12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90" zoomScaleNormal="90" workbookViewId="0">
      <selection activeCell="C11" sqref="C1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0.32</v>
      </c>
      <c r="D9" s="36">
        <f t="shared" ref="D9:D18" si="0">C9*$C$5</f>
        <v>0.56000000000000005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44</v>
      </c>
      <c r="C10" s="35">
        <v>0.68</v>
      </c>
      <c r="D10" s="36">
        <f t="shared" si="0"/>
        <v>1.1900000000000002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1.7500000000000002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25</v>
      </c>
      <c r="B36" s="63">
        <v>71</v>
      </c>
      <c r="C36" s="63">
        <v>1</v>
      </c>
      <c r="D36" s="63">
        <v>8</v>
      </c>
      <c r="E36" s="54"/>
      <c r="F36" s="54"/>
      <c r="G36" s="54"/>
      <c r="H36" s="54">
        <v>1</v>
      </c>
      <c r="I36" s="52">
        <f>IFERROR(B36/A36,"")</f>
        <v>2.84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30</v>
      </c>
      <c r="B37" s="63">
        <v>98</v>
      </c>
      <c r="C37" s="63">
        <v>2</v>
      </c>
      <c r="D37" s="63">
        <v>21</v>
      </c>
      <c r="E37" s="54"/>
      <c r="F37" s="54"/>
      <c r="G37" s="54"/>
      <c r="H37" s="54">
        <v>1</v>
      </c>
      <c r="I37" s="56">
        <f t="shared" ref="I37:I55" si="1">IF(A37&lt;&gt;0,(B37-(B36-D36))/(A37-A36),"")</f>
        <v>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35</v>
      </c>
      <c r="B38" s="63">
        <v>116</v>
      </c>
      <c r="C38" s="63">
        <v>3</v>
      </c>
      <c r="D38" s="63">
        <v>21</v>
      </c>
      <c r="E38" s="54"/>
      <c r="F38" s="54"/>
      <c r="G38" s="54"/>
      <c r="H38" s="54"/>
      <c r="I38" s="56">
        <f t="shared" si="1"/>
        <v>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40</v>
      </c>
      <c r="B39" s="63">
        <v>137</v>
      </c>
      <c r="C39" s="63">
        <v>4</v>
      </c>
      <c r="D39" s="63">
        <v>21</v>
      </c>
      <c r="E39" s="54"/>
      <c r="F39" s="54"/>
      <c r="G39" s="54"/>
      <c r="H39" s="54"/>
      <c r="I39" s="52">
        <f t="shared" si="1"/>
        <v>8.4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45</v>
      </c>
      <c r="B40" s="63">
        <v>158</v>
      </c>
      <c r="C40" s="63">
        <v>5</v>
      </c>
      <c r="D40" s="63">
        <v>21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50</v>
      </c>
      <c r="B41" s="63">
        <v>179</v>
      </c>
      <c r="C41" s="63">
        <v>6</v>
      </c>
      <c r="D41" s="63">
        <v>21</v>
      </c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55</v>
      </c>
      <c r="B42" s="63">
        <v>198</v>
      </c>
      <c r="C42" s="63">
        <v>7</v>
      </c>
      <c r="D42" s="63">
        <v>21</v>
      </c>
      <c r="E42" s="54"/>
      <c r="F42" s="54"/>
      <c r="G42" s="54"/>
      <c r="H42" s="54"/>
      <c r="I42" s="56">
        <f t="shared" si="1"/>
        <v>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60</v>
      </c>
      <c r="B43" s="63">
        <v>214</v>
      </c>
      <c r="C43" s="63">
        <v>8</v>
      </c>
      <c r="D43" s="63">
        <v>21</v>
      </c>
      <c r="E43" s="54"/>
      <c r="F43" s="54"/>
      <c r="G43" s="54"/>
      <c r="H43" s="54"/>
      <c r="I43" s="52">
        <f t="shared" si="1"/>
        <v>7.4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65</v>
      </c>
      <c r="B44" s="63">
        <v>229</v>
      </c>
      <c r="C44" s="63">
        <v>9</v>
      </c>
      <c r="D44" s="63">
        <v>21</v>
      </c>
      <c r="E44" s="54"/>
      <c r="F44" s="54"/>
      <c r="G44" s="54"/>
      <c r="H44" s="54"/>
      <c r="I44" s="52">
        <f t="shared" si="1"/>
        <v>7.2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70</v>
      </c>
      <c r="B45" s="63">
        <v>242</v>
      </c>
      <c r="C45" s="63">
        <v>10</v>
      </c>
      <c r="D45" s="63">
        <v>21</v>
      </c>
      <c r="E45" s="54"/>
      <c r="F45" s="54"/>
      <c r="G45" s="54"/>
      <c r="H45" s="54"/>
      <c r="I45" s="52">
        <f t="shared" si="1"/>
        <v>6.8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75</v>
      </c>
      <c r="B46" s="63">
        <v>253</v>
      </c>
      <c r="C46" s="63">
        <v>11</v>
      </c>
      <c r="D46" s="63">
        <v>21</v>
      </c>
      <c r="E46" s="54"/>
      <c r="F46" s="54"/>
      <c r="G46" s="54"/>
      <c r="H46" s="54"/>
      <c r="I46" s="52">
        <f t="shared" si="1"/>
        <v>6.4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80</v>
      </c>
      <c r="B47" s="63">
        <v>262</v>
      </c>
      <c r="C47" s="63">
        <v>12</v>
      </c>
      <c r="D47" s="63">
        <v>21</v>
      </c>
      <c r="E47" s="54"/>
      <c r="F47" s="54"/>
      <c r="G47" s="54"/>
      <c r="H47" s="54"/>
      <c r="I47" s="52">
        <f t="shared" si="1"/>
        <v>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85</v>
      </c>
      <c r="B48" s="63">
        <v>269</v>
      </c>
      <c r="C48" s="63">
        <v>13</v>
      </c>
      <c r="D48" s="63">
        <v>21</v>
      </c>
      <c r="E48" s="54"/>
      <c r="F48" s="54"/>
      <c r="G48" s="54"/>
      <c r="H48" s="54"/>
      <c r="I48" s="52">
        <f t="shared" si="1"/>
        <v>5.6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90</v>
      </c>
      <c r="B49" s="63">
        <v>275</v>
      </c>
      <c r="C49" s="63">
        <v>14</v>
      </c>
      <c r="D49" s="63">
        <v>21</v>
      </c>
      <c r="E49" s="54"/>
      <c r="F49" s="54"/>
      <c r="G49" s="54"/>
      <c r="H49" s="54"/>
      <c r="I49" s="52">
        <f t="shared" si="1"/>
        <v>5.4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95</v>
      </c>
      <c r="B50" s="53">
        <v>279</v>
      </c>
      <c r="C50" s="53">
        <v>15</v>
      </c>
      <c r="D50" s="53">
        <v>21</v>
      </c>
      <c r="E50" s="54"/>
      <c r="F50" s="54"/>
      <c r="G50" s="54"/>
      <c r="H50" s="54"/>
      <c r="I50" s="52">
        <f t="shared" si="1"/>
        <v>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100</v>
      </c>
      <c r="B51" s="53">
        <v>282</v>
      </c>
      <c r="C51" s="53">
        <v>16</v>
      </c>
      <c r="D51" s="53">
        <v>21</v>
      </c>
      <c r="E51" s="54"/>
      <c r="F51" s="54"/>
      <c r="G51" s="54"/>
      <c r="H51" s="54"/>
      <c r="I51" s="52">
        <f t="shared" si="1"/>
        <v>4.8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105</v>
      </c>
      <c r="B52" s="53">
        <v>283</v>
      </c>
      <c r="C52" s="53">
        <v>17</v>
      </c>
      <c r="D52" s="53">
        <v>20</v>
      </c>
      <c r="E52" s="54"/>
      <c r="F52" s="54"/>
      <c r="G52" s="54"/>
      <c r="H52" s="54"/>
      <c r="I52" s="52">
        <f t="shared" si="1"/>
        <v>4.4000000000000004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110</v>
      </c>
      <c r="B53" s="53">
        <v>283</v>
      </c>
      <c r="C53" s="53">
        <v>18</v>
      </c>
      <c r="D53" s="53">
        <v>19</v>
      </c>
      <c r="E53" s="54"/>
      <c r="F53" s="54"/>
      <c r="G53" s="54"/>
      <c r="H53" s="54"/>
      <c r="I53" s="52">
        <f t="shared" si="1"/>
        <v>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115</v>
      </c>
      <c r="B54" s="53">
        <v>283</v>
      </c>
      <c r="C54" s="53">
        <v>19</v>
      </c>
      <c r="D54" s="53">
        <v>18</v>
      </c>
      <c r="E54" s="54"/>
      <c r="F54" s="54"/>
      <c r="G54" s="54"/>
      <c r="H54" s="54"/>
      <c r="I54" s="52">
        <f t="shared" si="1"/>
        <v>3.8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120</v>
      </c>
      <c r="B55" s="53">
        <v>283</v>
      </c>
      <c r="C55" s="53">
        <v>20</v>
      </c>
      <c r="D55" s="53">
        <v>283</v>
      </c>
      <c r="E55" s="54"/>
      <c r="F55" s="54"/>
      <c r="G55" s="54"/>
      <c r="H55" s="54"/>
      <c r="I55" s="52">
        <f t="shared" si="1"/>
        <v>3.6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5</v>
      </c>
      <c r="B62" s="63">
        <v>34</v>
      </c>
      <c r="C62" s="63">
        <v>1</v>
      </c>
      <c r="D62" s="63">
        <v>6</v>
      </c>
      <c r="E62" s="54"/>
      <c r="F62" s="54"/>
      <c r="G62" s="54"/>
      <c r="H62" s="54"/>
      <c r="I62" s="56">
        <f>IFERROR(B62/A62,"")</f>
        <v>6.8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10</v>
      </c>
      <c r="B63" s="63">
        <v>99</v>
      </c>
      <c r="C63" s="63">
        <v>2</v>
      </c>
      <c r="D63" s="63">
        <v>28</v>
      </c>
      <c r="E63" s="54"/>
      <c r="F63" s="54"/>
      <c r="G63" s="54"/>
      <c r="H63" s="54"/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15</v>
      </c>
      <c r="B64" s="63">
        <v>140</v>
      </c>
      <c r="C64" s="63">
        <v>3</v>
      </c>
      <c r="D64" s="63">
        <v>23</v>
      </c>
      <c r="E64" s="54"/>
      <c r="F64" s="54"/>
      <c r="G64" s="54"/>
      <c r="H64" s="54"/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20</v>
      </c>
      <c r="B65" s="63">
        <v>180</v>
      </c>
      <c r="C65" s="63">
        <v>4</v>
      </c>
      <c r="D65" s="63">
        <v>18</v>
      </c>
      <c r="E65" s="54"/>
      <c r="F65" s="54"/>
      <c r="G65" s="54"/>
      <c r="H65" s="54"/>
      <c r="I65" s="52">
        <f>IF(A65&lt;&gt;0,(B65-(B64-D64))/(A65-A64),"")</f>
        <v>12.6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25</v>
      </c>
      <c r="B66" s="63">
        <v>214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10.4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30</v>
      </c>
      <c r="B67" s="63">
        <v>243</v>
      </c>
      <c r="C67" s="63">
        <v>6</v>
      </c>
      <c r="D67" s="63">
        <v>11</v>
      </c>
      <c r="E67" s="54">
        <v>0.2</v>
      </c>
      <c r="F67" s="54">
        <v>0.35</v>
      </c>
      <c r="G67" s="54">
        <v>0.5</v>
      </c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35</v>
      </c>
      <c r="B68" s="63">
        <v>267</v>
      </c>
      <c r="C68" s="63">
        <v>7</v>
      </c>
      <c r="D68" s="63">
        <v>9</v>
      </c>
      <c r="E68" s="54"/>
      <c r="F68" s="54"/>
      <c r="G68" s="54"/>
      <c r="H68" s="54"/>
      <c r="I68" s="52">
        <f t="shared" si="2"/>
        <v>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40</v>
      </c>
      <c r="B69" s="53">
        <v>289</v>
      </c>
      <c r="C69" s="53">
        <v>8</v>
      </c>
      <c r="D69" s="53">
        <v>7</v>
      </c>
      <c r="E69" s="54"/>
      <c r="F69" s="54"/>
      <c r="G69" s="54"/>
      <c r="H69" s="54"/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45</v>
      </c>
      <c r="B70" s="53">
        <v>312</v>
      </c>
      <c r="C70" s="53">
        <v>9</v>
      </c>
      <c r="D70" s="53">
        <v>312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263.85754879271406</v>
      </c>
      <c r="T3" s="62">
        <f>IF('Données projet'!E9&gt;30,$R$33-$H$33,LOOKUP('Données projet'!$E$9,$A$3:$A$203,R3:R203)-LOOKUP('Données projet'!$E$9,$A$3:$A$203,$H$3:$H$203))</f>
        <v>157.75772798974242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313.28865457002252</v>
      </c>
      <c r="AO3" s="62">
        <f>IF('Données projet'!E10&gt;30,$AM$33-$H$33,LOOKUP('Données projet'!$E$10,$A$3:$A$203,AM3:AM203)-LOOKUP('Données projet'!$E$10,$A$3:$A$203,$H$3:$H$203))</f>
        <v>438.23149076517115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0.55900000000000005</v>
      </c>
      <c r="D4" s="12">
        <f>IFERROR(EXP(-1.0587+0.8836*LN(C4)+0.284),0)</f>
        <v>0.2756545328031752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6.4429472707613522</v>
      </c>
      <c r="H4" s="70">
        <f t="shared" ref="H4:H67" si="1">(B4+E4+F4)*44/12+(C4+D4)*0.475*44/12</f>
        <v>294.78702331129887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2.84</v>
      </c>
      <c r="N4" s="14">
        <f>IF('Données projet'!$A$36&gt;35,N3+M4-V3,IF(A4&lt;'Données projet'!$A$36,$K$205^A4,IF(A4='Données projet'!$A$36,'Données projet'!$B$36,N3+M4-V3)))</f>
        <v>1.185906184594963</v>
      </c>
      <c r="O4" s="14">
        <f>N4*VLOOKUP('Données projet'!$B$9,Paramètres!$A$1:$I$89,3,0)*VLOOKUP('Données projet'!$B$9,Paramètres!$A$1:$I$89,5,0)</f>
        <v>1.0730079158215224</v>
      </c>
      <c r="P4" s="14">
        <f>EXP(-1.0587+0.8836*LN(O4)+0.284)</f>
        <v>0.49044782191261621</v>
      </c>
      <c r="Q4" s="22">
        <f t="shared" ref="Q4:Q34" si="2">(O4+P4)*0.475*44/12</f>
        <v>2.7230187432202917</v>
      </c>
      <c r="R4" s="62">
        <f t="shared" si="0"/>
        <v>296.05635207655359</v>
      </c>
      <c r="S4" s="62">
        <f ca="1">AVERAGE(OFFSET($R$3,0,0,'Données projet'!$E$9+1,1))-AVERAGE(OFFSET($H$3,0,0,'Données projet'!$E$9+1,1))</f>
        <v>263.85754879271406</v>
      </c>
      <c r="T4" s="62">
        <f>$T$3</f>
        <v>157.75772798974242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6.8</v>
      </c>
      <c r="AI4" s="14">
        <f>IF('Données projet'!$A$62&gt;35,AI3+AH4-AQ3,IF(A4&lt;'Données projet'!$A$62,$AF$205^A4,IF(A4='Données projet'!$A$62,'Données projet'!$B$62,AI3+AH4-AQ3)))</f>
        <v>2.0243974584998852</v>
      </c>
      <c r="AJ4" s="14">
        <f>AI4*VLOOKUP('Données projet'!$B$10,Paramètres!$A$1:$I$89,3,0)*VLOOKUP('Données projet'!$B$10,Paramètres!$A$1:$I$89,5,0)</f>
        <v>1.8316748204506961</v>
      </c>
      <c r="AK4" s="14">
        <f>EXP(-1.0587+0.8836*LN(AJ4)+0.284)</f>
        <v>0.78669228172688432</v>
      </c>
      <c r="AL4" s="22">
        <f t="shared" ref="AL4:AL67" si="4">(AJ4+AK4)*0.475*44/12</f>
        <v>4.5603227029592857</v>
      </c>
      <c r="AM4" s="62">
        <f t="shared" ref="AM4:AM67" si="5">AL4+(AD4+AE4)*44/12</f>
        <v>297.89365603629261</v>
      </c>
      <c r="AN4" s="62">
        <f ca="1">AVERAGE(OFFSET($AM$3,0,0,'Données projet'!$E$10+1,1))-AVERAGE(OFFSET($H$3,0,0,'Données projet'!$E$10+1,1))</f>
        <v>313.28865457002252</v>
      </c>
      <c r="AO4" s="62">
        <f>$AO$3</f>
        <v>438.23149076517115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1.1180000000000001</v>
      </c>
      <c r="D5" s="12">
        <f t="shared" ref="D5:D68" si="32">IFERROR(EXP(-1.0587+0.8836*LN(C5)+0.284),0)</f>
        <v>0.50857527486356202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12.556019665613462</v>
      </c>
      <c r="H5" s="70">
        <f t="shared" si="1"/>
        <v>296.16628527038733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2.84</v>
      </c>
      <c r="N5" s="14">
        <f>IF('Données projet'!$A$36&gt;35,N4+M5-V4,IF(A5&lt;'Données projet'!$A$36,$K$205^A5,IF(A5='Données projet'!$A$36,'Données projet'!$B$36,N4+M5-V4)))</f>
        <v>1.4063734786605824</v>
      </c>
      <c r="O5" s="14">
        <f>N5*VLOOKUP('Données projet'!$B$9,Paramètres!$A$1:$I$89,3,0)*VLOOKUP('Données projet'!$B$9,Paramètres!$A$1:$I$89,5,0)</f>
        <v>1.2724867234920949</v>
      </c>
      <c r="P5" s="14">
        <f t="shared" ref="P5:P68" si="33">EXP(-1.0587+0.8836*LN(O5)+0.284)</f>
        <v>0.570195368340213</v>
      </c>
      <c r="Q5" s="22">
        <f t="shared" si="2"/>
        <v>3.209337976607936</v>
      </c>
      <c r="R5" s="62">
        <f t="shared" si="0"/>
        <v>296.54267130994123</v>
      </c>
      <c r="S5" s="62">
        <f ca="1">AVERAGE(OFFSET($R$3,0,0,'Données projet'!$E$9+1,1))-AVERAGE(OFFSET($H$3,0,0,'Données projet'!$E$9+1,1))</f>
        <v>263.85754879271406</v>
      </c>
      <c r="T5" s="62">
        <f t="shared" ref="T5:T68" si="34">$T$3</f>
        <v>157.75772798974242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6.8</v>
      </c>
      <c r="AI5" s="14">
        <f>IF('Données projet'!$A$62&gt;35,AI4+AH5-AQ4,IF(A5&lt;'Données projet'!$A$62,$AF$205^A5,IF(A5='Données projet'!$A$62,'Données projet'!$B$62,AI4+AH5-AQ4)))</f>
        <v>4.0981850699807945</v>
      </c>
      <c r="AJ5" s="14">
        <f>AI5*VLOOKUP('Données projet'!$B$10,Paramètres!$A$1:$I$89,3,0)*VLOOKUP('Données projet'!$B$10,Paramètres!$A$1:$I$89,5,0)</f>
        <v>3.7080378513186227</v>
      </c>
      <c r="AK5" s="14">
        <f t="shared" ref="AK5:AK68" si="35">EXP(-1.0587+0.8836*LN(AJ5)+0.284)</f>
        <v>1.4670598901857457</v>
      </c>
      <c r="AL5" s="22">
        <f t="shared" si="4"/>
        <v>9.0132952331201093</v>
      </c>
      <c r="AM5" s="62">
        <f t="shared" si="5"/>
        <v>302.34662856645343</v>
      </c>
      <c r="AN5" s="62">
        <f ca="1">AVERAGE(OFFSET($AM$3,0,0,'Données projet'!$E$10+1,1))-AVERAGE(OFFSET($H$3,0,0,'Données projet'!$E$10+1,1))</f>
        <v>313.28865457002252</v>
      </c>
      <c r="AO5" s="62">
        <f t="shared" ref="AO5:AO68" si="36">$AO$3</f>
        <v>438.23149076517115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1.677</v>
      </c>
      <c r="D6" s="12">
        <f t="shared" si="32"/>
        <v>0.72769514761613419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18.56255903422981</v>
      </c>
      <c r="H6" s="70">
        <f t="shared" si="1"/>
        <v>297.52151071543142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2.84</v>
      </c>
      <c r="N6" s="14">
        <f>IF('Données projet'!$A$36&gt;35,N5+M6-V5,IF(A6&lt;'Données projet'!$A$36,$K$205^A6,IF(A6='Données projet'!$A$36,'Données projet'!$B$36,N5+M6-V5)))</f>
        <v>1.6678270061939169</v>
      </c>
      <c r="O6" s="14">
        <f>N6*VLOOKUP('Données projet'!$B$9,Paramètres!$A$1:$I$89,3,0)*VLOOKUP('Données projet'!$B$9,Paramètres!$A$1:$I$89,5,0)</f>
        <v>1.5090498752042558</v>
      </c>
      <c r="P6" s="14">
        <f t="shared" si="33"/>
        <v>0.66290998461108197</v>
      </c>
      <c r="Q6" s="22">
        <f t="shared" si="2"/>
        <v>3.7828300891783795</v>
      </c>
      <c r="R6" s="62">
        <f t="shared" si="0"/>
        <v>297.1161634225117</v>
      </c>
      <c r="S6" s="62">
        <f ca="1">AVERAGE(OFFSET($R$3,0,0,'Données projet'!$E$9+1,1))-AVERAGE(OFFSET($H$3,0,0,'Données projet'!$E$9+1,1))</f>
        <v>263.85754879271406</v>
      </c>
      <c r="T6" s="62">
        <f t="shared" si="34"/>
        <v>157.75772798974242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6.8</v>
      </c>
      <c r="AI6" s="14">
        <f>IF('Données projet'!$A$62&gt;35,AI5+AH6-AQ5,IF(A6&lt;'Données projet'!$A$62,$AF$205^A6,IF(A6='Données projet'!$A$62,'Données projet'!$B$62,AI5+AH6-AQ5)))</f>
        <v>8.2963554401312951</v>
      </c>
      <c r="AJ6" s="14">
        <f>AI6*VLOOKUP('Données projet'!$B$10,Paramètres!$A$1:$I$89,3,0)*VLOOKUP('Données projet'!$B$10,Paramètres!$A$1:$I$89,5,0)</f>
        <v>7.5065424022307949</v>
      </c>
      <c r="AK6" s="14">
        <f t="shared" si="35"/>
        <v>2.7358406474604431</v>
      </c>
      <c r="AL6" s="22">
        <f t="shared" si="4"/>
        <v>17.838817144878906</v>
      </c>
      <c r="AM6" s="62">
        <f t="shared" si="5"/>
        <v>311.17215047821225</v>
      </c>
      <c r="AN6" s="62">
        <f ca="1">AVERAGE(OFFSET($AM$3,0,0,'Données projet'!$E$10+1,1))-AVERAGE(OFFSET($H$3,0,0,'Données projet'!$E$10+1,1))</f>
        <v>313.28865457002252</v>
      </c>
      <c r="AO6" s="62">
        <f t="shared" si="36"/>
        <v>438.23149076517115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2.2360000000000002</v>
      </c>
      <c r="D7" s="12">
        <f t="shared" si="32"/>
        <v>0.93830784341656304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24.503428966724346</v>
      </c>
      <c r="H7" s="70">
        <f t="shared" si="1"/>
        <v>298.8619194939505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2.84</v>
      </c>
      <c r="N7" s="14">
        <f>IF('Données projet'!$A$36&gt;35,N6+M7-V6,IF(A7&lt;'Données projet'!$A$36,$K$205^A7,IF(A7='Données projet'!$A$36,'Données projet'!$B$36,N6+M7-V6)))</f>
        <v>1.9778863614798676</v>
      </c>
      <c r="O7" s="14">
        <f>N7*VLOOKUP('Données projet'!$B$9,Paramètres!$A$1:$I$89,3,0)*VLOOKUP('Données projet'!$B$9,Paramètres!$A$1:$I$89,5,0)</f>
        <v>1.7895915798669841</v>
      </c>
      <c r="P7" s="14">
        <f t="shared" si="33"/>
        <v>0.77070013559784434</v>
      </c>
      <c r="Q7" s="22">
        <f t="shared" si="2"/>
        <v>4.459174737767909</v>
      </c>
      <c r="R7" s="62">
        <f t="shared" si="0"/>
        <v>297.79250807110122</v>
      </c>
      <c r="S7" s="62">
        <f ca="1">AVERAGE(OFFSET($R$3,0,0,'Données projet'!$E$9+1,1))-AVERAGE(OFFSET($H$3,0,0,'Données projet'!$E$9+1,1))</f>
        <v>263.85754879271406</v>
      </c>
      <c r="T7" s="62">
        <f t="shared" si="34"/>
        <v>157.75772798974242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6.8</v>
      </c>
      <c r="AI7" s="14">
        <f>IF('Données projet'!$A$62&gt;35,AI6+AH7-AQ6,IF(A7&lt;'Données projet'!$A$62,$AF$205^A7,IF(A7='Données projet'!$A$62,'Données projet'!$B$62,AI6+AH7-AQ6)))</f>
        <v>16.795120867813488</v>
      </c>
      <c r="AJ7" s="14">
        <f>AI7*VLOOKUP('Données projet'!$B$10,Paramètres!$A$1:$I$89,3,0)*VLOOKUP('Données projet'!$B$10,Paramètres!$A$1:$I$89,5,0)</f>
        <v>15.196225361197643</v>
      </c>
      <c r="AK7" s="14">
        <f t="shared" si="35"/>
        <v>5.1019212633160578</v>
      </c>
      <c r="AL7" s="22">
        <f t="shared" si="4"/>
        <v>35.352605371028027</v>
      </c>
      <c r="AM7" s="62">
        <f t="shared" si="5"/>
        <v>328.68593870436132</v>
      </c>
      <c r="AN7" s="62">
        <f ca="1">AVERAGE(OFFSET($AM$3,0,0,'Données projet'!$E$10+1,1))-AVERAGE(OFFSET($H$3,0,0,'Données projet'!$E$10+1,1))</f>
        <v>313.28865457002252</v>
      </c>
      <c r="AO7" s="62">
        <f t="shared" si="36"/>
        <v>438.23149076517115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2.7950000000000004</v>
      </c>
      <c r="D8" s="12">
        <f t="shared" si="32"/>
        <v>1.1428126371791492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30.397150181733792</v>
      </c>
      <c r="H8" s="70">
        <f t="shared" si="1"/>
        <v>300.19169034308698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2.84</v>
      </c>
      <c r="N8" s="14">
        <f>IF('Données projet'!$A$36&gt;35,N7+M8-V7,IF(A8&lt;'Données projet'!$A$36,$K$205^A8,IF(A8='Données projet'!$A$36,'Données projet'!$B$36,N7+M8-V7)))</f>
        <v>2.3455876685050034</v>
      </c>
      <c r="O8" s="14">
        <f>N8*VLOOKUP('Données projet'!$B$9,Paramètres!$A$1:$I$89,3,0)*VLOOKUP('Données projet'!$B$9,Paramètres!$A$1:$I$89,5,0)</f>
        <v>2.122287722463327</v>
      </c>
      <c r="P8" s="14">
        <f t="shared" si="33"/>
        <v>0.89601712570223679</v>
      </c>
      <c r="Q8" s="22">
        <f t="shared" si="2"/>
        <v>5.2568809438883566</v>
      </c>
      <c r="R8" s="62">
        <f t="shared" si="0"/>
        <v>298.59021427722166</v>
      </c>
      <c r="S8" s="62">
        <f ca="1">AVERAGE(OFFSET($R$3,0,0,'Données projet'!$E$9+1,1))-AVERAGE(OFFSET($H$3,0,0,'Données projet'!$E$9+1,1))</f>
        <v>263.85754879271406</v>
      </c>
      <c r="T8" s="62">
        <f t="shared" si="34"/>
        <v>157.75772798974242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>
        <f>VLOOKUP(A8,'Données projet'!$A$61:$I$81,2,0)</f>
        <v>34</v>
      </c>
      <c r="AG8" s="13">
        <f>VLOOKUP(A8,'Données projet'!$A$61:$I$81,9,0)</f>
        <v>6.8</v>
      </c>
      <c r="AH8" s="13">
        <f t="array" ref="AH8">INDEX(AG:AG,MIN(IF(ISNUMBER(AG8:AG204),ROW(AG8:AG204),"")))</f>
        <v>6.8</v>
      </c>
      <c r="AI8" s="14">
        <f>IF('Données projet'!$A$62&gt;35,AI7+AH8-AQ7,IF(A8&lt;'Données projet'!$A$62,$AF$205^A8,IF(A8='Données projet'!$A$62,'Données projet'!$B$62,AI7+AH8-AQ7)))</f>
        <v>34</v>
      </c>
      <c r="AJ8" s="14">
        <f>AI8*VLOOKUP('Données projet'!$B$10,Paramètres!$A$1:$I$89,3,0)*VLOOKUP('Données projet'!$B$10,Paramètres!$A$1:$I$89,5,0)</f>
        <v>30.763199999999998</v>
      </c>
      <c r="AK8" s="14">
        <f t="shared" si="35"/>
        <v>9.5142970411082253</v>
      </c>
      <c r="AL8" s="22">
        <f t="shared" si="4"/>
        <v>70.149974013263474</v>
      </c>
      <c r="AM8" s="62">
        <f t="shared" si="5"/>
        <v>363.4833073465968</v>
      </c>
      <c r="AN8" s="62">
        <f ca="1">AVERAGE(OFFSET($AM$3,0,0,'Données projet'!$E$10+1,1))-AVERAGE(OFFSET($H$3,0,0,'Données projet'!$E$10+1,1))</f>
        <v>313.28865457002252</v>
      </c>
      <c r="AO8" s="62">
        <f t="shared" si="36"/>
        <v>438.23149076517115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6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3.3540000000000005</v>
      </c>
      <c r="D9" s="12">
        <f t="shared" si="32"/>
        <v>1.3425781754875348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36.254287670430102</v>
      </c>
      <c r="H9" s="70">
        <f t="shared" si="1"/>
        <v>301.5132069889741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2.84</v>
      </c>
      <c r="N9" s="14">
        <f>IF('Données projet'!$A$36&gt;35,N8+M9-V8,IF(A9&lt;'Données projet'!$A$36,$K$205^A9,IF(A9='Données projet'!$A$36,'Données projet'!$B$36,N8+M9-V8)))</f>
        <v>2.7816469225897635</v>
      </c>
      <c r="O9" s="14">
        <f>N9*VLOOKUP('Données projet'!$B$9,Paramètres!$A$1:$I$89,3,0)*VLOOKUP('Données projet'!$B$9,Paramètres!$A$1:$I$89,5,0)</f>
        <v>2.5168341355592179</v>
      </c>
      <c r="P9" s="14">
        <f t="shared" si="33"/>
        <v>1.0417108450732491</v>
      </c>
      <c r="Q9" s="22">
        <f t="shared" si="2"/>
        <v>6.1977991746015464</v>
      </c>
      <c r="R9" s="62">
        <f t="shared" si="0"/>
        <v>299.53113250793484</v>
      </c>
      <c r="S9" s="62">
        <f ca="1">AVERAGE(OFFSET($R$3,0,0,'Données projet'!$E$9+1,1))-AVERAGE(OFFSET($H$3,0,0,'Données projet'!$E$9+1,1))</f>
        <v>263.85754879271406</v>
      </c>
      <c r="T9" s="62">
        <f t="shared" si="34"/>
        <v>157.75772798974242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14.2</v>
      </c>
      <c r="AI9" s="14">
        <f>IF('Données projet'!$A$62&gt;35,AI8+AH9-AQ8,IF(A9&lt;'Données projet'!$A$62,$AF$205^A9,IF(A9='Données projet'!$A$62,'Données projet'!$B$62,AI8+AH9-AQ8)))</f>
        <v>42.2</v>
      </c>
      <c r="AJ9" s="14">
        <f>AI9*VLOOKUP('Données projet'!$B$10,Paramètres!$A$1:$I$89,3,0)*VLOOKUP('Données projet'!$B$10,Paramètres!$A$1:$I$89,5,0)</f>
        <v>38.182560000000002</v>
      </c>
      <c r="AK9" s="14">
        <f t="shared" si="35"/>
        <v>11.515638334288104</v>
      </c>
      <c r="AL9" s="22">
        <f t="shared" si="4"/>
        <v>86.557695432218452</v>
      </c>
      <c r="AM9" s="62">
        <f t="shared" si="5"/>
        <v>379.89102876555177</v>
      </c>
      <c r="AN9" s="62">
        <f ca="1">AVERAGE(OFFSET($AM$3,0,0,'Données projet'!$E$10+1,1))-AVERAGE(OFFSET($H$3,0,0,'Données projet'!$E$10+1,1))</f>
        <v>313.28865457002252</v>
      </c>
      <c r="AO9" s="62">
        <f t="shared" si="36"/>
        <v>438.23149076517115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3.9130000000000007</v>
      </c>
      <c r="D10" s="12">
        <f t="shared" si="32"/>
        <v>1.5384867718747026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42.081652274120522</v>
      </c>
      <c r="H10" s="70">
        <f t="shared" si="1"/>
        <v>302.82800612768176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2.84</v>
      </c>
      <c r="N10" s="14">
        <f>IF('Données projet'!$A$36&gt;35,N9+M10-V9,IF(A10&lt;'Données projet'!$A$36,$K$205^A10,IF(A10='Données projet'!$A$36,'Données projet'!$B$36,N9+M10-V9)))</f>
        <v>3.2987722888587467</v>
      </c>
      <c r="O10" s="14">
        <f>N10*VLOOKUP('Données projet'!$B$9,Paramètres!$A$1:$I$89,3,0)*VLOOKUP('Données projet'!$B$9,Paramètres!$A$1:$I$89,5,0)</f>
        <v>2.9847291669593941</v>
      </c>
      <c r="P10" s="14">
        <f t="shared" si="33"/>
        <v>1.2110945802433715</v>
      </c>
      <c r="Q10" s="22">
        <f t="shared" si="2"/>
        <v>7.3077263597114817</v>
      </c>
      <c r="R10" s="62">
        <f t="shared" si="0"/>
        <v>300.64105969304478</v>
      </c>
      <c r="S10" s="62">
        <f ca="1">AVERAGE(OFFSET($R$3,0,0,'Données projet'!$E$9+1,1))-AVERAGE(OFFSET($H$3,0,0,'Données projet'!$E$9+1,1))</f>
        <v>263.85754879271406</v>
      </c>
      <c r="T10" s="62">
        <f t="shared" si="34"/>
        <v>157.75772798974242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14.2</v>
      </c>
      <c r="AI10" s="14">
        <f>IF('Données projet'!$A$62&gt;35,AI9+AH10-AQ9,IF(A10&lt;'Données projet'!$A$62,$AF$205^A10,IF(A10='Données projet'!$A$62,'Données projet'!$B$62,AI9+AH10-AQ9)))</f>
        <v>56.400000000000006</v>
      </c>
      <c r="AJ10" s="14">
        <f>AI10*VLOOKUP('Données projet'!$B$10,Paramètres!$A$1:$I$89,3,0)*VLOOKUP('Données projet'!$B$10,Paramètres!$A$1:$I$89,5,0)</f>
        <v>51.030720000000009</v>
      </c>
      <c r="AK10" s="14">
        <f t="shared" si="35"/>
        <v>14.879630660597618</v>
      </c>
      <c r="AL10" s="22">
        <f t="shared" si="4"/>
        <v>114.79386073387418</v>
      </c>
      <c r="AM10" s="62">
        <f t="shared" si="5"/>
        <v>408.12719406720748</v>
      </c>
      <c r="AN10" s="62">
        <f ca="1">AVERAGE(OFFSET($AM$3,0,0,'Données projet'!$E$10+1,1))-AVERAGE(OFFSET($H$3,0,0,'Données projet'!$E$10+1,1))</f>
        <v>313.28865457002252</v>
      </c>
      <c r="AO10" s="62">
        <f t="shared" si="36"/>
        <v>438.23149076517115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4.4720000000000004</v>
      </c>
      <c r="D11" s="12">
        <f t="shared" si="32"/>
        <v>1.7311529925500933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47.883988012667395</v>
      </c>
      <c r="H11" s="70">
        <f t="shared" si="1"/>
        <v>304.1371581286914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2.84</v>
      </c>
      <c r="N11" s="14">
        <f>IF('Données projet'!$A$36&gt;35,N10+M11-V10,IF(A11&lt;'Données projet'!$A$36,$K$205^A11,IF(A11='Données projet'!$A$36,'Données projet'!$B$36,N10+M11-V10)))</f>
        <v>3.9120344589280696</v>
      </c>
      <c r="O11" s="14">
        <f>N11*VLOOKUP('Données projet'!$B$9,Paramètres!$A$1:$I$89,3,0)*VLOOKUP('Données projet'!$B$9,Paramètres!$A$1:$I$89,5,0)</f>
        <v>3.5396087784381174</v>
      </c>
      <c r="P11" s="14">
        <f t="shared" si="33"/>
        <v>1.4080203630708406</v>
      </c>
      <c r="Q11" s="22">
        <f t="shared" si="2"/>
        <v>8.6171207547947688</v>
      </c>
      <c r="R11" s="62">
        <f t="shared" si="0"/>
        <v>301.95045408812808</v>
      </c>
      <c r="S11" s="62">
        <f ca="1">AVERAGE(OFFSET($R$3,0,0,'Données projet'!$E$9+1,1))-AVERAGE(OFFSET($H$3,0,0,'Données projet'!$E$9+1,1))</f>
        <v>263.85754879271406</v>
      </c>
      <c r="T11" s="62">
        <f t="shared" si="34"/>
        <v>157.75772798974242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14.2</v>
      </c>
      <c r="AI11" s="14">
        <f>IF('Données projet'!$A$62&gt;35,AI10+AH11-AQ10,IF(A11&lt;'Données projet'!$A$62,$AF$205^A11,IF(A11='Données projet'!$A$62,'Données projet'!$B$62,AI10+AH11-AQ10)))</f>
        <v>70.600000000000009</v>
      </c>
      <c r="AJ11" s="14">
        <f>AI11*VLOOKUP('Données projet'!$B$10,Paramètres!$A$1:$I$89,3,0)*VLOOKUP('Données projet'!$B$10,Paramètres!$A$1:$I$89,5,0)</f>
        <v>63.878880000000002</v>
      </c>
      <c r="AK11" s="14">
        <f t="shared" si="35"/>
        <v>18.145367520913332</v>
      </c>
      <c r="AL11" s="22">
        <f t="shared" si="4"/>
        <v>142.85889776559074</v>
      </c>
      <c r="AM11" s="62">
        <f t="shared" si="5"/>
        <v>436.19223109892403</v>
      </c>
      <c r="AN11" s="62">
        <f ca="1">AVERAGE(OFFSET($AM$3,0,0,'Données projet'!$E$10+1,1))-AVERAGE(OFFSET($H$3,0,0,'Données projet'!$E$10+1,1))</f>
        <v>313.28865457002252</v>
      </c>
      <c r="AO11" s="62">
        <f t="shared" si="36"/>
        <v>438.23149076517115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5.0310000000000006</v>
      </c>
      <c r="D12" s="12">
        <f t="shared" si="32"/>
        <v>1.9210285514955543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53.664781801018329</v>
      </c>
      <c r="H12" s="70">
        <f t="shared" si="1"/>
        <v>305.44144972718806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2.84</v>
      </c>
      <c r="N12" s="14">
        <f>IF('Données projet'!$A$36&gt;35,N11+M12-V11,IF(A12&lt;'Données projet'!$A$36,$K$205^A12,IF(A12='Données projet'!$A$36,'Données projet'!$B$36,N11+M12-V11)))</f>
        <v>4.6393058591914071</v>
      </c>
      <c r="O12" s="14">
        <f>N12*VLOOKUP('Données projet'!$B$9,Paramètres!$A$1:$I$89,3,0)*VLOOKUP('Données projet'!$B$9,Paramètres!$A$1:$I$89,5,0)</f>
        <v>4.1976439413963851</v>
      </c>
      <c r="P12" s="14">
        <f t="shared" si="33"/>
        <v>1.6369665715321342</v>
      </c>
      <c r="Q12" s="22">
        <f t="shared" si="2"/>
        <v>10.161946643350502</v>
      </c>
      <c r="R12" s="62">
        <f t="shared" si="0"/>
        <v>303.49527997668383</v>
      </c>
      <c r="S12" s="62">
        <f ca="1">AVERAGE(OFFSET($R$3,0,0,'Données projet'!$E$9+1,1))-AVERAGE(OFFSET($H$3,0,0,'Données projet'!$E$9+1,1))</f>
        <v>263.85754879271406</v>
      </c>
      <c r="T12" s="62">
        <f t="shared" si="34"/>
        <v>157.75772798974242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14.2</v>
      </c>
      <c r="AI12" s="14">
        <f>IF('Données projet'!$A$62&gt;35,AI11+AH12-AQ11,IF(A12&lt;'Données projet'!$A$62,$AF$205^A12,IF(A12='Données projet'!$A$62,'Données projet'!$B$62,AI11+AH12-AQ11)))</f>
        <v>84.800000000000011</v>
      </c>
      <c r="AJ12" s="14">
        <f>AI12*VLOOKUP('Données projet'!$B$10,Paramètres!$A$1:$I$89,3,0)*VLOOKUP('Données projet'!$B$10,Paramètres!$A$1:$I$89,5,0)</f>
        <v>76.727040000000017</v>
      </c>
      <c r="AK12" s="14">
        <f t="shared" si="35"/>
        <v>21.334993267156719</v>
      </c>
      <c r="AL12" s="22">
        <f t="shared" si="4"/>
        <v>170.79137460696464</v>
      </c>
      <c r="AM12" s="62">
        <f t="shared" si="5"/>
        <v>464.12470794029798</v>
      </c>
      <c r="AN12" s="62">
        <f ca="1">AVERAGE(OFFSET($AM$3,0,0,'Données projet'!$E$10+1,1))-AVERAGE(OFFSET($H$3,0,0,'Données projet'!$E$10+1,1))</f>
        <v>313.28865457002252</v>
      </c>
      <c r="AO12" s="62">
        <f t="shared" si="36"/>
        <v>438.23149076517115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5.5900000000000007</v>
      </c>
      <c r="D13" s="12">
        <f t="shared" si="32"/>
        <v>2.1084588929503836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59.426700226283664</v>
      </c>
      <c r="H13" s="70">
        <f t="shared" si="1"/>
        <v>306.74148257188858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2.84</v>
      </c>
      <c r="N13" s="14">
        <f>IF('Données projet'!$A$36&gt;35,N12+M13-V12,IF(A13&lt;'Données projet'!$A$36,$K$205^A13,IF(A13='Données projet'!$A$36,'Données projet'!$B$36,N12+M13-V12)))</f>
        <v>5.5017815106427381</v>
      </c>
      <c r="O13" s="14">
        <f>N13*VLOOKUP('Données projet'!$B$9,Paramètres!$A$1:$I$89,3,0)*VLOOKUP('Données projet'!$B$9,Paramètres!$A$1:$I$89,5,0)</f>
        <v>4.9780119108295491</v>
      </c>
      <c r="P13" s="14">
        <f t="shared" si="33"/>
        <v>1.9031397745338225</v>
      </c>
      <c r="Q13" s="22">
        <f t="shared" si="2"/>
        <v>11.984672518674538</v>
      </c>
      <c r="R13" s="62">
        <f t="shared" si="0"/>
        <v>305.31800585200784</v>
      </c>
      <c r="S13" s="62">
        <f ca="1">AVERAGE(OFFSET($R$3,0,0,'Données projet'!$E$9+1,1))-AVERAGE(OFFSET($H$3,0,0,'Données projet'!$E$9+1,1))</f>
        <v>263.85754879271406</v>
      </c>
      <c r="T13" s="62">
        <f t="shared" si="34"/>
        <v>157.75772798974242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99</v>
      </c>
      <c r="AG13" s="13">
        <f>VLOOKUP(A13,'Données projet'!$A$61:$I$81,9,0)</f>
        <v>14.2</v>
      </c>
      <c r="AH13" s="13">
        <f t="array" ref="AH13">INDEX(AG:AG,MIN(IF(ISNUMBER(AG13:AG209),ROW(AG13:AG209),"")))</f>
        <v>14.2</v>
      </c>
      <c r="AI13" s="14">
        <f>IF('Données projet'!$A$62&gt;35,AI12+AH13-AQ12,IF(A13&lt;'Données projet'!$A$62,$AF$205^A13,IF(A13='Données projet'!$A$62,'Données projet'!$B$62,AI12+AH13-AQ12)))</f>
        <v>99.000000000000014</v>
      </c>
      <c r="AJ13" s="14">
        <f>AI13*VLOOKUP('Données projet'!$B$10,Paramètres!$A$1:$I$89,3,0)*VLOOKUP('Données projet'!$B$10,Paramètres!$A$1:$I$89,5,0)</f>
        <v>89.575200000000009</v>
      </c>
      <c r="AK13" s="14">
        <f t="shared" si="35"/>
        <v>24.462745269668691</v>
      </c>
      <c r="AL13" s="22">
        <f t="shared" si="4"/>
        <v>198.61608801133966</v>
      </c>
      <c r="AM13" s="62">
        <f t="shared" si="5"/>
        <v>491.94942134467294</v>
      </c>
      <c r="AN13" s="62">
        <f ca="1">AVERAGE(OFFSET($AM$3,0,0,'Données projet'!$E$10+1,1))-AVERAGE(OFFSET($H$3,0,0,'Données projet'!$E$10+1,1))</f>
        <v>313.28865457002252</v>
      </c>
      <c r="AO13" s="62">
        <f t="shared" si="36"/>
        <v>438.23149076517115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28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6.1490000000000009</v>
      </c>
      <c r="D14" s="12">
        <f t="shared" si="32"/>
        <v>2.293716374319045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65.171845696497897</v>
      </c>
      <c r="H14" s="70">
        <f t="shared" si="1"/>
        <v>308.03773101860565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2.84</v>
      </c>
      <c r="N14" s="14">
        <f>IF('Données projet'!$A$36&gt;35,N13+M14-V13,IF(A14&lt;'Données projet'!$A$36,$K$205^A14,IF(A14='Données projet'!$A$36,'Données projet'!$B$36,N13+M14-V13)))</f>
        <v>6.5245967197614414</v>
      </c>
      <c r="O14" s="14">
        <f>N14*VLOOKUP('Données projet'!$B$9,Paramètres!$A$1:$I$89,3,0)*VLOOKUP('Données projet'!$B$9,Paramètres!$A$1:$I$89,5,0)</f>
        <v>5.9034551120401524</v>
      </c>
      <c r="P14" s="14">
        <f t="shared" si="33"/>
        <v>2.2125931368425316</v>
      </c>
      <c r="Q14" s="22">
        <f t="shared" si="2"/>
        <v>14.135450700137341</v>
      </c>
      <c r="R14" s="62">
        <f t="shared" si="0"/>
        <v>307.46878403347068</v>
      </c>
      <c r="S14" s="62">
        <f ca="1">AVERAGE(OFFSET($R$3,0,0,'Données projet'!$E$9+1,1))-AVERAGE(OFFSET($H$3,0,0,'Données projet'!$E$9+1,1))</f>
        <v>263.85754879271406</v>
      </c>
      <c r="T14" s="62">
        <f t="shared" si="34"/>
        <v>157.75772798974242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13.8</v>
      </c>
      <c r="AI14" s="14">
        <f>IF('Données projet'!$A$62&gt;35,AI13+AH14-AQ13,IF(A14&lt;'Données projet'!$A$62,$AF$205^A14,IF(A14='Données projet'!$A$62,'Données projet'!$B$62,AI13+AH14-AQ13)))</f>
        <v>84.800000000000011</v>
      </c>
      <c r="AJ14" s="14">
        <f>AI14*VLOOKUP('Données projet'!$B$10,Paramètres!$A$1:$I$89,3,0)*VLOOKUP('Données projet'!$B$10,Paramètres!$A$1:$I$89,5,0)</f>
        <v>76.727040000000017</v>
      </c>
      <c r="AK14" s="14">
        <f t="shared" si="35"/>
        <v>21.334993267156719</v>
      </c>
      <c r="AL14" s="22">
        <f t="shared" si="4"/>
        <v>170.79137460696464</v>
      </c>
      <c r="AM14" s="62">
        <f t="shared" si="5"/>
        <v>464.12470794029798</v>
      </c>
      <c r="AN14" s="62">
        <f ca="1">AVERAGE(OFFSET($AM$3,0,0,'Données projet'!$E$10+1,1))-AVERAGE(OFFSET($H$3,0,0,'Données projet'!$E$10+1,1))</f>
        <v>313.28865457002252</v>
      </c>
      <c r="AO14" s="62">
        <f t="shared" si="36"/>
        <v>438.23149076517115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6.7080000000000011</v>
      </c>
      <c r="D15" s="12">
        <f t="shared" si="32"/>
        <v>2.4770209932006879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70.901916438742163</v>
      </c>
      <c r="H15" s="70">
        <f t="shared" si="1"/>
        <v>309.33057822982454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2.84</v>
      </c>
      <c r="N15" s="14">
        <f>IF('Données projet'!$A$36&gt;35,N14+M15-V14,IF(A15&lt;'Données projet'!$A$36,$K$205^A15,IF(A15='Données projet'!$A$36,'Données projet'!$B$36,N14+M15-V14)))</f>
        <v>7.7375596019531026</v>
      </c>
      <c r="O15" s="14">
        <f>N15*VLOOKUP('Données projet'!$B$9,Paramètres!$A$1:$I$89,3,0)*VLOOKUP('Données projet'!$B$9,Paramètres!$A$1:$I$89,5,0)</f>
        <v>7.0009439278471666</v>
      </c>
      <c r="P15" s="14">
        <f t="shared" si="33"/>
        <v>2.5723640768329017</v>
      </c>
      <c r="Q15" s="22">
        <f t="shared" si="2"/>
        <v>16.673511441484454</v>
      </c>
      <c r="R15" s="62">
        <f t="shared" si="0"/>
        <v>310.00684477481775</v>
      </c>
      <c r="S15" s="62">
        <f ca="1">AVERAGE(OFFSET($R$3,0,0,'Données projet'!$E$9+1,1))-AVERAGE(OFFSET($H$3,0,0,'Données projet'!$E$9+1,1))</f>
        <v>263.85754879271406</v>
      </c>
      <c r="T15" s="62">
        <f t="shared" si="34"/>
        <v>157.75772798974242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13.8</v>
      </c>
      <c r="AI15" s="14">
        <f>IF('Données projet'!$A$62&gt;35,AI14+AH15-AQ14,IF(A15&lt;'Données projet'!$A$62,$AF$205^A15,IF(A15='Données projet'!$A$62,'Données projet'!$B$62,AI14+AH15-AQ14)))</f>
        <v>98.600000000000009</v>
      </c>
      <c r="AJ15" s="14">
        <f>AI15*VLOOKUP('Données projet'!$B$10,Paramètres!$A$1:$I$89,3,0)*VLOOKUP('Données projet'!$B$10,Paramètres!$A$1:$I$89,5,0)</f>
        <v>89.213280000000012</v>
      </c>
      <c r="AK15" s="14">
        <f t="shared" si="35"/>
        <v>24.375390230293569</v>
      </c>
      <c r="AL15" s="22">
        <f t="shared" si="4"/>
        <v>197.83360065109466</v>
      </c>
      <c r="AM15" s="62">
        <f t="shared" si="5"/>
        <v>491.16693398442794</v>
      </c>
      <c r="AN15" s="62">
        <f ca="1">AVERAGE(OFFSET($AM$3,0,0,'Données projet'!$E$10+1,1))-AVERAGE(OFFSET($H$3,0,0,'Données projet'!$E$10+1,1))</f>
        <v>313.28865457002252</v>
      </c>
      <c r="AO15" s="62">
        <f t="shared" si="36"/>
        <v>438.23149076517115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7.2670000000000012</v>
      </c>
      <c r="D16" s="12">
        <f t="shared" si="32"/>
        <v>2.6585539900627135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76.618311502238512</v>
      </c>
      <c r="H16" s="70">
        <f t="shared" si="1"/>
        <v>310.62033986602586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2.84</v>
      </c>
      <c r="N16" s="14">
        <f>IF('Données projet'!$A$36&gt;35,N15+M16-V15,IF(A16&lt;'Données projet'!$A$36,$K$205^A16,IF(A16='Données projet'!$A$36,'Données projet'!$B$36,N15+M16-V15)))</f>
        <v>9.1760197856283234</v>
      </c>
      <c r="O16" s="14">
        <f>N16*VLOOKUP('Données projet'!$B$9,Paramètres!$A$1:$I$89,3,0)*VLOOKUP('Données projet'!$B$9,Paramètres!$A$1:$I$89,5,0)</f>
        <v>8.3024627020365074</v>
      </c>
      <c r="P16" s="14">
        <f t="shared" si="33"/>
        <v>2.9906343075904238</v>
      </c>
      <c r="Q16" s="22">
        <f t="shared" si="2"/>
        <v>19.668810625100239</v>
      </c>
      <c r="R16" s="62">
        <f t="shared" si="0"/>
        <v>313.00214395843358</v>
      </c>
      <c r="S16" s="62">
        <f ca="1">AVERAGE(OFFSET($R$3,0,0,'Données projet'!$E$9+1,1))-AVERAGE(OFFSET($H$3,0,0,'Données projet'!$E$9+1,1))</f>
        <v>263.85754879271406</v>
      </c>
      <c r="T16" s="62">
        <f t="shared" si="34"/>
        <v>157.75772798974242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13.8</v>
      </c>
      <c r="AI16" s="14">
        <f>IF('Données projet'!$A$62&gt;35,AI15+AH16-AQ15,IF(A16&lt;'Données projet'!$A$62,$AF$205^A16,IF(A16='Données projet'!$A$62,'Données projet'!$B$62,AI15+AH16-AQ15)))</f>
        <v>112.4</v>
      </c>
      <c r="AJ16" s="14">
        <f>AI16*VLOOKUP('Données projet'!$B$10,Paramètres!$A$1:$I$89,3,0)*VLOOKUP('Données projet'!$B$10,Paramètres!$A$1:$I$89,5,0)</f>
        <v>101.69951999999999</v>
      </c>
      <c r="AK16" s="14">
        <f t="shared" si="35"/>
        <v>27.366486780557949</v>
      </c>
      <c r="AL16" s="22">
        <f t="shared" si="4"/>
        <v>224.78996180947172</v>
      </c>
      <c r="AM16" s="62">
        <f t="shared" si="5"/>
        <v>518.12329514280509</v>
      </c>
      <c r="AN16" s="62">
        <f ca="1">AVERAGE(OFFSET($AM$3,0,0,'Données projet'!$E$10+1,1))-AVERAGE(OFFSET($H$3,0,0,'Données projet'!$E$10+1,1))</f>
        <v>313.28865457002252</v>
      </c>
      <c r="AO16" s="62">
        <f t="shared" si="36"/>
        <v>438.23149076517115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7.8260000000000014</v>
      </c>
      <c r="D17" s="12">
        <f t="shared" si="32"/>
        <v>2.8384671382814215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82.322202470944333</v>
      </c>
      <c r="H17" s="70">
        <f t="shared" si="1"/>
        <v>311.90728026584014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2.84</v>
      </c>
      <c r="N17" s="14">
        <f>IF('Données projet'!$A$36&gt;35,N16+M17-V16,IF(A17&lt;'Données projet'!$A$36,$K$205^A17,IF(A17='Données projet'!$A$36,'Données projet'!$B$36,N16+M17-V16)))</f>
        <v>10.881898613742376</v>
      </c>
      <c r="O17" s="14">
        <f>N17*VLOOKUP('Données projet'!$B$9,Paramètres!$A$1:$I$89,3,0)*VLOOKUP('Données projet'!$B$9,Paramètres!$A$1:$I$89,5,0)</f>
        <v>9.8459418657141011</v>
      </c>
      <c r="P17" s="14">
        <f t="shared" si="33"/>
        <v>3.4769159009359916</v>
      </c>
      <c r="Q17" s="22">
        <f t="shared" si="2"/>
        <v>23.203977276915577</v>
      </c>
      <c r="R17" s="62">
        <f t="shared" si="0"/>
        <v>316.53731061024888</v>
      </c>
      <c r="S17" s="62">
        <f ca="1">AVERAGE(OFFSET($R$3,0,0,'Données projet'!$E$9+1,1))-AVERAGE(OFFSET($H$3,0,0,'Données projet'!$E$9+1,1))</f>
        <v>263.85754879271406</v>
      </c>
      <c r="T17" s="62">
        <f t="shared" si="34"/>
        <v>157.75772798974242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13.8</v>
      </c>
      <c r="AI17" s="14">
        <f>IF('Données projet'!$A$62&gt;35,AI16+AH17-AQ16,IF(A17&lt;'Données projet'!$A$62,$AF$205^A17,IF(A17='Données projet'!$A$62,'Données projet'!$B$62,AI16+AH17-AQ16)))</f>
        <v>126.2</v>
      </c>
      <c r="AJ17" s="14">
        <f>AI17*VLOOKUP('Données projet'!$B$10,Paramètres!$A$1:$I$89,3,0)*VLOOKUP('Données projet'!$B$10,Paramètres!$A$1:$I$89,5,0)</f>
        <v>114.18576</v>
      </c>
      <c r="AK17" s="14">
        <f t="shared" si="35"/>
        <v>30.315028515433259</v>
      </c>
      <c r="AL17" s="22">
        <f t="shared" si="4"/>
        <v>251.67220666437959</v>
      </c>
      <c r="AM17" s="62">
        <f t="shared" si="5"/>
        <v>545.00553999771296</v>
      </c>
      <c r="AN17" s="62">
        <f ca="1">AVERAGE(OFFSET($AM$3,0,0,'Données projet'!$E$10+1,1))-AVERAGE(OFFSET($H$3,0,0,'Données projet'!$E$10+1,1))</f>
        <v>313.28865457002252</v>
      </c>
      <c r="AO17" s="62">
        <f t="shared" si="36"/>
        <v>438.23149076517115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8.3850000000000016</v>
      </c>
      <c r="D18" s="12">
        <f t="shared" si="32"/>
        <v>3.0168893007228847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88.014584075755593</v>
      </c>
      <c r="H18" s="70">
        <f t="shared" si="1"/>
        <v>313.1916238654257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2.84</v>
      </c>
      <c r="N18" s="14">
        <f>IF('Données projet'!$A$36&gt;35,N17+M18-V17,IF(A18&lt;'Données projet'!$A$36,$K$205^A18,IF(A18='Données projet'!$A$36,'Données projet'!$B$36,N17+M18-V17)))</f>
        <v>12.904910866172436</v>
      </c>
      <c r="O18" s="14">
        <f>N18*VLOOKUP('Données projet'!$B$9,Paramètres!$A$1:$I$89,3,0)*VLOOKUP('Données projet'!$B$9,Paramètres!$A$1:$I$89,5,0)</f>
        <v>11.676363351712819</v>
      </c>
      <c r="P18" s="14">
        <f t="shared" si="33"/>
        <v>4.0422676057380276</v>
      </c>
      <c r="Q18" s="22">
        <f t="shared" si="2"/>
        <v>27.376615584226887</v>
      </c>
      <c r="R18" s="62">
        <f t="shared" si="0"/>
        <v>320.70994891756021</v>
      </c>
      <c r="S18" s="62">
        <f ca="1">AVERAGE(OFFSET($R$3,0,0,'Données projet'!$E$9+1,1))-AVERAGE(OFFSET($H$3,0,0,'Données projet'!$E$9+1,1))</f>
        <v>263.85754879271406</v>
      </c>
      <c r="T18" s="62">
        <f t="shared" si="34"/>
        <v>157.75772798974242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140</v>
      </c>
      <c r="AG18" s="13">
        <f>VLOOKUP(A18,'Données projet'!$A$61:$I$81,9,0)</f>
        <v>13.8</v>
      </c>
      <c r="AH18" s="13">
        <f t="array" ref="AH18">INDEX(AG:AG,MIN(IF(ISNUMBER(AG18:AG214),ROW(AG18:AG214),"")))</f>
        <v>13.8</v>
      </c>
      <c r="AI18" s="14">
        <f>IF('Données projet'!$A$62&gt;35,AI17+AH18-AQ17,IF(A18&lt;'Données projet'!$A$62,$AF$205^A18,IF(A18='Données projet'!$A$62,'Données projet'!$B$62,AI17+AH18-AQ17)))</f>
        <v>140</v>
      </c>
      <c r="AJ18" s="14">
        <f>AI18*VLOOKUP('Données projet'!$B$10,Paramètres!$A$1:$I$89,3,0)*VLOOKUP('Données projet'!$B$10,Paramètres!$A$1:$I$89,5,0)</f>
        <v>126.67199999999998</v>
      </c>
      <c r="AK18" s="14">
        <f t="shared" si="35"/>
        <v>33.226199426361347</v>
      </c>
      <c r="AL18" s="22">
        <f t="shared" si="4"/>
        <v>278.48936400091264</v>
      </c>
      <c r="AM18" s="62">
        <f t="shared" si="5"/>
        <v>571.82269733424596</v>
      </c>
      <c r="AN18" s="62">
        <f ca="1">AVERAGE(OFFSET($AM$3,0,0,'Données projet'!$E$10+1,1))-AVERAGE(OFFSET($H$3,0,0,'Données projet'!$E$10+1,1))</f>
        <v>313.28865457002252</v>
      </c>
      <c r="AO18" s="62">
        <f t="shared" si="36"/>
        <v>438.23149076517115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23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8.9440000000000008</v>
      </c>
      <c r="D19" s="12">
        <f t="shared" si="32"/>
        <v>3.193931186488729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93.69631091324635</v>
      </c>
      <c r="H19" s="70">
        <f t="shared" si="1"/>
        <v>314.47356348313451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2.84</v>
      </c>
      <c r="N19" s="14">
        <f>IF('Données projet'!$A$36&gt;35,N18+M19-V18,IF(A19&lt;'Données projet'!$A$36,$K$205^A19,IF(A19='Données projet'!$A$36,'Données projet'!$B$36,N18+M19-V18)))</f>
        <v>15.304013607840634</v>
      </c>
      <c r="O19" s="14">
        <f>N19*VLOOKUP('Données projet'!$B$9,Paramètres!$A$1:$I$89,3,0)*VLOOKUP('Données projet'!$B$9,Paramètres!$A$1:$I$89,5,0)</f>
        <v>13.847071512374203</v>
      </c>
      <c r="P19" s="14">
        <f t="shared" si="33"/>
        <v>4.6995463399043667</v>
      </c>
      <c r="Q19" s="22">
        <f t="shared" si="2"/>
        <v>32.302026092718499</v>
      </c>
      <c r="R19" s="62">
        <f t="shared" si="0"/>
        <v>325.63535942605182</v>
      </c>
      <c r="S19" s="62">
        <f ca="1">AVERAGE(OFFSET($R$3,0,0,'Données projet'!$E$9+1,1))-AVERAGE(OFFSET($H$3,0,0,'Données projet'!$E$9+1,1))</f>
        <v>263.85754879271406</v>
      </c>
      <c r="T19" s="62">
        <f t="shared" si="34"/>
        <v>157.75772798974242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12.6</v>
      </c>
      <c r="AI19" s="14">
        <f>IF('Données projet'!$A$62&gt;35,AI18+AH19-AQ18,IF(A19&lt;'Données projet'!$A$62,$AF$205^A19,IF(A19='Données projet'!$A$62,'Données projet'!$B$62,AI18+AH19-AQ18)))</f>
        <v>129.6</v>
      </c>
      <c r="AJ19" s="14">
        <f>AI19*VLOOKUP('Données projet'!$B$10,Paramètres!$A$1:$I$89,3,0)*VLOOKUP('Données projet'!$B$10,Paramètres!$A$1:$I$89,5,0)</f>
        <v>117.26208</v>
      </c>
      <c r="AK19" s="14">
        <f t="shared" si="35"/>
        <v>31.035569170075775</v>
      </c>
      <c r="AL19" s="22">
        <f t="shared" si="4"/>
        <v>258.28507230454863</v>
      </c>
      <c r="AM19" s="62">
        <f t="shared" si="5"/>
        <v>551.61840563788201</v>
      </c>
      <c r="AN19" s="62">
        <f ca="1">AVERAGE(OFFSET($AM$3,0,0,'Données projet'!$E$10+1,1))-AVERAGE(OFFSET($H$3,0,0,'Données projet'!$E$10+1,1))</f>
        <v>313.28865457002252</v>
      </c>
      <c r="AO19" s="62">
        <f t="shared" si="36"/>
        <v>438.23149076517115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9.5030000000000001</v>
      </c>
      <c r="D20" s="12">
        <f t="shared" si="32"/>
        <v>3.369688883880555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99.368124717674462</v>
      </c>
      <c r="H20" s="70">
        <f t="shared" si="1"/>
        <v>315.75326647275864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2.84</v>
      </c>
      <c r="N20" s="14">
        <f>IF('Données projet'!$A$36&gt;35,N19+M20-V19,IF(A20&lt;'Données projet'!$A$36,$K$205^A20,IF(A20='Données projet'!$A$36,'Données projet'!$B$36,N19+M20-V19)))</f>
        <v>18.149124386663679</v>
      </c>
      <c r="O20" s="14">
        <f>N20*VLOOKUP('Données projet'!$B$9,Paramètres!$A$1:$I$89,3,0)*VLOOKUP('Données projet'!$B$9,Paramètres!$A$1:$I$89,5,0)</f>
        <v>16.421327745053297</v>
      </c>
      <c r="P20" s="14">
        <f t="shared" si="33"/>
        <v>5.4636995753466904</v>
      </c>
      <c r="Q20" s="22">
        <f t="shared" si="2"/>
        <v>38.11642258302998</v>
      </c>
      <c r="R20" s="62">
        <f t="shared" si="0"/>
        <v>331.4497559163633</v>
      </c>
      <c r="S20" s="62">
        <f ca="1">AVERAGE(OFFSET($R$3,0,0,'Données projet'!$E$9+1,1))-AVERAGE(OFFSET($H$3,0,0,'Données projet'!$E$9+1,1))</f>
        <v>263.85754879271406</v>
      </c>
      <c r="T20" s="62">
        <f t="shared" si="34"/>
        <v>157.75772798974242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12.6</v>
      </c>
      <c r="AI20" s="14">
        <f>IF('Données projet'!$A$62&gt;35,AI19+AH20-AQ19,IF(A20&lt;'Données projet'!$A$62,$AF$205^A20,IF(A20='Données projet'!$A$62,'Données projet'!$B$62,AI19+AH20-AQ19)))</f>
        <v>142.19999999999999</v>
      </c>
      <c r="AJ20" s="14">
        <f>AI20*VLOOKUP('Données projet'!$B$10,Paramètres!$A$1:$I$89,3,0)*VLOOKUP('Données projet'!$B$10,Paramètres!$A$1:$I$89,5,0)</f>
        <v>128.66255999999998</v>
      </c>
      <c r="AK20" s="14">
        <f t="shared" si="35"/>
        <v>33.687130461083775</v>
      </c>
      <c r="AL20" s="22">
        <f t="shared" si="4"/>
        <v>282.75904421972086</v>
      </c>
      <c r="AM20" s="62">
        <f t="shared" si="5"/>
        <v>576.09237755305412</v>
      </c>
      <c r="AN20" s="62">
        <f ca="1">AVERAGE(OFFSET($AM$3,0,0,'Données projet'!$E$10+1,1))-AVERAGE(OFFSET($H$3,0,0,'Données projet'!$E$10+1,1))</f>
        <v>313.28865457002252</v>
      </c>
      <c r="AO20" s="62">
        <f t="shared" si="36"/>
        <v>438.23149076517115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10.061999999999999</v>
      </c>
      <c r="D21" s="12">
        <f t="shared" si="32"/>
        <v>3.5442465380941046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105.03067503090188</v>
      </c>
      <c r="H21" s="70">
        <f t="shared" si="1"/>
        <v>317.03087938718056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2.84</v>
      </c>
      <c r="N21" s="14">
        <f>IF('Données projet'!$A$36&gt;35,N20+M21-V20,IF(A21&lt;'Données projet'!$A$36,$K$205^A21,IF(A21='Données projet'!$A$36,'Données projet'!$B$36,N20+M21-V20)))</f>
        <v>21.523158855127722</v>
      </c>
      <c r="O21" s="14">
        <f>N21*VLOOKUP('Données projet'!$B$9,Paramètres!$A$1:$I$89,3,0)*VLOOKUP('Données projet'!$B$9,Paramètres!$A$1:$I$89,5,0)</f>
        <v>19.474154132119562</v>
      </c>
      <c r="P21" s="14">
        <f t="shared" si="33"/>
        <v>6.3521052651756742</v>
      </c>
      <c r="Q21" s="22">
        <f t="shared" si="2"/>
        <v>44.980735116955863</v>
      </c>
      <c r="R21" s="62">
        <f t="shared" si="0"/>
        <v>338.3140684502892</v>
      </c>
      <c r="S21" s="62">
        <f ca="1">AVERAGE(OFFSET($R$3,0,0,'Données projet'!$E$9+1,1))-AVERAGE(OFFSET($H$3,0,0,'Données projet'!$E$9+1,1))</f>
        <v>263.85754879271406</v>
      </c>
      <c r="T21" s="62">
        <f t="shared" si="34"/>
        <v>157.75772798974242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12.6</v>
      </c>
      <c r="AI21" s="14">
        <f>IF('Données projet'!$A$62&gt;35,AI20+AH21-AQ20,IF(A21&lt;'Données projet'!$A$62,$AF$205^A21,IF(A21='Données projet'!$A$62,'Données projet'!$B$62,AI20+AH21-AQ20)))</f>
        <v>154.79999999999998</v>
      </c>
      <c r="AJ21" s="14">
        <f>AI21*VLOOKUP('Données projet'!$B$10,Paramètres!$A$1:$I$89,3,0)*VLOOKUP('Données projet'!$B$10,Paramètres!$A$1:$I$89,5,0)</f>
        <v>140.06303999999997</v>
      </c>
      <c r="AK21" s="14">
        <f t="shared" si="35"/>
        <v>36.31144669536954</v>
      </c>
      <c r="AL21" s="22">
        <f t="shared" si="4"/>
        <v>307.18556432776853</v>
      </c>
      <c r="AM21" s="62">
        <f t="shared" si="5"/>
        <v>600.51889766110185</v>
      </c>
      <c r="AN21" s="62">
        <f ca="1">AVERAGE(OFFSET($AM$3,0,0,'Données projet'!$E$10+1,1))-AVERAGE(OFFSET($H$3,0,0,'Données projet'!$E$10+1,1))</f>
        <v>313.28865457002252</v>
      </c>
      <c r="AO21" s="62">
        <f t="shared" si="36"/>
        <v>438.23149076517115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10.620999999999999</v>
      </c>
      <c r="D22" s="12">
        <f t="shared" si="32"/>
        <v>3.7176784168109291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110.68453514731243</v>
      </c>
      <c r="H22" s="70">
        <f t="shared" si="1"/>
        <v>318.30653157594566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2.84</v>
      </c>
      <c r="N22" s="14">
        <f>IF('Données projet'!$A$36&gt;35,N21+M22-V21,IF(A22&lt;'Données projet'!$A$36,$K$205^A22,IF(A22='Données projet'!$A$36,'Données projet'!$B$36,N21+M22-V21)))</f>
        <v>25.524447198315809</v>
      </c>
      <c r="O22" s="14">
        <f>N22*VLOOKUP('Données projet'!$B$9,Paramètres!$A$1:$I$89,3,0)*VLOOKUP('Données projet'!$B$9,Paramètres!$A$1:$I$89,5,0)</f>
        <v>23.094519825036141</v>
      </c>
      <c r="P22" s="14">
        <f t="shared" si="33"/>
        <v>7.3849670435644734</v>
      </c>
      <c r="Q22" s="22">
        <f t="shared" si="2"/>
        <v>53.085106296146058</v>
      </c>
      <c r="R22" s="62">
        <f t="shared" si="0"/>
        <v>346.41843962947939</v>
      </c>
      <c r="S22" s="62">
        <f ca="1">AVERAGE(OFFSET($R$3,0,0,'Données projet'!$E$9+1,1))-AVERAGE(OFFSET($H$3,0,0,'Données projet'!$E$9+1,1))</f>
        <v>263.85754879271406</v>
      </c>
      <c r="T22" s="62">
        <f t="shared" si="34"/>
        <v>157.75772798974242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12.6</v>
      </c>
      <c r="AI22" s="14">
        <f>IF('Données projet'!$A$62&gt;35,AI21+AH22-AQ21,IF(A22&lt;'Données projet'!$A$62,$AF$205^A22,IF(A22='Données projet'!$A$62,'Données projet'!$B$62,AI21+AH22-AQ21)))</f>
        <v>167.39999999999998</v>
      </c>
      <c r="AJ22" s="14">
        <f>AI22*VLOOKUP('Données projet'!$B$10,Paramètres!$A$1:$I$89,3,0)*VLOOKUP('Données projet'!$B$10,Paramètres!$A$1:$I$89,5,0)</f>
        <v>151.46351999999999</v>
      </c>
      <c r="AK22" s="14">
        <f t="shared" si="35"/>
        <v>38.910987614777085</v>
      </c>
      <c r="AL22" s="22">
        <f t="shared" si="4"/>
        <v>331.56893409573678</v>
      </c>
      <c r="AM22" s="62">
        <f t="shared" si="5"/>
        <v>624.90226742907009</v>
      </c>
      <c r="AN22" s="62">
        <f ca="1">AVERAGE(OFFSET($AM$3,0,0,'Données projet'!$E$10+1,1))-AVERAGE(OFFSET($H$3,0,0,'Données projet'!$E$10+1,1))</f>
        <v>313.28865457002252</v>
      </c>
      <c r="AO22" s="62">
        <f t="shared" si="36"/>
        <v>438.23149076517115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11.179999999999998</v>
      </c>
      <c r="D23" s="12">
        <f t="shared" si="32"/>
        <v>3.8900505285230369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116.33021460614272</v>
      </c>
      <c r="H23" s="70">
        <f t="shared" si="1"/>
        <v>319.58033800384425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2.84</v>
      </c>
      <c r="N23" s="14">
        <f>IF('Données projet'!$A$36&gt;35,N22+M23-V22,IF(A23&lt;'Données projet'!$A$36,$K$205^A23,IF(A23='Données projet'!$A$36,'Données projet'!$B$36,N22+M23-V22)))</f>
        <v>30.269599790850293</v>
      </c>
      <c r="O23" s="14">
        <f>N23*VLOOKUP('Données projet'!$B$9,Paramètres!$A$1:$I$89,3,0)*VLOOKUP('Données projet'!$B$9,Paramètres!$A$1:$I$89,5,0)</f>
        <v>27.387933890761346</v>
      </c>
      <c r="P23" s="14">
        <f t="shared" si="33"/>
        <v>8.5857736856986921</v>
      </c>
      <c r="Q23" s="22">
        <f t="shared" si="2"/>
        <v>62.654207362334567</v>
      </c>
      <c r="R23" s="62">
        <f t="shared" si="0"/>
        <v>355.98754069566786</v>
      </c>
      <c r="S23" s="62">
        <f ca="1">AVERAGE(OFFSET($R$3,0,0,'Données projet'!$E$9+1,1))-AVERAGE(OFFSET($H$3,0,0,'Données projet'!$E$9+1,1))</f>
        <v>263.85754879271406</v>
      </c>
      <c r="T23" s="62">
        <f t="shared" si="34"/>
        <v>157.75772798974242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180</v>
      </c>
      <c r="AG23" s="13">
        <f>VLOOKUP(A23,'Données projet'!$A$61:$I$81,9,0)</f>
        <v>12.6</v>
      </c>
      <c r="AH23" s="13">
        <f t="array" ref="AH23">INDEX(AG:AG,MIN(IF(ISNUMBER(AG23:AG219),ROW(AG23:AG219),"")))</f>
        <v>12.6</v>
      </c>
      <c r="AI23" s="14">
        <f>IF('Données projet'!$A$62&gt;35,AI22+AH23-AQ22,IF(A23&lt;'Données projet'!$A$62,$AF$205^A23,IF(A23='Données projet'!$A$62,'Données projet'!$B$62,AI22+AH23-AQ22)))</f>
        <v>179.99999999999997</v>
      </c>
      <c r="AJ23" s="14">
        <f>AI23*VLOOKUP('Données projet'!$B$10,Paramètres!$A$1:$I$89,3,0)*VLOOKUP('Données projet'!$B$10,Paramètres!$A$1:$I$89,5,0)</f>
        <v>162.86399999999998</v>
      </c>
      <c r="AK23" s="14">
        <f t="shared" si="35"/>
        <v>41.487830069509123</v>
      </c>
      <c r="AL23" s="22">
        <f t="shared" si="4"/>
        <v>355.91277070439497</v>
      </c>
      <c r="AM23" s="62">
        <f t="shared" si="5"/>
        <v>649.24610403772829</v>
      </c>
      <c r="AN23" s="62">
        <f ca="1">AVERAGE(OFFSET($AM$3,0,0,'Données projet'!$E$10+1,1))-AVERAGE(OFFSET($H$3,0,0,'Données projet'!$E$10+1,1))</f>
        <v>313.28865457002252</v>
      </c>
      <c r="AO23" s="62">
        <f t="shared" si="36"/>
        <v>438.23149076517115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11.738999999999997</v>
      </c>
      <c r="D24" s="12">
        <f t="shared" si="32"/>
        <v>4.0614219079945988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121.96816911434426</v>
      </c>
      <c r="H24" s="70">
        <f t="shared" si="1"/>
        <v>320.85240148975726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2.84</v>
      </c>
      <c r="N24" s="14">
        <f>IF('Données projet'!$A$36&gt;35,N23+M24-V23,IF(A24&lt;'Données projet'!$A$36,$K$205^A24,IF(A24='Données projet'!$A$36,'Données projet'!$B$36,N23+M24-V23)))</f>
        <v>35.896905597183761</v>
      </c>
      <c r="O24" s="14">
        <f>N24*VLOOKUP('Données projet'!$B$9,Paramètres!$A$1:$I$89,3,0)*VLOOKUP('Données projet'!$B$9,Paramètres!$A$1:$I$89,5,0)</f>
        <v>32.479520184331868</v>
      </c>
      <c r="P24" s="14">
        <f t="shared" si="33"/>
        <v>9.9818332765986337</v>
      </c>
      <c r="Q24" s="22">
        <f t="shared" si="2"/>
        <v>73.953523944453949</v>
      </c>
      <c r="R24" s="62">
        <f t="shared" si="0"/>
        <v>367.28685727778725</v>
      </c>
      <c r="S24" s="62">
        <f ca="1">AVERAGE(OFFSET($R$3,0,0,'Données projet'!$E$9+1,1))-AVERAGE(OFFSET($H$3,0,0,'Données projet'!$E$9+1,1))</f>
        <v>263.85754879271406</v>
      </c>
      <c r="T24" s="62">
        <f t="shared" si="34"/>
        <v>157.75772798974242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10.4</v>
      </c>
      <c r="AI24" s="14">
        <f>IF('Données projet'!$A$62&gt;35,AI23+AH24-AQ23,IF(A24&lt;'Données projet'!$A$62,$AF$205^A24,IF(A24='Données projet'!$A$62,'Données projet'!$B$62,AI23+AH24-AQ23)))</f>
        <v>172.39999999999998</v>
      </c>
      <c r="AJ24" s="14">
        <f>AI24*VLOOKUP('Données projet'!$B$10,Paramètres!$A$1:$I$89,3,0)*VLOOKUP('Données projet'!$B$10,Paramètres!$A$1:$I$89,5,0)</f>
        <v>155.98751999999996</v>
      </c>
      <c r="AK24" s="14">
        <f t="shared" si="35"/>
        <v>39.936155927663087</v>
      </c>
      <c r="AL24" s="22">
        <f t="shared" si="4"/>
        <v>341.23373557401311</v>
      </c>
      <c r="AM24" s="62">
        <f t="shared" si="5"/>
        <v>634.56706890734642</v>
      </c>
      <c r="AN24" s="62">
        <f ca="1">AVERAGE(OFFSET($AM$3,0,0,'Données projet'!$E$10+1,1))-AVERAGE(OFFSET($H$3,0,0,'Données projet'!$E$10+1,1))</f>
        <v>313.28865457002252</v>
      </c>
      <c r="AO24" s="62">
        <f t="shared" si="36"/>
        <v>438.23149076517115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12.297999999999996</v>
      </c>
      <c r="D25" s="12">
        <f t="shared" si="32"/>
        <v>4.2318456499363739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127.59880852582461</v>
      </c>
      <c r="H25" s="70">
        <f t="shared" si="1"/>
        <v>322.12281450697247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2.84</v>
      </c>
      <c r="N25" s="14">
        <f>IF('Données projet'!$A$36&gt;35,N24+M25-V24,IF(A25&lt;'Données projet'!$A$36,$K$205^A25,IF(A25='Données projet'!$A$36,'Données projet'!$B$36,N24+M25-V24)))</f>
        <v>42.570362355521766</v>
      </c>
      <c r="O25" s="14">
        <f>N25*VLOOKUP('Données projet'!$B$9,Paramètres!$A$1:$I$89,3,0)*VLOOKUP('Données projet'!$B$9,Paramètres!$A$1:$I$89,5,0)</f>
        <v>38.517663859276098</v>
      </c>
      <c r="P25" s="14">
        <f t="shared" si="33"/>
        <v>11.604894236587789</v>
      </c>
      <c r="Q25" s="22">
        <f t="shared" si="2"/>
        <v>87.2967886836296</v>
      </c>
      <c r="R25" s="62">
        <f t="shared" si="0"/>
        <v>380.6301220169629</v>
      </c>
      <c r="S25" s="62">
        <f ca="1">AVERAGE(OFFSET($R$3,0,0,'Données projet'!$E$9+1,1))-AVERAGE(OFFSET($H$3,0,0,'Données projet'!$E$9+1,1))</f>
        <v>263.85754879271406</v>
      </c>
      <c r="T25" s="62">
        <f t="shared" si="34"/>
        <v>157.75772798974242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10.4</v>
      </c>
      <c r="AI25" s="14">
        <f>IF('Données projet'!$A$62&gt;35,AI24+AH25-AQ24,IF(A25&lt;'Données projet'!$A$62,$AF$205^A25,IF(A25='Données projet'!$A$62,'Données projet'!$B$62,AI24+AH25-AQ24)))</f>
        <v>182.79999999999998</v>
      </c>
      <c r="AJ25" s="14">
        <f>AI25*VLOOKUP('Données projet'!$B$10,Paramètres!$A$1:$I$89,3,0)*VLOOKUP('Données projet'!$B$10,Paramètres!$A$1:$I$89,5,0)</f>
        <v>165.39743999999999</v>
      </c>
      <c r="AK25" s="14">
        <f t="shared" si="35"/>
        <v>42.057562385840804</v>
      </c>
      <c r="AL25" s="22">
        <f t="shared" si="4"/>
        <v>361.31746248867267</v>
      </c>
      <c r="AM25" s="62">
        <f t="shared" si="5"/>
        <v>654.65079582200599</v>
      </c>
      <c r="AN25" s="62">
        <f ca="1">AVERAGE(OFFSET($AM$3,0,0,'Données projet'!$E$10+1,1))-AVERAGE(OFFSET($H$3,0,0,'Données projet'!$E$10+1,1))</f>
        <v>313.28865457002252</v>
      </c>
      <c r="AO25" s="62">
        <f t="shared" si="36"/>
        <v>438.23149076517115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12.856999999999996</v>
      </c>
      <c r="D26" s="12">
        <f t="shared" si="32"/>
        <v>4.4013697494266859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133.22250332890772</v>
      </c>
      <c r="H26" s="70">
        <f t="shared" si="1"/>
        <v>323.39166064691813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2.84</v>
      </c>
      <c r="N26" s="14">
        <f>IF('Données projet'!$A$36&gt;35,N25+M26-V25,IF(A26&lt;'Données projet'!$A$36,$K$205^A26,IF(A26='Données projet'!$A$36,'Données projet'!$B$36,N25+M26-V25)))</f>
        <v>50.484455997861858</v>
      </c>
      <c r="O26" s="14">
        <f>N26*VLOOKUP('Données projet'!$B$9,Paramètres!$A$1:$I$89,3,0)*VLOOKUP('Données projet'!$B$9,Paramètres!$A$1:$I$89,5,0)</f>
        <v>45.678335786865411</v>
      </c>
      <c r="P26" s="14">
        <f t="shared" si="33"/>
        <v>13.491867326427556</v>
      </c>
      <c r="Q26" s="22">
        <f t="shared" si="2"/>
        <v>103.0547704223186</v>
      </c>
      <c r="R26" s="62">
        <f t="shared" si="0"/>
        <v>396.38810375565191</v>
      </c>
      <c r="S26" s="62">
        <f ca="1">AVERAGE(OFFSET($R$3,0,0,'Données projet'!$E$9+1,1))-AVERAGE(OFFSET($H$3,0,0,'Données projet'!$E$9+1,1))</f>
        <v>263.85754879271406</v>
      </c>
      <c r="T26" s="62">
        <f t="shared" si="34"/>
        <v>157.75772798974242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10.4</v>
      </c>
      <c r="AI26" s="14">
        <f>IF('Données projet'!$A$62&gt;35,AI25+AH26-AQ25,IF(A26&lt;'Données projet'!$A$62,$AF$205^A26,IF(A26='Données projet'!$A$62,'Données projet'!$B$62,AI25+AH26-AQ25)))</f>
        <v>193.2</v>
      </c>
      <c r="AJ26" s="14">
        <f>AI26*VLOOKUP('Données projet'!$B$10,Paramètres!$A$1:$I$89,3,0)*VLOOKUP('Données projet'!$B$10,Paramètres!$A$1:$I$89,5,0)</f>
        <v>174.80735999999999</v>
      </c>
      <c r="AK26" s="14">
        <f t="shared" si="35"/>
        <v>44.164958649772579</v>
      </c>
      <c r="AL26" s="22">
        <f t="shared" si="4"/>
        <v>381.37678831502052</v>
      </c>
      <c r="AM26" s="62">
        <f t="shared" si="5"/>
        <v>674.71012164835383</v>
      </c>
      <c r="AN26" s="62">
        <f ca="1">AVERAGE(OFFSET($AM$3,0,0,'Données projet'!$E$10+1,1))-AVERAGE(OFFSET($H$3,0,0,'Données projet'!$E$10+1,1))</f>
        <v>313.28865457002252</v>
      </c>
      <c r="AO26" s="62">
        <f t="shared" si="36"/>
        <v>438.23149076517115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13.415999999999995</v>
      </c>
      <c r="D27" s="12">
        <f t="shared" si="32"/>
        <v>4.5700377920480229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138.83958997370399</v>
      </c>
      <c r="H27" s="70">
        <f t="shared" si="1"/>
        <v>324.65901582115026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2.84</v>
      </c>
      <c r="N27" s="14">
        <f>IF('Données projet'!$A$36&gt;35,N26+M27-V26,IF(A27&lt;'Données projet'!$A$36,$K$205^A27,IF(A27='Données projet'!$A$36,'Données projet'!$B$36,N26+M27-V26)))</f>
        <v>59.869828593776646</v>
      </c>
      <c r="O27" s="14">
        <f>N27*VLOOKUP('Données projet'!$B$9,Paramètres!$A$1:$I$89,3,0)*VLOOKUP('Données projet'!$B$9,Paramètres!$A$1:$I$89,5,0)</f>
        <v>54.17022091164911</v>
      </c>
      <c r="P27" s="14">
        <f t="shared" si="33"/>
        <v>15.685665051562438</v>
      </c>
      <c r="Q27" s="22">
        <f t="shared" si="2"/>
        <v>121.66566805259345</v>
      </c>
      <c r="R27" s="62">
        <f t="shared" si="0"/>
        <v>414.99900138592676</v>
      </c>
      <c r="S27" s="62">
        <f ca="1">AVERAGE(OFFSET($R$3,0,0,'Données projet'!$E$9+1,1))-AVERAGE(OFFSET($H$3,0,0,'Données projet'!$E$9+1,1))</f>
        <v>263.85754879271406</v>
      </c>
      <c r="T27" s="62">
        <f t="shared" si="34"/>
        <v>157.75772798974242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10.4</v>
      </c>
      <c r="AI27" s="14">
        <f>IF('Données projet'!$A$62&gt;35,AI26+AH27-AQ26,IF(A27&lt;'Données projet'!$A$62,$AF$205^A27,IF(A27='Données projet'!$A$62,'Données projet'!$B$62,AI26+AH27-AQ26)))</f>
        <v>203.6</v>
      </c>
      <c r="AJ27" s="14">
        <f>AI27*VLOOKUP('Données projet'!$B$10,Paramètres!$A$1:$I$89,3,0)*VLOOKUP('Données projet'!$B$10,Paramètres!$A$1:$I$89,5,0)</f>
        <v>184.21727999999999</v>
      </c>
      <c r="AK27" s="14">
        <f t="shared" si="35"/>
        <v>46.25918487744358</v>
      </c>
      <c r="AL27" s="22">
        <f t="shared" si="4"/>
        <v>401.41317632821421</v>
      </c>
      <c r="AM27" s="62">
        <f t="shared" si="5"/>
        <v>694.74650966154752</v>
      </c>
      <c r="AN27" s="62">
        <f ca="1">AVERAGE(OFFSET($AM$3,0,0,'Données projet'!$E$10+1,1))-AVERAGE(OFFSET($H$3,0,0,'Données projet'!$E$10+1,1))</f>
        <v>313.28865457002252</v>
      </c>
      <c r="AO27" s="62">
        <f t="shared" si="36"/>
        <v>438.23149076517115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13.974999999999994</v>
      </c>
      <c r="D28" s="12">
        <f t="shared" si="32"/>
        <v>4.7378895257597495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144.45037528656644</v>
      </c>
      <c r="H28" s="70">
        <f t="shared" si="1"/>
        <v>325.92494925736486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71</v>
      </c>
      <c r="L28" s="13">
        <f>VLOOKUP(A28,'Données projet'!$A$35:$I$55,9,0)</f>
        <v>2.84</v>
      </c>
      <c r="M28" s="13">
        <f t="array" ref="M28">INDEX(L:L,MIN(IF(ISNUMBER(L28:L224),ROW(L28:L224),"")))</f>
        <v>2.84</v>
      </c>
      <c r="N28" s="14">
        <f>IF('Données projet'!$A$36&gt;35,N27+M28-V27,IF(A28&lt;'Données projet'!$A$36,$K$205^A28,IF(A28='Données projet'!$A$36,'Données projet'!$B$36,N27+M28-V27)))</f>
        <v>71</v>
      </c>
      <c r="O28" s="14">
        <f>N28*VLOOKUP('Données projet'!$B$9,Paramètres!$A$1:$I$89,3,0)*VLOOKUP('Données projet'!$B$9,Paramètres!$A$1:$I$89,5,0)</f>
        <v>64.240800000000007</v>
      </c>
      <c r="P28" s="14">
        <f t="shared" si="33"/>
        <v>18.236177554745847</v>
      </c>
      <c r="Q28" s="22">
        <f t="shared" si="2"/>
        <v>143.6474025745157</v>
      </c>
      <c r="R28" s="62">
        <f t="shared" si="0"/>
        <v>436.98073590784901</v>
      </c>
      <c r="S28" s="62">
        <f ca="1">AVERAGE(OFFSET($R$3,0,0,'Données projet'!$E$9+1,1))-AVERAGE(OFFSET($H$3,0,0,'Données projet'!$E$9+1,1))</f>
        <v>263.85754879271406</v>
      </c>
      <c r="T28" s="62">
        <f t="shared" si="34"/>
        <v>157.75772798974242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214</v>
      </c>
      <c r="AG28" s="13">
        <f>VLOOKUP(A28,'Données projet'!$A$61:$I$81,9,0)</f>
        <v>10.4</v>
      </c>
      <c r="AH28" s="13">
        <f t="array" ref="AH28">INDEX(AG:AG,MIN(IF(ISNUMBER(AG28:AG224),ROW(AG28:AG224),"")))</f>
        <v>10.4</v>
      </c>
      <c r="AI28" s="14">
        <f>IF('Données projet'!$A$62&gt;35,AI27+AH28-AQ27,IF(A28&lt;'Données projet'!$A$62,$AF$205^A28,IF(A28='Données projet'!$A$62,'Données projet'!$B$62,AI27+AH28-AQ27)))</f>
        <v>214</v>
      </c>
      <c r="AJ28" s="14">
        <f>AI28*VLOOKUP('Données projet'!$B$10,Paramètres!$A$1:$I$89,3,0)*VLOOKUP('Données projet'!$B$10,Paramètres!$A$1:$I$89,5,0)</f>
        <v>193.62719999999999</v>
      </c>
      <c r="AK28" s="14">
        <f t="shared" si="35"/>
        <v>48.340990547231193</v>
      </c>
      <c r="AL28" s="22">
        <f t="shared" si="4"/>
        <v>421.42793186976093</v>
      </c>
      <c r="AM28" s="62">
        <f t="shared" si="5"/>
        <v>714.76126520309424</v>
      </c>
      <c r="AN28" s="62">
        <f ca="1">AVERAGE(OFFSET($AM$3,0,0,'Données projet'!$E$10+1,1))-AVERAGE(OFFSET($H$3,0,0,'Données projet'!$E$10+1,1))</f>
        <v>313.28865457002252</v>
      </c>
      <c r="AO28" s="62">
        <f t="shared" si="36"/>
        <v>438.23149076517115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14.533999999999994</v>
      </c>
      <c r="D29" s="12">
        <f t="shared" si="32"/>
        <v>4.9049613386955659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150.05514015835169</v>
      </c>
      <c r="H29" s="70">
        <f t="shared" si="1"/>
        <v>327.18952433156142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70</v>
      </c>
      <c r="O29" s="14">
        <f>N29*VLOOKUP('Données projet'!$B$9,Paramètres!$A$1:$I$89,3,0)*VLOOKUP('Données projet'!$B$9,Paramètres!$A$1:$I$89,5,0)</f>
        <v>63.335999999999991</v>
      </c>
      <c r="P29" s="14">
        <f t="shared" si="33"/>
        <v>18.009040022946227</v>
      </c>
      <c r="Q29" s="22">
        <f t="shared" si="2"/>
        <v>141.67594470663133</v>
      </c>
      <c r="R29" s="62">
        <f t="shared" si="0"/>
        <v>435.00927803996467</v>
      </c>
      <c r="S29" s="62">
        <f ca="1">AVERAGE(OFFSET($R$3,0,0,'Données projet'!$E$9+1,1))-AVERAGE(OFFSET($H$3,0,0,'Données projet'!$E$9+1,1))</f>
        <v>263.85754879271406</v>
      </c>
      <c r="T29" s="62">
        <f t="shared" si="34"/>
        <v>157.75772798974242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8.6</v>
      </c>
      <c r="AI29" s="14">
        <f>IF('Données projet'!$A$62&gt;35,AI28+AH29-AQ28,IF(A29&lt;'Données projet'!$A$62,$AF$205^A29,IF(A29='Données projet'!$A$62,'Données projet'!$B$62,AI28+AH29-AQ28)))</f>
        <v>208.6</v>
      </c>
      <c r="AJ29" s="14">
        <f>AI29*VLOOKUP('Données projet'!$B$10,Paramètres!$A$1:$I$89,3,0)*VLOOKUP('Données projet'!$B$10,Paramètres!$A$1:$I$89,5,0)</f>
        <v>188.74127999999999</v>
      </c>
      <c r="AK29" s="14">
        <f t="shared" si="35"/>
        <v>47.261560168122358</v>
      </c>
      <c r="AL29" s="22">
        <f t="shared" si="4"/>
        <v>411.03827995947972</v>
      </c>
      <c r="AM29" s="62">
        <f t="shared" si="5"/>
        <v>704.37161329281298</v>
      </c>
      <c r="AN29" s="62">
        <f ca="1">AVERAGE(OFFSET($AM$3,0,0,'Données projet'!$E$10+1,1))-AVERAGE(OFFSET($H$3,0,0,'Données projet'!$E$10+1,1))</f>
        <v>313.28865457002252</v>
      </c>
      <c r="AO29" s="62">
        <f t="shared" si="36"/>
        <v>438.23149076517115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15.092999999999993</v>
      </c>
      <c r="D30" s="12">
        <f t="shared" si="32"/>
        <v>5.0712866613861189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155.65414264929629</v>
      </c>
      <c r="H30" s="70">
        <f t="shared" si="1"/>
        <v>328.4527992685808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69.669600000000003</v>
      </c>
      <c r="P30" s="14">
        <f t="shared" si="33"/>
        <v>19.591385027476957</v>
      </c>
      <c r="Q30" s="22">
        <f t="shared" si="2"/>
        <v>155.46288225618903</v>
      </c>
      <c r="R30" s="62">
        <f t="shared" si="0"/>
        <v>448.79621558952238</v>
      </c>
      <c r="S30" s="62">
        <f ca="1">AVERAGE(OFFSET($R$3,0,0,'Données projet'!$E$9+1,1))-AVERAGE(OFFSET($H$3,0,0,'Données projet'!$E$9+1,1))</f>
        <v>263.85754879271406</v>
      </c>
      <c r="T30" s="62">
        <f t="shared" si="34"/>
        <v>157.75772798974242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8.6</v>
      </c>
      <c r="AI30" s="14">
        <f>IF('Données projet'!$A$62&gt;35,AI29+AH30-AQ29,IF(A30&lt;'Données projet'!$A$62,$AF$205^A30,IF(A30='Données projet'!$A$62,'Données projet'!$B$62,AI29+AH30-AQ29)))</f>
        <v>217.2</v>
      </c>
      <c r="AJ30" s="14">
        <f>AI30*VLOOKUP('Données projet'!$B$10,Paramètres!$A$1:$I$89,3,0)*VLOOKUP('Données projet'!$B$10,Paramètres!$A$1:$I$89,5,0)</f>
        <v>196.52255999999997</v>
      </c>
      <c r="AK30" s="14">
        <f t="shared" si="35"/>
        <v>48.979153257338155</v>
      </c>
      <c r="AL30" s="22">
        <f t="shared" si="4"/>
        <v>427.58215058986383</v>
      </c>
      <c r="AM30" s="62">
        <f t="shared" si="5"/>
        <v>720.91548392319714</v>
      </c>
      <c r="AN30" s="62">
        <f ca="1">AVERAGE(OFFSET($AM$3,0,0,'Données projet'!$E$10+1,1))-AVERAGE(OFFSET($H$3,0,0,'Données projet'!$E$10+1,1))</f>
        <v>313.28865457002252</v>
      </c>
      <c r="AO30" s="62">
        <f t="shared" si="36"/>
        <v>438.23149076517115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15.651999999999992</v>
      </c>
      <c r="D31" s="12">
        <f t="shared" si="32"/>
        <v>5.2368963077179389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161.24762062098054</v>
      </c>
      <c r="H31" s="70">
        <f t="shared" si="1"/>
        <v>329.71482773594204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84</v>
      </c>
      <c r="O31" s="14">
        <f>N31*VLOOKUP('Données projet'!$B$9,Paramètres!$A$1:$I$89,3,0)*VLOOKUP('Données projet'!$B$9,Paramètres!$A$1:$I$89,5,0)</f>
        <v>76.003200000000007</v>
      </c>
      <c r="P31" s="14">
        <f t="shared" si="33"/>
        <v>21.157049992000456</v>
      </c>
      <c r="Q31" s="22">
        <f t="shared" si="2"/>
        <v>169.22076873606747</v>
      </c>
      <c r="R31" s="62">
        <f t="shared" si="0"/>
        <v>462.55410206940076</v>
      </c>
      <c r="S31" s="62">
        <f ca="1">AVERAGE(OFFSET($R$3,0,0,'Données projet'!$E$9+1,1))-AVERAGE(OFFSET($H$3,0,0,'Données projet'!$E$9+1,1))</f>
        <v>263.85754879271406</v>
      </c>
      <c r="T31" s="62">
        <f t="shared" si="34"/>
        <v>157.75772798974242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8.6</v>
      </c>
      <c r="AI31" s="14">
        <f>IF('Données projet'!$A$62&gt;35,AI30+AH31-AQ30,IF(A31&lt;'Données projet'!$A$62,$AF$205^A31,IF(A31='Données projet'!$A$62,'Données projet'!$B$62,AI30+AH31-AQ30)))</f>
        <v>225.79999999999998</v>
      </c>
      <c r="AJ31" s="14">
        <f>AI31*VLOOKUP('Données projet'!$B$10,Paramètres!$A$1:$I$89,3,0)*VLOOKUP('Données projet'!$B$10,Paramètres!$A$1:$I$89,5,0)</f>
        <v>204.30383999999995</v>
      </c>
      <c r="AK31" s="14">
        <f t="shared" si="35"/>
        <v>50.688846269088558</v>
      </c>
      <c r="AL31" s="22">
        <f t="shared" si="4"/>
        <v>444.11226191866245</v>
      </c>
      <c r="AM31" s="62">
        <f t="shared" si="5"/>
        <v>737.44559525199577</v>
      </c>
      <c r="AN31" s="62">
        <f ca="1">AVERAGE(OFFSET($AM$3,0,0,'Données projet'!$E$10+1,1))-AVERAGE(OFFSET($H$3,0,0,'Données projet'!$E$10+1,1))</f>
        <v>313.28865457002252</v>
      </c>
      <c r="AO31" s="62">
        <f t="shared" si="36"/>
        <v>438.23149076517115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16.210999999999991</v>
      </c>
      <c r="D32" s="12">
        <f t="shared" si="32"/>
        <v>5.4018187658151851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166.8357939817312</v>
      </c>
      <c r="H32" s="70">
        <f t="shared" si="1"/>
        <v>330.9756593504614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91</v>
      </c>
      <c r="O32" s="14">
        <f>N32*VLOOKUP('Données projet'!$B$9,Paramètres!$A$1:$I$89,3,0)*VLOOKUP('Données projet'!$B$9,Paramètres!$A$1:$I$89,5,0)</f>
        <v>82.336799999999997</v>
      </c>
      <c r="P32" s="14">
        <f t="shared" si="33"/>
        <v>22.707582950885364</v>
      </c>
      <c r="Q32" s="22">
        <f t="shared" si="2"/>
        <v>182.95230030612535</v>
      </c>
      <c r="R32" s="62">
        <f t="shared" si="0"/>
        <v>476.28563363945864</v>
      </c>
      <c r="S32" s="62">
        <f ca="1">AVERAGE(OFFSET($R$3,0,0,'Données projet'!$E$9+1,1))-AVERAGE(OFFSET($H$3,0,0,'Données projet'!$E$9+1,1))</f>
        <v>263.85754879271406</v>
      </c>
      <c r="T32" s="62">
        <f t="shared" si="34"/>
        <v>157.75772798974242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8.6</v>
      </c>
      <c r="AI32" s="14">
        <f>IF('Données projet'!$A$62&gt;35,AI31+AH32-AQ31,IF(A32&lt;'Données projet'!$A$62,$AF$205^A32,IF(A32='Données projet'!$A$62,'Données projet'!$B$62,AI31+AH32-AQ31)))</f>
        <v>234.39999999999998</v>
      </c>
      <c r="AJ32" s="14">
        <f>AI32*VLOOKUP('Données projet'!$B$10,Paramètres!$A$1:$I$89,3,0)*VLOOKUP('Données projet'!$B$10,Paramètres!$A$1:$I$89,5,0)</f>
        <v>212.08511999999996</v>
      </c>
      <c r="AK32" s="14">
        <f t="shared" si="35"/>
        <v>52.390974537063087</v>
      </c>
      <c r="AL32" s="22">
        <f t="shared" si="4"/>
        <v>460.62919798538474</v>
      </c>
      <c r="AM32" s="62">
        <f t="shared" si="5"/>
        <v>753.96253131871799</v>
      </c>
      <c r="AN32" s="62">
        <f ca="1">AVERAGE(OFFSET($AM$3,0,0,'Données projet'!$E$10+1,1))-AVERAGE(OFFSET($H$3,0,0,'Données projet'!$E$10+1,1))</f>
        <v>313.28865457002252</v>
      </c>
      <c r="AO32" s="62">
        <f t="shared" si="36"/>
        <v>438.23149076517115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16.769999999999992</v>
      </c>
      <c r="D33" s="12">
        <f t="shared" si="32"/>
        <v>5.5660804476725998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172.41886661361301</v>
      </c>
      <c r="H33" s="70">
        <f t="shared" si="1"/>
        <v>332.23534011302974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98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98</v>
      </c>
      <c r="O33" s="14">
        <f>N33*VLOOKUP('Données projet'!$B$9,Paramètres!$A$1:$I$89,3,0)*VLOOKUP('Données projet'!$B$9,Paramètres!$A$1:$I$89,5,0)</f>
        <v>88.670400000000001</v>
      </c>
      <c r="P33" s="14">
        <f t="shared" si="33"/>
        <v>24.244280250395512</v>
      </c>
      <c r="Q33" s="22">
        <f t="shared" si="2"/>
        <v>196.65973476943884</v>
      </c>
      <c r="R33" s="62">
        <f t="shared" si="0"/>
        <v>489.99306810277216</v>
      </c>
      <c r="S33" s="62">
        <f ca="1">AVERAGE(OFFSET($R$3,0,0,'Données projet'!$E$9+1,1))-AVERAGE(OFFSET($H$3,0,0,'Données projet'!$E$9+1,1))</f>
        <v>263.85754879271406</v>
      </c>
      <c r="T33" s="62">
        <f t="shared" si="34"/>
        <v>157.75772798974242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243</v>
      </c>
      <c r="AG33" s="13">
        <f>VLOOKUP(A33,'Données projet'!$A$61:$I$81,9,0)</f>
        <v>8.6</v>
      </c>
      <c r="AH33" s="13">
        <f t="array" ref="AH33">INDEX(AG:AG,MIN(IF(ISNUMBER(AG33:AG229),ROW(AG33:AG229),"")))</f>
        <v>8.6</v>
      </c>
      <c r="AI33" s="14">
        <f>IF('Données projet'!$A$62&gt;35,AI32+AH33-AQ32,IF(A33&lt;'Données projet'!$A$62,$AF$205^A33,IF(A33='Données projet'!$A$62,'Données projet'!$B$62,AI32+AH33-AQ32)))</f>
        <v>242.99999999999997</v>
      </c>
      <c r="AJ33" s="14">
        <f>AI33*VLOOKUP('Données projet'!$B$10,Paramètres!$A$1:$I$89,3,0)*VLOOKUP('Données projet'!$B$10,Paramètres!$A$1:$I$89,5,0)</f>
        <v>219.86639999999997</v>
      </c>
      <c r="AK33" s="14">
        <f t="shared" si="35"/>
        <v>54.085847394182416</v>
      </c>
      <c r="AL33" s="22">
        <f t="shared" si="4"/>
        <v>477.13349754486762</v>
      </c>
      <c r="AM33" s="62">
        <f t="shared" si="5"/>
        <v>770.46683087820088</v>
      </c>
      <c r="AN33" s="62">
        <f ca="1">AVERAGE(OFFSET($AM$3,0,0,'Données projet'!$E$10+1,1))-AVERAGE(OFFSET($H$3,0,0,'Données projet'!$E$10+1,1))</f>
        <v>313.28865457002252</v>
      </c>
      <c r="AO33" s="62">
        <f t="shared" si="36"/>
        <v>438.23149076517115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11</v>
      </c>
      <c r="AR33" s="17">
        <f>IF(ISNA(VLOOKUP(A33,'Données projet'!$A$61:$I$81,5,0)),0%,VLOOKUP(A33,'Données projet'!$A$61:$I$81,5,0)*VLOOKUP('Données projet'!$B$10,Paramètres!$A$1:$I$89,7,0))</f>
        <v>0.06</v>
      </c>
      <c r="AS33" s="17">
        <f>IF(ISNA(VLOOKUP(A33,'Données projet'!$A$61:$I$81,6,0)),0%,VLOOKUP(A33,'Données projet'!$A$61:$I$81,6,0)*VLOOKUP('Données projet'!$B$10,Paramètres!$A$1:$I$89,7,0))</f>
        <v>0.105</v>
      </c>
      <c r="AT33" s="17">
        <f>IF(ISNA(VLOOKUP(A33,'Données projet'!$A$61:$I$81,7,0)),0%,VLOOKUP(A33,'Données projet'!$A$61:$I$81,7,0))</f>
        <v>0.5</v>
      </c>
      <c r="AU33" s="23">
        <f>EXP(-LN(2)/35)*AU32+(1-EXP(-LN(2)/35))/(LN(2)/35)*AQ33*AR33*VLOOKUP('Données projet'!$B$10,Paramètres!$A$1:$I$89,3,0)*0.475*44/12</f>
        <v>0.66015153560493267</v>
      </c>
      <c r="AV33" s="23">
        <f>EXP(-LN(2)/25)*AV32+(1-EXP(-LN(2)/25))/(LN(2)/25)*Calculateur!AQ33*Calculateur!AS33*VLOOKUP('Données projet'!$B$10,Paramètres!$A$1:$I$89,3,0)*0.475*44/12</f>
        <v>1.1507164680756514</v>
      </c>
      <c r="AW33" s="23">
        <f>EXP(-LN(2)/2)*AW32+(1-EXP(-LN(2)/2))/(LN(2)/2)*AQ33*AT33*VLOOKUP('Données projet'!$B$10,Paramètres!$A$1:$I$89,3,0)*0.475*44/12</f>
        <v>4.6953673378422538</v>
      </c>
      <c r="AX33" s="23">
        <f t="shared" si="6"/>
        <v>6.5062353415228378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17.328999999999994</v>
      </c>
      <c r="D34" s="12">
        <f t="shared" si="32"/>
        <v>5.7297059045690339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177.99702803526966</v>
      </c>
      <c r="H34" s="70">
        <f t="shared" si="1"/>
        <v>333.49391278379102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7.8</v>
      </c>
      <c r="N34" s="14">
        <f>IF('Données projet'!$A$36&gt;35,N33+M34-V33,IF(A34&lt;'Données projet'!$A$36,$K$205^A34,IF(A34='Données projet'!$A$36,'Données projet'!$B$36,N33+M34-V33)))</f>
        <v>84.8</v>
      </c>
      <c r="O34" s="14">
        <f>N34*VLOOKUP('Données projet'!$B$9,Paramètres!$A$1:$I$89,3,0)*VLOOKUP('Données projet'!$B$9,Paramètres!$A$1:$I$89,5,0)</f>
        <v>76.727040000000002</v>
      </c>
      <c r="P34" s="14">
        <f t="shared" si="33"/>
        <v>21.334993267156708</v>
      </c>
      <c r="Q34" s="22">
        <f t="shared" si="2"/>
        <v>170.79137460696458</v>
      </c>
      <c r="R34" s="62">
        <f t="shared" si="0"/>
        <v>464.12470794029787</v>
      </c>
      <c r="S34" s="62">
        <f ca="1">AVERAGE(OFFSET($R$3,0,0,'Données projet'!$E$9+1,1))-AVERAGE(OFFSET($H$3,0,0,'Données projet'!$E$9+1,1))</f>
        <v>263.85754879271406</v>
      </c>
      <c r="T34" s="62">
        <f t="shared" si="34"/>
        <v>157.75772798974242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238.99999999999997</v>
      </c>
      <c r="AJ34" s="14">
        <f>AI34*VLOOKUP('Données projet'!$B$10,Paramètres!$A$1:$I$89,3,0)*VLOOKUP('Données projet'!$B$10,Paramètres!$A$1:$I$89,5,0)</f>
        <v>216.24719999999996</v>
      </c>
      <c r="AK34" s="14">
        <f t="shared" si="35"/>
        <v>53.298418226645332</v>
      </c>
      <c r="AL34" s="22">
        <f t="shared" si="4"/>
        <v>469.45861841140714</v>
      </c>
      <c r="AM34" s="62">
        <f t="shared" si="5"/>
        <v>762.79195174474046</v>
      </c>
      <c r="AN34" s="62">
        <f ca="1">AVERAGE(OFFSET($AM$3,0,0,'Données projet'!$E$10+1,1))-AVERAGE(OFFSET($H$3,0,0,'Données projet'!$E$10+1,1))</f>
        <v>313.28865457002252</v>
      </c>
      <c r="AO34" s="62">
        <f t="shared" si="36"/>
        <v>438.23149076517115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0.64720636664439801</v>
      </c>
      <c r="AV34" s="23">
        <f>EXP(-LN(2)/25)*AV33+(1-EXP(-LN(2)/25))/(LN(2)/25)*Calculateur!AQ34*Calculateur!AS34*VLOOKUP('Données projet'!$B$10,Paramètres!$A$1:$I$89,3,0)*0.475*44/12</f>
        <v>1.1192500657425737</v>
      </c>
      <c r="AW34" s="23">
        <f>EXP(-LN(2)/2)*AW33+(1-EXP(-LN(2)/2))/(LN(2)/2)*AQ34*AT34*VLOOKUP('Données projet'!$B$10,Paramètres!$A$1:$I$89,3,0)*0.475*44/12</f>
        <v>3.3201260847500849</v>
      </c>
      <c r="AX34" s="23">
        <f t="shared" si="6"/>
        <v>5.0865825171370567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17.887999999999995</v>
      </c>
      <c r="D35" s="12">
        <f t="shared" si="32"/>
        <v>5.8927180139048909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183.57045484417804</v>
      </c>
      <c r="H35" s="70">
        <f t="shared" si="1"/>
        <v>334.75141720755096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7.8</v>
      </c>
      <c r="N35" s="14">
        <f>IF('Données projet'!$A$36&gt;35,N34+M35-V34,IF(A35&lt;'Données projet'!$A$36,$K$205^A35,IF(A35='Données projet'!$A$36,'Données projet'!$B$36,N34+M35-V34)))</f>
        <v>92.6</v>
      </c>
      <c r="O35" s="14">
        <f>N35*VLOOKUP('Données projet'!$B$9,Paramètres!$A$1:$I$89,3,0)*VLOOKUP('Données projet'!$B$9,Paramètres!$A$1:$I$89,5,0)</f>
        <v>83.784479999999988</v>
      </c>
      <c r="P35" s="14">
        <f t="shared" si="33"/>
        <v>23.06000530770384</v>
      </c>
      <c r="Q35" s="22">
        <f t="shared" ref="Q35:Q66" si="53">(O35+P35)*0.475*44/12</f>
        <v>186.08747857758416</v>
      </c>
      <c r="R35" s="62">
        <f t="shared" si="0"/>
        <v>479.42081191091745</v>
      </c>
      <c r="S35" s="62">
        <f ca="1">AVERAGE(OFFSET($R$3,0,0,'Données projet'!$E$9+1,1))-AVERAGE(OFFSET($H$3,0,0,'Données projet'!$E$9+1,1))</f>
        <v>263.85754879271406</v>
      </c>
      <c r="T35" s="62">
        <f t="shared" si="34"/>
        <v>157.75772798974242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245.99999999999997</v>
      </c>
      <c r="AJ35" s="14">
        <f>AI35*VLOOKUP('Données projet'!$B$10,Paramètres!$A$1:$I$89,3,0)*VLOOKUP('Données projet'!$B$10,Paramètres!$A$1:$I$89,5,0)</f>
        <v>222.58079999999998</v>
      </c>
      <c r="AK35" s="14">
        <f t="shared" si="35"/>
        <v>54.675428546153199</v>
      </c>
      <c r="AL35" s="22">
        <f t="shared" si="4"/>
        <v>482.88793138455003</v>
      </c>
      <c r="AM35" s="62">
        <f t="shared" si="5"/>
        <v>776.22126471788329</v>
      </c>
      <c r="AN35" s="62">
        <f ca="1">AVERAGE(OFFSET($AM$3,0,0,'Données projet'!$E$10+1,1))-AVERAGE(OFFSET($H$3,0,0,'Données projet'!$E$10+1,1))</f>
        <v>313.28865457002252</v>
      </c>
      <c r="AO35" s="62">
        <f t="shared" si="36"/>
        <v>438.23149076517115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0.63451504455140606</v>
      </c>
      <c r="AV35" s="23">
        <f>EXP(-LN(2)/25)*AV34+(1-EXP(-LN(2)/25))/(LN(2)/25)*Calculateur!AQ35*Calculateur!AS35*VLOOKUP('Données projet'!$B$10,Paramètres!$A$1:$I$89,3,0)*0.475*44/12</f>
        <v>1.0886441138360401</v>
      </c>
      <c r="AW35" s="23">
        <f>EXP(-LN(2)/2)*AW34+(1-EXP(-LN(2)/2))/(LN(2)/2)*AQ35*AT35*VLOOKUP('Données projet'!$B$10,Paramètres!$A$1:$I$89,3,0)*0.475*44/12</f>
        <v>2.3476836689211273</v>
      </c>
      <c r="AX35" s="23">
        <f t="shared" si="6"/>
        <v>4.0708428273085735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18.446999999999996</v>
      </c>
      <c r="D36" s="12">
        <f t="shared" si="32"/>
        <v>6.0551381420288193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189.13931197355578</v>
      </c>
      <c r="H36" s="70">
        <f t="shared" si="1"/>
        <v>336.00789059736684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7.8</v>
      </c>
      <c r="N36" s="14">
        <f>IF('Données projet'!$A$36&gt;35,N35+M36-V35,IF(A36&lt;'Données projet'!$A$36,$K$205^A36,IF(A36='Données projet'!$A$36,'Données projet'!$B$36,N35+M36-V35)))</f>
        <v>100.39999999999999</v>
      </c>
      <c r="O36" s="14">
        <f>N36*VLOOKUP('Données projet'!$B$9,Paramètres!$A$1:$I$89,3,0)*VLOOKUP('Données projet'!$B$9,Paramètres!$A$1:$I$89,5,0)</f>
        <v>90.841919999999988</v>
      </c>
      <c r="P36" s="14">
        <f t="shared" si="33"/>
        <v>24.768165658148625</v>
      </c>
      <c r="Q36" s="22">
        <f t="shared" si="53"/>
        <v>201.35423252127552</v>
      </c>
      <c r="R36" s="62">
        <f t="shared" si="0"/>
        <v>494.68756585460881</v>
      </c>
      <c r="S36" s="62">
        <f ca="1">AVERAGE(OFFSET($R$3,0,0,'Données projet'!$E$9+1,1))-AVERAGE(OFFSET($H$3,0,0,'Données projet'!$E$9+1,1))</f>
        <v>263.85754879271406</v>
      </c>
      <c r="T36" s="62">
        <f t="shared" si="34"/>
        <v>157.75772798974242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252.99999999999997</v>
      </c>
      <c r="AJ36" s="14">
        <f>AI36*VLOOKUP('Données projet'!$B$10,Paramètres!$A$1:$I$89,3,0)*VLOOKUP('Données projet'!$B$10,Paramètres!$A$1:$I$89,5,0)</f>
        <v>228.91439999999997</v>
      </c>
      <c r="AK36" s="14">
        <f t="shared" si="35"/>
        <v>56.047884834417424</v>
      </c>
      <c r="AL36" s="22">
        <f t="shared" si="4"/>
        <v>496.30931275327697</v>
      </c>
      <c r="AM36" s="62">
        <f t="shared" si="5"/>
        <v>789.64264608661028</v>
      </c>
      <c r="AN36" s="62">
        <f ca="1">AVERAGE(OFFSET($AM$3,0,0,'Données projet'!$E$10+1,1))-AVERAGE(OFFSET($H$3,0,0,'Données projet'!$E$10+1,1))</f>
        <v>313.28865457002252</v>
      </c>
      <c r="AO36" s="62">
        <f t="shared" si="36"/>
        <v>438.23149076517115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0.62207259154371553</v>
      </c>
      <c r="AV36" s="23">
        <f>EXP(-LN(2)/25)*AV35+(1-EXP(-LN(2)/25))/(LN(2)/25)*Calculateur!AQ36*Calculateur!AS36*VLOOKUP('Données projet'!$B$10,Paramètres!$A$1:$I$89,3,0)*0.475*44/12</f>
        <v>1.0588750832938878</v>
      </c>
      <c r="AW36" s="23">
        <f>EXP(-LN(2)/2)*AW35+(1-EXP(-LN(2)/2))/(LN(2)/2)*AQ36*AT36*VLOOKUP('Données projet'!$B$10,Paramètres!$A$1:$I$89,3,0)*0.475*44/12</f>
        <v>1.6600630423750429</v>
      </c>
      <c r="AX36" s="23">
        <f t="shared" si="6"/>
        <v>3.3410107172126464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19.005999999999997</v>
      </c>
      <c r="D37" s="12">
        <f t="shared" si="32"/>
        <v>6.216986286773305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194.70375379263601</v>
      </c>
      <c r="H37" s="70">
        <f t="shared" si="1"/>
        <v>337.26336778279682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7.8</v>
      </c>
      <c r="N37" s="14">
        <f>IF('Données projet'!$A$36&gt;35,N36+M37-V36,IF(A37&lt;'Données projet'!$A$36,$K$205^A37,IF(A37='Données projet'!$A$36,'Données projet'!$B$36,N36+M37-V36)))</f>
        <v>108.19999999999999</v>
      </c>
      <c r="O37" s="14">
        <f>N37*VLOOKUP('Données projet'!$B$9,Paramètres!$A$1:$I$89,3,0)*VLOOKUP('Données projet'!$B$9,Paramètres!$A$1:$I$89,5,0)</f>
        <v>97.899359999999987</v>
      </c>
      <c r="P37" s="14">
        <f t="shared" si="33"/>
        <v>26.460932364201845</v>
      </c>
      <c r="Q37" s="22">
        <f t="shared" si="53"/>
        <v>216.59417586765153</v>
      </c>
      <c r="R37" s="62">
        <f t="shared" si="0"/>
        <v>509.92750920098484</v>
      </c>
      <c r="S37" s="62">
        <f ca="1">AVERAGE(OFFSET($R$3,0,0,'Données projet'!$E$9+1,1))-AVERAGE(OFFSET($H$3,0,0,'Données projet'!$E$9+1,1))</f>
        <v>263.85754879271406</v>
      </c>
      <c r="T37" s="62">
        <f t="shared" si="34"/>
        <v>157.75772798974242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260</v>
      </c>
      <c r="AJ37" s="14">
        <f>AI37*VLOOKUP('Données projet'!$B$10,Paramètres!$A$1:$I$89,3,0)*VLOOKUP('Données projet'!$B$10,Paramètres!$A$1:$I$89,5,0)</f>
        <v>235.24799999999999</v>
      </c>
      <c r="AK37" s="14">
        <f t="shared" si="35"/>
        <v>57.41592756883739</v>
      </c>
      <c r="AL37" s="22">
        <f t="shared" si="4"/>
        <v>509.72300718239177</v>
      </c>
      <c r="AM37" s="62">
        <f t="shared" si="5"/>
        <v>803.05634051572508</v>
      </c>
      <c r="AN37" s="62">
        <f ca="1">AVERAGE(OFFSET($AM$3,0,0,'Données projet'!$E$10+1,1))-AVERAGE(OFFSET($H$3,0,0,'Données projet'!$E$10+1,1))</f>
        <v>313.28865457002252</v>
      </c>
      <c r="AO37" s="62">
        <f t="shared" si="36"/>
        <v>438.23149076517115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0.60987412745035885</v>
      </c>
      <c r="AV37" s="23">
        <f>EXP(-LN(2)/25)*AV36+(1-EXP(-LN(2)/25))/(LN(2)/25)*Calculateur!AQ37*Calculateur!AS37*VLOOKUP('Données projet'!$B$10,Paramètres!$A$1:$I$89,3,0)*0.475*44/12</f>
        <v>1.0299200884573958</v>
      </c>
      <c r="AW37" s="23">
        <f>EXP(-LN(2)/2)*AW36+(1-EXP(-LN(2)/2))/(LN(2)/2)*AQ37*AT37*VLOOKUP('Données projet'!$B$10,Paramètres!$A$1:$I$89,3,0)*0.475*44/12</f>
        <v>1.1738418344605639</v>
      </c>
      <c r="AX37" s="23">
        <f t="shared" si="6"/>
        <v>2.8136360503683182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19.564999999999998</v>
      </c>
      <c r="D38" s="12">
        <f t="shared" si="32"/>
        <v>6.3782812027501414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200.26392507386075</v>
      </c>
      <c r="H38" s="70">
        <f t="shared" si="1"/>
        <v>338.51788142812313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7.8</v>
      </c>
      <c r="M38" s="13">
        <f t="array" ref="M38">INDEX(L:L,MIN(IF(ISNUMBER(L38:L234),ROW(L38:L234),"")))</f>
        <v>7.8</v>
      </c>
      <c r="N38" s="14">
        <f>IF('Données projet'!$A$36&gt;35,N37+M38-V37,IF(A38&lt;'Données projet'!$A$36,$K$205^A38,IF(A38='Données projet'!$A$36,'Données projet'!$B$36,N37+M38-V37)))</f>
        <v>115.99999999999999</v>
      </c>
      <c r="O38" s="14">
        <f>N38*VLOOKUP('Données projet'!$B$9,Paramètres!$A$1:$I$89,3,0)*VLOOKUP('Données projet'!$B$9,Paramètres!$A$1:$I$89,5,0)</f>
        <v>104.95679999999999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263.85754879271406</v>
      </c>
      <c r="T38" s="62">
        <f t="shared" si="34"/>
        <v>157.75772798974242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21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267</v>
      </c>
      <c r="AG38" s="13">
        <f>VLOOKUP(A38,'Données projet'!$A$61:$I$81,9,0)</f>
        <v>7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267</v>
      </c>
      <c r="AJ38" s="14">
        <f>AI38*VLOOKUP('Données projet'!$B$10,Paramètres!$A$1:$I$89,3,0)*VLOOKUP('Données projet'!$B$10,Paramètres!$A$1:$I$89,5,0)</f>
        <v>241.58159999999998</v>
      </c>
      <c r="AK38" s="14">
        <f t="shared" si="35"/>
        <v>58.779689232021951</v>
      </c>
      <c r="AL38" s="22">
        <f t="shared" si="4"/>
        <v>523.12924541243819</v>
      </c>
      <c r="AM38" s="62">
        <f t="shared" si="5"/>
        <v>816.46257874577145</v>
      </c>
      <c r="AN38" s="62">
        <f ca="1">AVERAGE(OFFSET($AM$3,0,0,'Données projet'!$E$10+1,1))-AVERAGE(OFFSET($H$3,0,0,'Données projet'!$E$10+1,1))</f>
        <v>313.28865457002252</v>
      </c>
      <c r="AO38" s="62">
        <f t="shared" si="36"/>
        <v>438.23149076517115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0.59791486779754444</v>
      </c>
      <c r="AV38" s="23">
        <f>EXP(-LN(2)/25)*AV37+(1-EXP(-LN(2)/25))/(LN(2)/25)*Calculateur!AQ38*Calculateur!AS38*VLOOKUP('Données projet'!$B$10,Paramètres!$A$1:$I$89,3,0)*0.475*44/12</f>
        <v>1.0017568694773848</v>
      </c>
      <c r="AW38" s="23">
        <f>EXP(-LN(2)/2)*AW37+(1-EXP(-LN(2)/2))/(LN(2)/2)*AQ38*AT38*VLOOKUP('Données projet'!$B$10,Paramètres!$A$1:$I$89,3,0)*0.475*44/12</f>
        <v>0.83003152118752155</v>
      </c>
      <c r="AX38" s="23">
        <f t="shared" si="6"/>
        <v>2.4297032584624509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20.123999999999999</v>
      </c>
      <c r="D39" s="12">
        <f t="shared" si="32"/>
        <v>6.539040511923969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205.81996184643063</v>
      </c>
      <c r="H39" s="70">
        <f t="shared" si="1"/>
        <v>339.77146222493423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103.39999999999999</v>
      </c>
      <c r="O39" s="14">
        <f>N39*VLOOKUP('Données projet'!$B$9,Paramètres!$A$1:$I$89,3,0)*VLOOKUP('Données projet'!$B$9,Paramètres!$A$1:$I$89,5,0)</f>
        <v>93.556319999999999</v>
      </c>
      <c r="P39" s="14">
        <f t="shared" si="33"/>
        <v>25.420979659258073</v>
      </c>
      <c r="Q39" s="22">
        <f t="shared" si="53"/>
        <v>207.21879690654114</v>
      </c>
      <c r="R39" s="62">
        <f t="shared" si="0"/>
        <v>500.55213023987449</v>
      </c>
      <c r="S39" s="62">
        <f ca="1">AVERAGE(OFFSET($R$3,0,0,'Données projet'!$E$9+1,1))-AVERAGE(OFFSET($H$3,0,0,'Données projet'!$E$9+1,1))</f>
        <v>263.85754879271406</v>
      </c>
      <c r="T39" s="62">
        <f t="shared" si="34"/>
        <v>157.75772798974242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6.2</v>
      </c>
      <c r="AI39" s="14">
        <f>IF('Données projet'!$A$62&gt;35,AI38+AH39-AQ38,IF(A39&lt;'Données projet'!$A$62,$AF$205^A39,IF(A39='Données projet'!$A$62,'Données projet'!$B$62,AI38+AH39-AQ38)))</f>
        <v>264.2</v>
      </c>
      <c r="AJ39" s="14">
        <f>AI39*VLOOKUP('Données projet'!$B$10,Paramètres!$A$1:$I$89,3,0)*VLOOKUP('Données projet'!$B$10,Paramètres!$A$1:$I$89,5,0)</f>
        <v>239.04816</v>
      </c>
      <c r="AK39" s="14">
        <f t="shared" si="35"/>
        <v>58.234690128947292</v>
      </c>
      <c r="AL39" s="22">
        <f t="shared" si="4"/>
        <v>517.76763064124987</v>
      </c>
      <c r="AM39" s="62">
        <f t="shared" si="5"/>
        <v>811.10096397458324</v>
      </c>
      <c r="AN39" s="62">
        <f ca="1">AVERAGE(OFFSET($AM$3,0,0,'Données projet'!$E$10+1,1))-AVERAGE(OFFSET($H$3,0,0,'Données projet'!$E$10+1,1))</f>
        <v>313.28865457002252</v>
      </c>
      <c r="AO39" s="62">
        <f t="shared" si="36"/>
        <v>438.23149076517115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0.58619012193209363</v>
      </c>
      <c r="AV39" s="23">
        <f>EXP(-LN(2)/25)*AV38+(1-EXP(-LN(2)/25))/(LN(2)/25)*Calculateur!AQ39*Calculateur!AS39*VLOOKUP('Données projet'!$B$10,Paramètres!$A$1:$I$89,3,0)*0.475*44/12</f>
        <v>0.97436377520142159</v>
      </c>
      <c r="AW39" s="23">
        <f>EXP(-LN(2)/2)*AW38+(1-EXP(-LN(2)/2))/(LN(2)/2)*AQ39*AT39*VLOOKUP('Données projet'!$B$10,Paramètres!$A$1:$I$89,3,0)*0.475*44/12</f>
        <v>0.58692091723028206</v>
      </c>
      <c r="AX39" s="23">
        <f t="shared" si="6"/>
        <v>2.1474748143637972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</v>
      </c>
      <c r="D40" s="12">
        <f t="shared" si="32"/>
        <v>6.6992808015544387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211.37199215235009</v>
      </c>
      <c r="H40" s="70">
        <f t="shared" si="1"/>
        <v>341.02413906270726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111.8</v>
      </c>
      <c r="O40" s="14">
        <f>N40*VLOOKUP('Données projet'!$B$9,Paramètres!$A$1:$I$89,3,0)*VLOOKUP('Données projet'!$B$9,Paramètres!$A$1:$I$89,5,0)</f>
        <v>101.15664</v>
      </c>
      <c r="P40" s="14">
        <f t="shared" si="33"/>
        <v>27.237366379381644</v>
      </c>
      <c r="Q40" s="22">
        <f t="shared" si="53"/>
        <v>223.61956111075634</v>
      </c>
      <c r="R40" s="62">
        <f t="shared" si="0"/>
        <v>516.95289444408968</v>
      </c>
      <c r="S40" s="62">
        <f ca="1">AVERAGE(OFFSET($R$3,0,0,'Données projet'!$E$9+1,1))-AVERAGE(OFFSET($H$3,0,0,'Données projet'!$E$9+1,1))</f>
        <v>263.85754879271406</v>
      </c>
      <c r="T40" s="62">
        <f t="shared" si="34"/>
        <v>157.75772798974242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6.2</v>
      </c>
      <c r="AI40" s="14">
        <f>IF('Données projet'!$A$62&gt;35,AI39+AH40-AQ39,IF(A40&lt;'Données projet'!$A$62,$AF$205^A40,IF(A40='Données projet'!$A$62,'Données projet'!$B$62,AI39+AH40-AQ39)))</f>
        <v>270.39999999999998</v>
      </c>
      <c r="AJ40" s="14">
        <f>AI40*VLOOKUP('Données projet'!$B$10,Paramètres!$A$1:$I$89,3,0)*VLOOKUP('Données projet'!$B$10,Paramètres!$A$1:$I$89,5,0)</f>
        <v>244.65791999999996</v>
      </c>
      <c r="AK40" s="14">
        <f t="shared" si="35"/>
        <v>59.44058075210868</v>
      </c>
      <c r="AL40" s="22">
        <f t="shared" si="4"/>
        <v>529.6382221432558</v>
      </c>
      <c r="AM40" s="62">
        <f t="shared" si="5"/>
        <v>822.97155547658917</v>
      </c>
      <c r="AN40" s="62">
        <f ca="1">AVERAGE(OFFSET($AM$3,0,0,'Données projet'!$E$10+1,1))-AVERAGE(OFFSET($H$3,0,0,'Données projet'!$E$10+1,1))</f>
        <v>313.28865457002252</v>
      </c>
      <c r="AO40" s="62">
        <f t="shared" si="36"/>
        <v>438.23149076517115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0.57469529118167539</v>
      </c>
      <c r="AV40" s="23">
        <f>EXP(-LN(2)/25)*AV39+(1-EXP(-LN(2)/25))/(LN(2)/25)*Calculateur!AQ40*Calculateur!AS40*VLOOKUP('Données projet'!$B$10,Paramètres!$A$1:$I$89,3,0)*0.475*44/12</f>
        <v>0.94771974652897473</v>
      </c>
      <c r="AW40" s="23">
        <f>EXP(-LN(2)/2)*AW39+(1-EXP(-LN(2)/2))/(LN(2)/2)*AQ40*AT40*VLOOKUP('Données projet'!$B$10,Paramètres!$A$1:$I$89,3,0)*0.475*44/12</f>
        <v>0.41501576059376083</v>
      </c>
      <c r="AX40" s="23">
        <f t="shared" si="6"/>
        <v>1.937430798304411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21.242000000000001</v>
      </c>
      <c r="D41" s="12">
        <f t="shared" si="32"/>
        <v>6.859017711252279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216.92013671843867</v>
      </c>
      <c r="H41" s="70">
        <f t="shared" si="1"/>
        <v>342.27593918043101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120.2</v>
      </c>
      <c r="O41" s="14">
        <f>N41*VLOOKUP('Données projet'!$B$9,Paramètres!$A$1:$I$89,3,0)*VLOOKUP('Données projet'!$B$9,Paramètres!$A$1:$I$89,5,0)</f>
        <v>108.75695999999999</v>
      </c>
      <c r="P41" s="14">
        <f t="shared" si="33"/>
        <v>29.037921223305585</v>
      </c>
      <c r="Q41" s="22">
        <f t="shared" si="53"/>
        <v>239.99275146392384</v>
      </c>
      <c r="R41" s="62">
        <f t="shared" si="0"/>
        <v>533.32608479725718</v>
      </c>
      <c r="S41" s="62">
        <f ca="1">AVERAGE(OFFSET($R$3,0,0,'Données projet'!$E$9+1,1))-AVERAGE(OFFSET($H$3,0,0,'Données projet'!$E$9+1,1))</f>
        <v>263.85754879271406</v>
      </c>
      <c r="T41" s="62">
        <f t="shared" si="34"/>
        <v>157.75772798974242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6.2</v>
      </c>
      <c r="AI41" s="14">
        <f>IF('Données projet'!$A$62&gt;35,AI40+AH41-AQ40,IF(A41&lt;'Données projet'!$A$62,$AF$205^A41,IF(A41='Données projet'!$A$62,'Données projet'!$B$62,AI40+AH41-AQ40)))</f>
        <v>276.59999999999997</v>
      </c>
      <c r="AJ41" s="14">
        <f>AI41*VLOOKUP('Données projet'!$B$10,Paramètres!$A$1:$I$89,3,0)*VLOOKUP('Données projet'!$B$10,Paramètres!$A$1:$I$89,5,0)</f>
        <v>250.26767999999996</v>
      </c>
      <c r="AK41" s="14">
        <f t="shared" si="35"/>
        <v>60.643256925083442</v>
      </c>
      <c r="AL41" s="22">
        <f t="shared" si="4"/>
        <v>541.50321514452014</v>
      </c>
      <c r="AM41" s="62">
        <f t="shared" si="5"/>
        <v>834.83654847785351</v>
      </c>
      <c r="AN41" s="62">
        <f ca="1">AVERAGE(OFFSET($AM$3,0,0,'Données projet'!$E$10+1,1))-AVERAGE(OFFSET($H$3,0,0,'Données projet'!$E$10+1,1))</f>
        <v>313.28865457002252</v>
      </c>
      <c r="AO41" s="62">
        <f t="shared" si="36"/>
        <v>438.23149076517115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0.56342586705111841</v>
      </c>
      <c r="AV41" s="23">
        <f>EXP(-LN(2)/25)*AV40+(1-EXP(-LN(2)/25))/(LN(2)/25)*Calculateur!AQ41*Calculateur!AS41*VLOOKUP('Données projet'!$B$10,Paramètres!$A$1:$I$89,3,0)*0.475*44/12</f>
        <v>0.92180430022172444</v>
      </c>
      <c r="AW41" s="23">
        <f>EXP(-LN(2)/2)*AW40+(1-EXP(-LN(2)/2))/(LN(2)/2)*AQ41*AT41*VLOOKUP('Données projet'!$B$10,Paramètres!$A$1:$I$89,3,0)*0.475*44/12</f>
        <v>0.29346045861514103</v>
      </c>
      <c r="AX41" s="23">
        <f t="shared" si="6"/>
        <v>1.7786906258879838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21.801000000000002</v>
      </c>
      <c r="D42" s="12">
        <f t="shared" si="32"/>
        <v>7.0182660106137922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222.46450955561525</v>
      </c>
      <c r="H42" s="70">
        <f t="shared" si="1"/>
        <v>343.52688830181899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128.6</v>
      </c>
      <c r="O42" s="14">
        <f>N42*VLOOKUP('Données projet'!$B$9,Paramètres!$A$1:$I$89,3,0)*VLOOKUP('Données projet'!$B$9,Paramètres!$A$1:$I$89,5,0)</f>
        <v>116.35727999999999</v>
      </c>
      <c r="P42" s="14">
        <f t="shared" si="33"/>
        <v>30.823876427820704</v>
      </c>
      <c r="Q42" s="22">
        <f t="shared" si="53"/>
        <v>256.34051411178768</v>
      </c>
      <c r="R42" s="62">
        <f t="shared" si="0"/>
        <v>549.67384744512105</v>
      </c>
      <c r="S42" s="62">
        <f ca="1">AVERAGE(OFFSET($R$3,0,0,'Données projet'!$E$9+1,1))-AVERAGE(OFFSET($H$3,0,0,'Données projet'!$E$9+1,1))</f>
        <v>263.85754879271406</v>
      </c>
      <c r="T42" s="62">
        <f t="shared" si="34"/>
        <v>157.75772798974242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6.2</v>
      </c>
      <c r="AI42" s="14">
        <f>IF('Données projet'!$A$62&gt;35,AI41+AH42-AQ41,IF(A42&lt;'Données projet'!$A$62,$AF$205^A42,IF(A42='Données projet'!$A$62,'Données projet'!$B$62,AI41+AH42-AQ41)))</f>
        <v>282.79999999999995</v>
      </c>
      <c r="AJ42" s="14">
        <f>AI42*VLOOKUP('Données projet'!$B$10,Paramètres!$A$1:$I$89,3,0)*VLOOKUP('Données projet'!$B$10,Paramètres!$A$1:$I$89,5,0)</f>
        <v>255.87743999999998</v>
      </c>
      <c r="AK42" s="14">
        <f t="shared" si="35"/>
        <v>61.842798995505326</v>
      </c>
      <c r="AL42" s="22">
        <f t="shared" si="4"/>
        <v>553.36274958383854</v>
      </c>
      <c r="AM42" s="62">
        <f t="shared" si="5"/>
        <v>846.69608291717191</v>
      </c>
      <c r="AN42" s="62">
        <f ca="1">AVERAGE(OFFSET($AM$3,0,0,'Données projet'!$E$10+1,1))-AVERAGE(OFFSET($H$3,0,0,'Données projet'!$E$10+1,1))</f>
        <v>313.28865457002252</v>
      </c>
      <c r="AO42" s="62">
        <f t="shared" si="36"/>
        <v>438.23149076517115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0.55237742945409174</v>
      </c>
      <c r="AV42" s="23">
        <f>EXP(-LN(2)/25)*AV41+(1-EXP(-LN(2)/25))/(LN(2)/25)*Calculateur!AQ42*Calculateur!AS42*VLOOKUP('Données projet'!$B$10,Paramètres!$A$1:$I$89,3,0)*0.475*44/12</f>
        <v>0.89659751315658009</v>
      </c>
      <c r="AW42" s="23">
        <f>EXP(-LN(2)/2)*AW41+(1-EXP(-LN(2)/2))/(LN(2)/2)*AQ42*AT42*VLOOKUP('Données projet'!$B$10,Paramètres!$A$1:$I$89,3,0)*0.475*44/12</f>
        <v>0.20750788029688041</v>
      </c>
      <c r="AX42" s="23">
        <f t="shared" si="6"/>
        <v>1.6564828229075523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22.360000000000003</v>
      </c>
      <c r="D43" s="12">
        <f t="shared" si="32"/>
        <v>7.1770396686687832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228.00521849498713</v>
      </c>
      <c r="H43" s="70">
        <f t="shared" si="1"/>
        <v>344.77701075626476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137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137</v>
      </c>
      <c r="O43" s="14">
        <f>N43*VLOOKUP('Données projet'!$B$9,Paramètres!$A$1:$I$89,3,0)*VLOOKUP('Données projet'!$B$9,Paramètres!$A$1:$I$89,5,0)</f>
        <v>123.9576</v>
      </c>
      <c r="P43" s="14">
        <f t="shared" si="33"/>
        <v>32.59629414926458</v>
      </c>
      <c r="Q43" s="22">
        <f t="shared" si="53"/>
        <v>272.6646989766358</v>
      </c>
      <c r="R43" s="62">
        <f t="shared" si="0"/>
        <v>565.99803230996918</v>
      </c>
      <c r="S43" s="62">
        <f ca="1">AVERAGE(OFFSET($R$3,0,0,'Données projet'!$E$9+1,1))-AVERAGE(OFFSET($H$3,0,0,'Données projet'!$E$9+1,1))</f>
        <v>263.85754879271406</v>
      </c>
      <c r="T43" s="62">
        <f t="shared" si="34"/>
        <v>157.75772798974242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21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289</v>
      </c>
      <c r="AG43" s="13">
        <f>VLOOKUP(A43,'Données projet'!$A$61:$I$81,9,0)</f>
        <v>6.2</v>
      </c>
      <c r="AH43" s="13">
        <f t="array" ref="AH43">INDEX(AG:AG,MIN(IF(ISNUMBER(AG43:AG239),ROW(AG43:AG239),"")))</f>
        <v>6.2</v>
      </c>
      <c r="AI43" s="14">
        <f>IF('Données projet'!$A$62&gt;35,AI42+AH43-AQ42,IF(A43&lt;'Données projet'!$A$62,$AF$205^A43,IF(A43='Données projet'!$A$62,'Données projet'!$B$62,AI42+AH43-AQ42)))</f>
        <v>288.99999999999994</v>
      </c>
      <c r="AJ43" s="14">
        <f>AI43*VLOOKUP('Données projet'!$B$10,Paramètres!$A$1:$I$89,3,0)*VLOOKUP('Données projet'!$B$10,Paramètres!$A$1:$I$89,5,0)</f>
        <v>261.48719999999992</v>
      </c>
      <c r="AK43" s="14">
        <f t="shared" si="35"/>
        <v>63.039283586802391</v>
      </c>
      <c r="AL43" s="22">
        <f t="shared" si="4"/>
        <v>565.21695891368074</v>
      </c>
      <c r="AM43" s="62">
        <f t="shared" si="5"/>
        <v>858.55029224701411</v>
      </c>
      <c r="AN43" s="62">
        <f ca="1">AVERAGE(OFFSET($AM$3,0,0,'Données projet'!$E$10+1,1))-AVERAGE(OFFSET($H$3,0,0,'Données projet'!$E$10+1,1))</f>
        <v>313.28865457002252</v>
      </c>
      <c r="AO43" s="62">
        <f t="shared" si="36"/>
        <v>438.23149076517115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0.54154564497946123</v>
      </c>
      <c r="AV43" s="23">
        <f>EXP(-LN(2)/25)*AV42+(1-EXP(-LN(2)/25))/(LN(2)/25)*Calculateur!AQ43*Calculateur!AS43*VLOOKUP('Données projet'!$B$10,Paramètres!$A$1:$I$89,3,0)*0.475*44/12</f>
        <v>0.87208000700929944</v>
      </c>
      <c r="AW43" s="23">
        <f>EXP(-LN(2)/2)*AW42+(1-EXP(-LN(2)/2))/(LN(2)/2)*AQ43*AT43*VLOOKUP('Données projet'!$B$10,Paramètres!$A$1:$I$89,3,0)*0.475*44/12</f>
        <v>0.14673022930757051</v>
      </c>
      <c r="AX43" s="23">
        <f t="shared" si="6"/>
        <v>1.5603558812963312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22.919000000000004</v>
      </c>
      <c r="D44" s="12">
        <f t="shared" si="32"/>
        <v>7.3353519161881984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233.54236566882119</v>
      </c>
      <c r="H44" s="70">
        <f t="shared" si="1"/>
        <v>346.02632958736109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</v>
      </c>
      <c r="O44" s="14">
        <f>N44*VLOOKUP('Données projet'!$B$9,Paramètres!$A$1:$I$89,3,0)*VLOOKUP('Données projet'!$B$9,Paramètres!$A$1:$I$89,5,0)</f>
        <v>112.55712000000001</v>
      </c>
      <c r="P44" s="14">
        <f t="shared" si="33"/>
        <v>29.932653834140599</v>
      </c>
      <c r="Q44" s="22">
        <f t="shared" si="53"/>
        <v>248.16968942779488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263.85754879271406</v>
      </c>
      <c r="T44" s="62">
        <f t="shared" si="34"/>
        <v>157.75772798974242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</v>
      </c>
      <c r="AI44" s="14">
        <f>IF('Données projet'!$A$62&gt;35,AI43+AH44-AQ43,IF(A44&lt;'Données projet'!$A$62,$AF$205^A44,IF(A44='Données projet'!$A$62,'Données projet'!$B$62,AI43+AH44-AQ43)))</f>
        <v>287.99999999999994</v>
      </c>
      <c r="AJ44" s="14">
        <f>AI44*VLOOKUP('Données projet'!$B$10,Paramètres!$A$1:$I$89,3,0)*VLOOKUP('Données projet'!$B$10,Paramètres!$A$1:$I$89,5,0)</f>
        <v>260.58239999999995</v>
      </c>
      <c r="AK44" s="14">
        <f t="shared" si="35"/>
        <v>62.846505929896907</v>
      </c>
      <c r="AL44" s="22">
        <f t="shared" si="4"/>
        <v>563.30534449457025</v>
      </c>
      <c r="AM44" s="62">
        <f t="shared" si="5"/>
        <v>856.63867782790362</v>
      </c>
      <c r="AN44" s="62">
        <f ca="1">AVERAGE(OFFSET($AM$3,0,0,'Données projet'!$E$10+1,1))-AVERAGE(OFFSET($H$3,0,0,'Données projet'!$E$10+1,1))</f>
        <v>313.28865457002252</v>
      </c>
      <c r="AO44" s="62">
        <f t="shared" si="36"/>
        <v>438.23149076517115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0.53092626519164199</v>
      </c>
      <c r="AV44" s="23">
        <f>EXP(-LN(2)/25)*AV43+(1-EXP(-LN(2)/25))/(LN(2)/25)*Calculateur!AQ44*Calculateur!AS44*VLOOKUP('Données projet'!$B$10,Paramètres!$A$1:$I$89,3,0)*0.475*44/12</f>
        <v>0.84823293335693573</v>
      </c>
      <c r="AW44" s="23">
        <f>EXP(-LN(2)/2)*AW43+(1-EXP(-LN(2)/2))/(LN(2)/2)*AQ44*AT44*VLOOKUP('Données projet'!$B$10,Paramètres!$A$1:$I$89,3,0)*0.475*44/12</f>
        <v>0.10375394014844021</v>
      </c>
      <c r="AX44" s="23">
        <f t="shared" si="6"/>
        <v>1.4829131386970178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23.478000000000005</v>
      </c>
      <c r="D45" s="12">
        <f t="shared" si="32"/>
        <v>7.4932153017418228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239.07604794327025</v>
      </c>
      <c r="H45" s="70">
        <f t="shared" si="1"/>
        <v>347.27486665053368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132.80000000000001</v>
      </c>
      <c r="O45" s="14">
        <f>N45*VLOOKUP('Données projet'!$B$9,Paramètres!$A$1:$I$89,3,0)*VLOOKUP('Données projet'!$B$9,Paramètres!$A$1:$I$89,5,0)</f>
        <v>120.15744000000001</v>
      </c>
      <c r="P45" s="14">
        <f t="shared" si="33"/>
        <v>31.711716786129845</v>
      </c>
      <c r="Q45" s="22">
        <f t="shared" si="53"/>
        <v>264.50544806917611</v>
      </c>
      <c r="R45" s="62">
        <f t="shared" si="0"/>
        <v>557.83878140250943</v>
      </c>
      <c r="S45" s="62">
        <f ca="1">AVERAGE(OFFSET($R$3,0,0,'Données projet'!$E$9+1,1))-AVERAGE(OFFSET($H$3,0,0,'Données projet'!$E$9+1,1))</f>
        <v>263.85754879271406</v>
      </c>
      <c r="T45" s="62">
        <f t="shared" si="34"/>
        <v>157.75772798974242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</v>
      </c>
      <c r="AI45" s="14">
        <f>IF('Données projet'!$A$62&gt;35,AI44+AH45-AQ44,IF(A45&lt;'Données projet'!$A$62,$AF$205^A45,IF(A45='Données projet'!$A$62,'Données projet'!$B$62,AI44+AH45-AQ44)))</f>
        <v>293.99999999999994</v>
      </c>
      <c r="AJ45" s="14">
        <f>AI45*VLOOKUP('Données projet'!$B$10,Paramètres!$A$1:$I$89,3,0)*VLOOKUP('Données projet'!$B$10,Paramètres!$A$1:$I$89,5,0)</f>
        <v>266.01119999999992</v>
      </c>
      <c r="AK45" s="14">
        <f t="shared" si="35"/>
        <v>64.00201337612566</v>
      </c>
      <c r="AL45" s="22">
        <f t="shared" si="4"/>
        <v>574.77301329675208</v>
      </c>
      <c r="AM45" s="62">
        <f t="shared" si="5"/>
        <v>868.10634663008545</v>
      </c>
      <c r="AN45" s="62">
        <f ca="1">AVERAGE(OFFSET($AM$3,0,0,'Données projet'!$E$10+1,1))-AVERAGE(OFFSET($H$3,0,0,'Données projet'!$E$10+1,1))</f>
        <v>313.28865457002252</v>
      </c>
      <c r="AO45" s="62">
        <f t="shared" si="36"/>
        <v>438.23149076517115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0.52051512496427976</v>
      </c>
      <c r="AV45" s="23">
        <f>EXP(-LN(2)/25)*AV44+(1-EXP(-LN(2)/25))/(LN(2)/25)*Calculateur!AQ45*Calculateur!AS45*VLOOKUP('Données projet'!$B$10,Paramètres!$A$1:$I$89,3,0)*0.475*44/12</f>
        <v>0.82503795918765899</v>
      </c>
      <c r="AW45" s="23">
        <f>EXP(-LN(2)/2)*AW44+(1-EXP(-LN(2)/2))/(LN(2)/2)*AQ45*AT45*VLOOKUP('Données projet'!$B$10,Paramètres!$A$1:$I$89,3,0)*0.475*44/12</f>
        <v>7.3365114653785257E-2</v>
      </c>
      <c r="AX45" s="23">
        <f t="shared" si="6"/>
        <v>1.418918198805724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24.037000000000006</v>
      </c>
      <c r="D46" s="12">
        <f t="shared" si="32"/>
        <v>7.6506417422667603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244.60635730872593</v>
      </c>
      <c r="H46" s="70">
        <f t="shared" si="1"/>
        <v>348.52264270111459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141.20000000000002</v>
      </c>
      <c r="O46" s="14">
        <f>N46*VLOOKUP('Données projet'!$B$9,Paramètres!$A$1:$I$89,3,0)*VLOOKUP('Données projet'!$B$9,Paramètres!$A$1:$I$89,5,0)</f>
        <v>127.75776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263.85754879271406</v>
      </c>
      <c r="T46" s="62">
        <f t="shared" si="34"/>
        <v>157.75772798974242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</v>
      </c>
      <c r="AI46" s="14">
        <f>IF('Données projet'!$A$62&gt;35,AI45+AH46-AQ45,IF(A46&lt;'Données projet'!$A$62,$AF$205^A46,IF(A46='Données projet'!$A$62,'Données projet'!$B$62,AI45+AH46-AQ45)))</f>
        <v>299.99999999999994</v>
      </c>
      <c r="AJ46" s="14">
        <f>AI46*VLOOKUP('Données projet'!$B$10,Paramètres!$A$1:$I$89,3,0)*VLOOKUP('Données projet'!$B$10,Paramètres!$A$1:$I$89,5,0)</f>
        <v>271.43999999999994</v>
      </c>
      <c r="AK46" s="14">
        <f t="shared" si="35"/>
        <v>65.154778959151173</v>
      </c>
      <c r="AL46" s="22">
        <f t="shared" si="4"/>
        <v>586.23590668718805</v>
      </c>
      <c r="AM46" s="62">
        <f t="shared" si="5"/>
        <v>879.56924002052142</v>
      </c>
      <c r="AN46" s="62">
        <f ca="1">AVERAGE(OFFSET($AM$3,0,0,'Données projet'!$E$10+1,1))-AVERAGE(OFFSET($H$3,0,0,'Données projet'!$E$10+1,1))</f>
        <v>313.28865457002252</v>
      </c>
      <c r="AO46" s="62">
        <f t="shared" si="36"/>
        <v>438.23149076517115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0.51030814084660758</v>
      </c>
      <c r="AV46" s="23">
        <f>EXP(-LN(2)/25)*AV45+(1-EXP(-LN(2)/25))/(LN(2)/25)*Calculateur!AQ46*Calculateur!AS46*VLOOKUP('Données projet'!$B$10,Paramètres!$A$1:$I$89,3,0)*0.475*44/12</f>
        <v>0.80247725280681181</v>
      </c>
      <c r="AW46" s="23">
        <f>EXP(-LN(2)/2)*AW45+(1-EXP(-LN(2)/2))/(LN(2)/2)*AQ46*AT46*VLOOKUP('Données projet'!$B$10,Paramètres!$A$1:$I$89,3,0)*0.475*44/12</f>
        <v>5.1876970074220104E-2</v>
      </c>
      <c r="AX46" s="23">
        <f t="shared" si="6"/>
        <v>1.3646623637276396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24.596000000000007</v>
      </c>
      <c r="D47" s="12">
        <f t="shared" si="32"/>
        <v>7.8076425687993289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250.13338123283697</v>
      </c>
      <c r="H47" s="70">
        <f t="shared" si="1"/>
        <v>349.76967747399215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149.60000000000002</v>
      </c>
      <c r="O47" s="14">
        <f>N47*VLOOKUP('Données projet'!$B$9,Paramètres!$A$1:$I$89,3,0)*VLOOKUP('Données projet'!$B$9,Paramètres!$A$1:$I$89,5,0)</f>
        <v>135.35808</v>
      </c>
      <c r="P47" s="14">
        <f t="shared" si="33"/>
        <v>35.231528980112834</v>
      </c>
      <c r="Q47" s="22">
        <f t="shared" si="53"/>
        <v>297.11023564036316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263.85754879271406</v>
      </c>
      <c r="T47" s="62">
        <f t="shared" si="34"/>
        <v>157.75772798974242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</v>
      </c>
      <c r="AI47" s="14">
        <f>IF('Données projet'!$A$62&gt;35,AI46+AH47-AQ46,IF(A47&lt;'Données projet'!$A$62,$AF$205^A47,IF(A47='Données projet'!$A$62,'Données projet'!$B$62,AI46+AH47-AQ46)))</f>
        <v>305.99999999999994</v>
      </c>
      <c r="AJ47" s="14">
        <f>AI47*VLOOKUP('Données projet'!$B$10,Paramètres!$A$1:$I$89,3,0)*VLOOKUP('Données projet'!$B$10,Paramètres!$A$1:$I$89,5,0)</f>
        <v>276.86879999999996</v>
      </c>
      <c r="AK47" s="14">
        <f t="shared" si="35"/>
        <v>66.30486383631866</v>
      </c>
      <c r="AL47" s="22">
        <f t="shared" si="4"/>
        <v>597.6941311815882</v>
      </c>
      <c r="AM47" s="62">
        <f t="shared" si="5"/>
        <v>891.02746451492158</v>
      </c>
      <c r="AN47" s="62">
        <f ca="1">AVERAGE(OFFSET($AM$3,0,0,'Données projet'!$E$10+1,1))-AVERAGE(OFFSET($H$3,0,0,'Données projet'!$E$10+1,1))</f>
        <v>313.28865457002252</v>
      </c>
      <c r="AO47" s="62">
        <f t="shared" si="36"/>
        <v>438.23149076517115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0.50030130946183737</v>
      </c>
      <c r="AV47" s="23">
        <f>EXP(-LN(2)/25)*AV46+(1-EXP(-LN(2)/25))/(LN(2)/25)*Calculateur!AQ47*Calculateur!AS47*VLOOKUP('Données projet'!$B$10,Paramètres!$A$1:$I$89,3,0)*0.475*44/12</f>
        <v>0.78053347012836494</v>
      </c>
      <c r="AW47" s="23">
        <f>EXP(-LN(2)/2)*AW46+(1-EXP(-LN(2)/2))/(LN(2)/2)*AQ47*AT47*VLOOKUP('Données projet'!$B$10,Paramètres!$A$1:$I$89,3,0)*0.475*44/12</f>
        <v>3.6682557326892629E-2</v>
      </c>
      <c r="AX47" s="23">
        <f t="shared" si="6"/>
        <v>1.3175173369170947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25.155000000000008</v>
      </c>
      <c r="D48" s="12">
        <f t="shared" si="32"/>
        <v>7.9642285679322873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255.65720298053</v>
      </c>
      <c r="H48" s="70">
        <f t="shared" si="1"/>
        <v>351.01598975581538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158.00000000000003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263.85754879271406</v>
      </c>
      <c r="T48" s="62">
        <f t="shared" si="34"/>
        <v>157.75772798974242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21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312</v>
      </c>
      <c r="AG48" s="13">
        <f>VLOOKUP(A48,'Données projet'!$A$61:$I$81,9,0)</f>
        <v>6</v>
      </c>
      <c r="AH48" s="13">
        <f t="array" ref="AH48">INDEX(AG:AG,MIN(IF(ISNUMBER(AG48:AG244),ROW(AG48:AG244),"")))</f>
        <v>6</v>
      </c>
      <c r="AI48" s="14">
        <f>IF('Données projet'!$A$62&gt;35,AI47+AH48-AQ47,IF(A48&lt;'Données projet'!$A$62,$AF$205^A48,IF(A48='Données projet'!$A$62,'Données projet'!$B$62,AI47+AH48-AQ47)))</f>
        <v>311.99999999999994</v>
      </c>
      <c r="AJ48" s="14">
        <f>AI48*VLOOKUP('Données projet'!$B$10,Paramètres!$A$1:$I$89,3,0)*VLOOKUP('Données projet'!$B$10,Paramètres!$A$1:$I$89,5,0)</f>
        <v>282.29759999999993</v>
      </c>
      <c r="AK48" s="14">
        <f t="shared" si="35"/>
        <v>67.452326629470178</v>
      </c>
      <c r="AL48" s="22">
        <f t="shared" si="4"/>
        <v>609.14778887966042</v>
      </c>
      <c r="AM48" s="62">
        <f t="shared" si="5"/>
        <v>902.4811222129938</v>
      </c>
      <c r="AN48" s="62">
        <f ca="1">AVERAGE(OFFSET($AM$3,0,0,'Données projet'!$E$10+1,1))-AVERAGE(OFFSET($H$3,0,0,'Données projet'!$E$10+1,1))</f>
        <v>313.28865457002252</v>
      </c>
      <c r="AO48" s="62">
        <f t="shared" si="36"/>
        <v>438.23149076517115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312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0.49049070593695809</v>
      </c>
      <c r="AV48" s="23">
        <f>EXP(-LN(2)/25)*AV47+(1-EXP(-LN(2)/25))/(LN(2)/25)*Calculateur!AQ48*Calculateur!AS48*VLOOKUP('Données projet'!$B$10,Paramètres!$A$1:$I$89,3,0)*0.475*44/12</f>
        <v>0.75918974134123351</v>
      </c>
      <c r="AW48" s="23">
        <f>EXP(-LN(2)/2)*AW47+(1-EXP(-LN(2)/2))/(LN(2)/2)*AQ48*AT48*VLOOKUP('Données projet'!$B$10,Paramètres!$A$1:$I$89,3,0)*0.475*44/12</f>
        <v>2.5938485037110052E-2</v>
      </c>
      <c r="AX48" s="23">
        <f t="shared" si="6"/>
        <v>1.2756189323153015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25.714000000000009</v>
      </c>
      <c r="D49" s="12">
        <f t="shared" si="32"/>
        <v>8.1204100194831259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261.17790190478212</v>
      </c>
      <c r="H49" s="70">
        <f t="shared" si="1"/>
        <v>352.26159745059977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8.4</v>
      </c>
      <c r="N49" s="14">
        <f>IF('Données projet'!$A$36&gt;35,N48+M49-V48,IF(A49&lt;'Données projet'!$A$36,$K$205^A49,IF(A49='Données projet'!$A$36,'Données projet'!$B$36,N48+M49-V48)))</f>
        <v>145.40000000000003</v>
      </c>
      <c r="O49" s="14">
        <f>N49*VLOOKUP('Données projet'!$B$9,Paramètres!$A$1:$I$89,3,0)*VLOOKUP('Données projet'!$B$9,Paramètres!$A$1:$I$89,5,0)</f>
        <v>131.55792000000002</v>
      </c>
      <c r="P49" s="14">
        <f t="shared" si="33"/>
        <v>34.3560989338864</v>
      </c>
      <c r="Q49" s="22">
        <f t="shared" si="53"/>
        <v>288.96691630985219</v>
      </c>
      <c r="R49" s="62">
        <f t="shared" si="0"/>
        <v>582.30024964318545</v>
      </c>
      <c r="S49" s="62">
        <f ca="1">AVERAGE(OFFSET($R$3,0,0,'Données projet'!$E$9+1,1))-AVERAGE(OFFSET($H$3,0,0,'Données projet'!$E$9+1,1))</f>
        <v>263.85754879271406</v>
      </c>
      <c r="T49" s="62">
        <f t="shared" si="34"/>
        <v>157.75772798974242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-5.6843418860808015E-14</v>
      </c>
      <c r="AJ49" s="14">
        <f>AI49*VLOOKUP('Données projet'!$B$10,Paramètres!$A$1:$I$89,3,0)*VLOOKUP('Données projet'!$B$10,Paramètres!$A$1:$I$89,5,0)</f>
        <v>-5.1431925385259088E-14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313.28865457002252</v>
      </c>
      <c r="AO49" s="62">
        <f t="shared" si="36"/>
        <v>438.23149076517115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0.48087248236332442</v>
      </c>
      <c r="AV49" s="23">
        <f>EXP(-LN(2)/25)*AV48+(1-EXP(-LN(2)/25))/(LN(2)/25)*Calculateur!AQ49*Calculateur!AS49*VLOOKUP('Données projet'!$B$10,Paramètres!$A$1:$I$89,3,0)*0.475*44/12</f>
        <v>0.7384296579402041</v>
      </c>
      <c r="AW49" s="23">
        <f>EXP(-LN(2)/2)*AW48+(1-EXP(-LN(2)/2))/(LN(2)/2)*AQ49*AT49*VLOOKUP('Données projet'!$B$10,Paramètres!$A$1:$I$89,3,0)*0.475*44/12</f>
        <v>1.8341278663446314E-2</v>
      </c>
      <c r="AX49" s="23">
        <f t="shared" si="6"/>
        <v>1.2376434189669747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26.27300000000001</v>
      </c>
      <c r="D50" s="12">
        <f t="shared" si="32"/>
        <v>8.2761967307944264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266.69555371139563</v>
      </c>
      <c r="H50" s="70">
        <f t="shared" si="1"/>
        <v>353.50651763946695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8.4</v>
      </c>
      <c r="N50" s="14">
        <f>IF('Données projet'!$A$36&gt;35,N49+M50-V49,IF(A50&lt;'Données projet'!$A$36,$K$205^A50,IF(A50='Données projet'!$A$36,'Données projet'!$B$36,N49+M50-V49)))</f>
        <v>153.80000000000004</v>
      </c>
      <c r="O50" s="14">
        <f>N50*VLOOKUP('Données projet'!$B$9,Paramètres!$A$1:$I$89,3,0)*VLOOKUP('Données projet'!$B$9,Paramètres!$A$1:$I$89,5,0)</f>
        <v>139.15824000000003</v>
      </c>
      <c r="P50" s="14">
        <f t="shared" si="33"/>
        <v>36.104102468715482</v>
      </c>
      <c r="Q50" s="22">
        <f t="shared" si="53"/>
        <v>305.24857979967953</v>
      </c>
      <c r="R50" s="62">
        <f t="shared" si="0"/>
        <v>598.5819131330129</v>
      </c>
      <c r="S50" s="62">
        <f ca="1">AVERAGE(OFFSET($R$3,0,0,'Données projet'!$E$9+1,1))-AVERAGE(OFFSET($H$3,0,0,'Données projet'!$E$9+1,1))</f>
        <v>263.85754879271406</v>
      </c>
      <c r="T50" s="62">
        <f t="shared" si="34"/>
        <v>157.75772798974242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-5.6843418860808015E-14</v>
      </c>
      <c r="AJ50" s="14">
        <f>AI50*VLOOKUP('Données projet'!$B$10,Paramètres!$A$1:$I$89,3,0)*VLOOKUP('Données projet'!$B$10,Paramètres!$A$1:$I$89,5,0)</f>
        <v>-5.1431925385259088E-14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313.28865457002252</v>
      </c>
      <c r="AO50" s="62">
        <f t="shared" si="36"/>
        <v>438.23149076517115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0.47144286628743259</v>
      </c>
      <c r="AV50" s="23">
        <f>EXP(-LN(2)/25)*AV49+(1-EXP(-LN(2)/25))/(LN(2)/25)*Calculateur!AQ50*Calculateur!AS50*VLOOKUP('Données projet'!$B$10,Paramètres!$A$1:$I$89,3,0)*0.475*44/12</f>
        <v>0.71823726011150124</v>
      </c>
      <c r="AW50" s="23">
        <f>EXP(-LN(2)/2)*AW49+(1-EXP(-LN(2)/2))/(LN(2)/2)*AQ50*AT50*VLOOKUP('Données projet'!$B$10,Paramètres!$A$1:$I$89,3,0)*0.475*44/12</f>
        <v>1.2969242518555026E-2</v>
      </c>
      <c r="AX50" s="23">
        <f t="shared" si="6"/>
        <v>1.2026493689174889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26.832000000000011</v>
      </c>
      <c r="D51" s="12">
        <f t="shared" si="32"/>
        <v>8.4315980680326348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272.21023070060295</v>
      </c>
      <c r="H51" s="70">
        <f t="shared" si="1"/>
        <v>354.75076663515682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8.4</v>
      </c>
      <c r="N51" s="14">
        <f>IF('Données projet'!$A$36&gt;35,N50+M51-V50,IF(A51&lt;'Données projet'!$A$36,$K$205^A51,IF(A51='Données projet'!$A$36,'Données projet'!$B$36,N50+M51-V50)))</f>
        <v>162.20000000000005</v>
      </c>
      <c r="O51" s="14">
        <f>N51*VLOOKUP('Données projet'!$B$9,Paramètres!$A$1:$I$89,3,0)*VLOOKUP('Données projet'!$B$9,Paramètres!$A$1:$I$89,5,0)</f>
        <v>146.75856000000005</v>
      </c>
      <c r="P51" s="14">
        <f t="shared" si="33"/>
        <v>37.841022770456242</v>
      </c>
      <c r="Q51" s="22">
        <f t="shared" si="53"/>
        <v>321.51093999187805</v>
      </c>
      <c r="R51" s="62">
        <f t="shared" si="0"/>
        <v>614.84427332521136</v>
      </c>
      <c r="S51" s="62">
        <f ca="1">AVERAGE(OFFSET($R$3,0,0,'Données projet'!$E$9+1,1))-AVERAGE(OFFSET($H$3,0,0,'Données projet'!$E$9+1,1))</f>
        <v>263.85754879271406</v>
      </c>
      <c r="T51" s="62">
        <f t="shared" si="34"/>
        <v>157.75772798974242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-5.6843418860808015E-14</v>
      </c>
      <c r="AJ51" s="14">
        <f>AI51*VLOOKUP('Données projet'!$B$10,Paramètres!$A$1:$I$89,3,0)*VLOOKUP('Données projet'!$B$10,Paramètres!$A$1:$I$89,5,0)</f>
        <v>-5.1431925385259088E-14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313.28865457002252</v>
      </c>
      <c r="AO51" s="62">
        <f t="shared" si="36"/>
        <v>438.23149076517115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0.46219815923129109</v>
      </c>
      <c r="AV51" s="23">
        <f>EXP(-LN(2)/25)*AV50+(1-EXP(-LN(2)/25))/(LN(2)/25)*Calculateur!AQ51*Calculateur!AS51*VLOOKUP('Données projet'!$B$10,Paramètres!$A$1:$I$89,3,0)*0.475*44/12</f>
        <v>0.6985970244632963</v>
      </c>
      <c r="AW51" s="23">
        <f>EXP(-LN(2)/2)*AW50+(1-EXP(-LN(2)/2))/(LN(2)/2)*AQ51*AT51*VLOOKUP('Données projet'!$B$10,Paramètres!$A$1:$I$89,3,0)*0.475*44/12</f>
        <v>9.1706393317231572E-3</v>
      </c>
      <c r="AX51" s="23">
        <f t="shared" si="6"/>
        <v>1.1699658230263106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27.391000000000012</v>
      </c>
      <c r="D52" s="12">
        <f t="shared" si="32"/>
        <v>8.586622984805059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277.72200198796901</v>
      </c>
      <c r="H52" s="70">
        <f t="shared" si="1"/>
        <v>355.99436003186884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8.4</v>
      </c>
      <c r="N52" s="14">
        <f>IF('Données projet'!$A$36&gt;35,N51+M52-V51,IF(A52&lt;'Données projet'!$A$36,$K$205^A52,IF(A52='Données projet'!$A$36,'Données projet'!$B$36,N51+M52-V51)))</f>
        <v>170.60000000000005</v>
      </c>
      <c r="O52" s="14">
        <f>N52*VLOOKUP('Données projet'!$B$9,Paramètres!$A$1:$I$89,3,0)*VLOOKUP('Données projet'!$B$9,Paramètres!$A$1:$I$89,5,0)</f>
        <v>154.35888000000003</v>
      </c>
      <c r="P52" s="14">
        <f t="shared" si="33"/>
        <v>39.567499286120309</v>
      </c>
      <c r="Q52" s="22">
        <f t="shared" si="53"/>
        <v>337.75511058999291</v>
      </c>
      <c r="R52" s="62">
        <f t="shared" si="0"/>
        <v>631.08844392332617</v>
      </c>
      <c r="S52" s="62">
        <f ca="1">AVERAGE(OFFSET($R$3,0,0,'Données projet'!$E$9+1,1))-AVERAGE(OFFSET($H$3,0,0,'Données projet'!$E$9+1,1))</f>
        <v>263.85754879271406</v>
      </c>
      <c r="T52" s="62">
        <f t="shared" si="34"/>
        <v>157.75772798974242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-5.6843418860808015E-14</v>
      </c>
      <c r="AJ52" s="14">
        <f>AI52*VLOOKUP('Données projet'!$B$10,Paramètres!$A$1:$I$89,3,0)*VLOOKUP('Données projet'!$B$10,Paramètres!$A$1:$I$89,5,0)</f>
        <v>-5.1431925385259088E-14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313.28865457002252</v>
      </c>
      <c r="AO52" s="62">
        <f t="shared" si="36"/>
        <v>438.23149076517115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0.45313473524180603</v>
      </c>
      <c r="AV52" s="23">
        <f>EXP(-LN(2)/25)*AV51+(1-EXP(-LN(2)/25))/(LN(2)/25)*Calculateur!AQ52*Calculateur!AS52*VLOOKUP('Données projet'!$B$10,Paramètres!$A$1:$I$89,3,0)*0.475*44/12</f>
        <v>0.67949385209172664</v>
      </c>
      <c r="AW52" s="23">
        <f>EXP(-LN(2)/2)*AW51+(1-EXP(-LN(2)/2))/(LN(2)/2)*AQ52*AT52*VLOOKUP('Données projet'!$B$10,Paramètres!$A$1:$I$89,3,0)*0.475*44/12</f>
        <v>6.484621259277513E-3</v>
      </c>
      <c r="AX52" s="23">
        <f t="shared" si="6"/>
        <v>1.1391132085928102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27.950000000000014</v>
      </c>
      <c r="D53" s="12">
        <f t="shared" si="32"/>
        <v>8.7412800483747457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283.23093370675252</v>
      </c>
      <c r="H53" s="70">
        <f t="shared" si="1"/>
        <v>357.23731275091933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179</v>
      </c>
      <c r="L53" s="13">
        <f>VLOOKUP(A53,'Données projet'!$A$35:$I$55,9,0)</f>
        <v>8.4</v>
      </c>
      <c r="M53" s="13">
        <f t="array" ref="M53">INDEX(L:L,MIN(IF(ISNUMBER(L53:L249),ROW(L53:L249),"")))</f>
        <v>8.4</v>
      </c>
      <c r="N53" s="14">
        <f>IF('Données projet'!$A$36&gt;35,N52+M53-V52,IF(A53&lt;'Données projet'!$A$36,$K$205^A53,IF(A53='Données projet'!$A$36,'Données projet'!$B$36,N52+M53-V52)))</f>
        <v>179.00000000000006</v>
      </c>
      <c r="O53" s="14">
        <f>N53*VLOOKUP('Données projet'!$B$9,Paramètres!$A$1:$I$89,3,0)*VLOOKUP('Données projet'!$B$9,Paramètres!$A$1:$I$89,5,0)</f>
        <v>161.95920000000004</v>
      </c>
      <c r="P53" s="14">
        <f t="shared" si="33"/>
        <v>41.284104935125725</v>
      </c>
      <c r="Q53" s="22">
        <f t="shared" si="53"/>
        <v>353.9820894286774</v>
      </c>
      <c r="R53" s="62">
        <f t="shared" si="0"/>
        <v>647.31542276201071</v>
      </c>
      <c r="S53" s="62">
        <f ca="1">AVERAGE(OFFSET($R$3,0,0,'Données projet'!$E$9+1,1))-AVERAGE(OFFSET($H$3,0,0,'Données projet'!$E$9+1,1))</f>
        <v>263.85754879271406</v>
      </c>
      <c r="T53" s="62">
        <f t="shared" si="34"/>
        <v>157.75772798974242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21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-5.6843418860808015E-14</v>
      </c>
      <c r="AJ53" s="14">
        <f>AI53*VLOOKUP('Données projet'!$B$10,Paramètres!$A$1:$I$89,3,0)*VLOOKUP('Données projet'!$B$10,Paramètres!$A$1:$I$89,5,0)</f>
        <v>-5.1431925385259088E-14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313.28865457002252</v>
      </c>
      <c r="AO53" s="62">
        <f t="shared" si="36"/>
        <v>438.23149076517115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0.44424903946861199</v>
      </c>
      <c r="AV53" s="23">
        <f>EXP(-LN(2)/25)*AV52+(1-EXP(-LN(2)/25))/(LN(2)/25)*Calculateur!AQ53*Calculateur!AS53*VLOOKUP('Données projet'!$B$10,Paramètres!$A$1:$I$89,3,0)*0.475*44/12</f>
        <v>0.66091305697324965</v>
      </c>
      <c r="AW53" s="23">
        <f>EXP(-LN(2)/2)*AW52+(1-EXP(-LN(2)/2))/(LN(2)/2)*AQ53*AT53*VLOOKUP('Données projet'!$B$10,Paramètres!$A$1:$I$89,3,0)*0.475*44/12</f>
        <v>4.5853196658615786E-3</v>
      </c>
      <c r="AX53" s="23">
        <f t="shared" si="6"/>
        <v>1.1097474161077232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28.509000000000015</v>
      </c>
      <c r="D54" s="12">
        <f t="shared" si="32"/>
        <v>8.8955774637189755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288.73708919362031</v>
      </c>
      <c r="H54" s="70">
        <f t="shared" si="1"/>
        <v>358.47963908264387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166.00000000000006</v>
      </c>
      <c r="O54" s="14">
        <f>N54*VLOOKUP('Données projet'!$B$9,Paramètres!$A$1:$I$89,3,0)*VLOOKUP('Données projet'!$B$9,Paramètres!$A$1:$I$89,5,0)</f>
        <v>150.19680000000005</v>
      </c>
      <c r="P54" s="14">
        <f t="shared" si="33"/>
        <v>38.623305713694506</v>
      </c>
      <c r="Q54" s="22">
        <f t="shared" si="53"/>
        <v>328.86168411801799</v>
      </c>
      <c r="R54" s="62">
        <f t="shared" si="0"/>
        <v>622.1950174513513</v>
      </c>
      <c r="S54" s="62">
        <f ca="1">AVERAGE(OFFSET($R$3,0,0,'Données projet'!$E$9+1,1))-AVERAGE(OFFSET($H$3,0,0,'Données projet'!$E$9+1,1))</f>
        <v>263.85754879271406</v>
      </c>
      <c r="T54" s="62">
        <f t="shared" si="34"/>
        <v>157.75772798974242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-5.1431925385259088E-14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313.28865457002252</v>
      </c>
      <c r="AO54" s="62">
        <f t="shared" si="36"/>
        <v>438.23149076517115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0.43553758676979099</v>
      </c>
      <c r="AV54" s="23">
        <f>EXP(-LN(2)/25)*AV53+(1-EXP(-LN(2)/25))/(LN(2)/25)*Calculateur!AQ54*Calculateur!AS54*VLOOKUP('Données projet'!$B$10,Paramètres!$A$1:$I$89,3,0)*0.475*44/12</f>
        <v>0.64284035467440903</v>
      </c>
      <c r="AW54" s="23">
        <f>EXP(-LN(2)/2)*AW53+(1-EXP(-LN(2)/2))/(LN(2)/2)*AQ54*AT54*VLOOKUP('Données projet'!$B$10,Paramètres!$A$1:$I$89,3,0)*0.475*44/12</f>
        <v>3.2423106296387565E-3</v>
      </c>
      <c r="AX54" s="23">
        <f t="shared" si="6"/>
        <v>1.0816202520738389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29.068000000000016</v>
      </c>
      <c r="D55" s="12">
        <f t="shared" si="32"/>
        <v>9.0495230956474586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294.24052915938398</v>
      </c>
      <c r="H55" s="70">
        <f t="shared" si="1"/>
        <v>359.72135272491931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174.00000000000006</v>
      </c>
      <c r="O55" s="14">
        <f>N55*VLOOKUP('Données projet'!$B$9,Paramètres!$A$1:$I$89,3,0)*VLOOKUP('Données projet'!$B$9,Paramètres!$A$1:$I$89,5,0)</f>
        <v>157.43520000000007</v>
      </c>
      <c r="P55" s="14">
        <f t="shared" si="33"/>
        <v>40.263474653179919</v>
      </c>
      <c r="Q55" s="22">
        <f t="shared" si="53"/>
        <v>344.32519168762178</v>
      </c>
      <c r="R55" s="62">
        <f t="shared" si="0"/>
        <v>637.65852502095504</v>
      </c>
      <c r="S55" s="62">
        <f ca="1">AVERAGE(OFFSET($R$3,0,0,'Données projet'!$E$9+1,1))-AVERAGE(OFFSET($H$3,0,0,'Données projet'!$E$9+1,1))</f>
        <v>263.85754879271406</v>
      </c>
      <c r="T55" s="62">
        <f t="shared" si="34"/>
        <v>157.75772798974242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-5.1431925385259088E-14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313.28865457002252</v>
      </c>
      <c r="AO55" s="62">
        <f t="shared" si="36"/>
        <v>438.23149076517115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0.4269969603449324</v>
      </c>
      <c r="AV55" s="23">
        <f>EXP(-LN(2)/25)*AV54+(1-EXP(-LN(2)/25))/(LN(2)/25)*Calculateur!AQ55*Calculateur!AS55*VLOOKUP('Données projet'!$B$10,Paramètres!$A$1:$I$89,3,0)*0.475*44/12</f>
        <v>0.6252618513703323</v>
      </c>
      <c r="AW55" s="23">
        <f>EXP(-LN(2)/2)*AW54+(1-EXP(-LN(2)/2))/(LN(2)/2)*AQ55*AT55*VLOOKUP('Données projet'!$B$10,Paramètres!$A$1:$I$89,3,0)*0.475*44/12</f>
        <v>2.2926598329307893E-3</v>
      </c>
      <c r="AX55" s="23">
        <f t="shared" si="6"/>
        <v>1.0545514715481954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29.627000000000017</v>
      </c>
      <c r="D56" s="12">
        <f t="shared" si="32"/>
        <v>9.2031244891710831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299.74131184623303</v>
      </c>
      <c r="H56" s="70">
        <f t="shared" si="1"/>
        <v>360.96246681863965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182.00000000000006</v>
      </c>
      <c r="O56" s="14">
        <f>N56*VLOOKUP('Données projet'!$B$9,Paramètres!$A$1:$I$89,3,0)*VLOOKUP('Données projet'!$B$9,Paramètres!$A$1:$I$89,5,0)</f>
        <v>164.67360000000005</v>
      </c>
      <c r="P56" s="14">
        <f t="shared" si="33"/>
        <v>41.894886049197019</v>
      </c>
      <c r="Q56" s="22">
        <f t="shared" si="53"/>
        <v>359.77344653568485</v>
      </c>
      <c r="R56" s="62">
        <f t="shared" si="0"/>
        <v>653.10677986901817</v>
      </c>
      <c r="S56" s="62">
        <f ca="1">AVERAGE(OFFSET($R$3,0,0,'Données projet'!$E$9+1,1))-AVERAGE(OFFSET($H$3,0,0,'Données projet'!$E$9+1,1))</f>
        <v>263.85754879271406</v>
      </c>
      <c r="T56" s="62">
        <f t="shared" si="34"/>
        <v>157.75772798974242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-5.1431925385259088E-14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313.28865457002252</v>
      </c>
      <c r="AO56" s="62">
        <f t="shared" si="36"/>
        <v>438.23149076517115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0.41862381039499752</v>
      </c>
      <c r="AV56" s="23">
        <f>EXP(-LN(2)/25)*AV55+(1-EXP(-LN(2)/25))/(LN(2)/25)*Calculateur!AQ56*Calculateur!AS56*VLOOKUP('Données projet'!$B$10,Paramètres!$A$1:$I$89,3,0)*0.475*44/12</f>
        <v>0.60816403316351886</v>
      </c>
      <c r="AW56" s="23">
        <f>EXP(-LN(2)/2)*AW55+(1-EXP(-LN(2)/2))/(LN(2)/2)*AQ56*AT56*VLOOKUP('Données projet'!$B$10,Paramètres!$A$1:$I$89,3,0)*0.475*44/12</f>
        <v>1.6211553148193782E-3</v>
      </c>
      <c r="AX56" s="23">
        <f t="shared" si="6"/>
        <v>1.0284089988733358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30.186000000000018</v>
      </c>
      <c r="D57" s="12">
        <f t="shared" si="32"/>
        <v>9.3563888882898691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305.23949317276401</v>
      </c>
      <c r="H57" s="70">
        <f t="shared" si="1"/>
        <v>362.20299398043818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190.00000000000006</v>
      </c>
      <c r="O57" s="14">
        <f>N57*VLOOKUP('Données projet'!$B$9,Paramètres!$A$1:$I$89,3,0)*VLOOKUP('Données projet'!$B$9,Paramètres!$A$1:$I$89,5,0)</f>
        <v>171.91200000000006</v>
      </c>
      <c r="P57" s="14">
        <f t="shared" si="33"/>
        <v>43.51796884103733</v>
      </c>
      <c r="Q57" s="22">
        <f t="shared" si="53"/>
        <v>375.2071957314734</v>
      </c>
      <c r="R57" s="62">
        <f t="shared" si="0"/>
        <v>668.54052906480672</v>
      </c>
      <c r="S57" s="62">
        <f ca="1">AVERAGE(OFFSET($R$3,0,0,'Données projet'!$E$9+1,1))-AVERAGE(OFFSET($H$3,0,0,'Données projet'!$E$9+1,1))</f>
        <v>263.85754879271406</v>
      </c>
      <c r="T57" s="62">
        <f t="shared" si="34"/>
        <v>157.75772798974242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-5.1431925385259088E-14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313.28865457002252</v>
      </c>
      <c r="AO57" s="62">
        <f t="shared" si="36"/>
        <v>438.23149076517115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0.41041485280846368</v>
      </c>
      <c r="AV57" s="23">
        <f>EXP(-LN(2)/25)*AV56+(1-EXP(-LN(2)/25))/(LN(2)/25)*Calculateur!AQ57*Calculateur!AS57*VLOOKUP('Données projet'!$B$10,Paramètres!$A$1:$I$89,3,0)*0.475*44/12</f>
        <v>0.5915337556947059</v>
      </c>
      <c r="AW57" s="23">
        <f>EXP(-LN(2)/2)*AW56+(1-EXP(-LN(2)/2))/(LN(2)/2)*AQ57*AT57*VLOOKUP('Données projet'!$B$10,Paramètres!$A$1:$I$89,3,0)*0.475*44/12</f>
        <v>1.1463299164653946E-3</v>
      </c>
      <c r="AX57" s="23">
        <f t="shared" si="6"/>
        <v>1.003094938419635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30.745000000000019</v>
      </c>
      <c r="D58" s="12">
        <f t="shared" si="32"/>
        <v>9.5093232533499261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310.73512686796454</v>
      </c>
      <c r="H58" s="70">
        <f t="shared" si="1"/>
        <v>363.44294633291781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198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198.00000000000006</v>
      </c>
      <c r="O58" s="14">
        <f>N58*VLOOKUP('Données projet'!$B$9,Paramètres!$A$1:$I$89,3,0)*VLOOKUP('Données projet'!$B$9,Paramètres!$A$1:$I$89,5,0)</f>
        <v>179.15040000000005</v>
      </c>
      <c r="P58" s="14">
        <f t="shared" si="33"/>
        <v>45.133113803437347</v>
      </c>
      <c r="Q58" s="22">
        <f t="shared" si="53"/>
        <v>390.62711987432004</v>
      </c>
      <c r="R58" s="62">
        <f t="shared" si="0"/>
        <v>683.96045320765336</v>
      </c>
      <c r="S58" s="62">
        <f ca="1">AVERAGE(OFFSET($R$3,0,0,'Données projet'!$E$9+1,1))-AVERAGE(OFFSET($H$3,0,0,'Données projet'!$E$9+1,1))</f>
        <v>263.85754879271406</v>
      </c>
      <c r="T58" s="62">
        <f t="shared" si="34"/>
        <v>157.75772798974242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21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-5.1431925385259088E-14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313.28865457002252</v>
      </c>
      <c r="AO58" s="62">
        <f t="shared" si="36"/>
        <v>438.23149076517115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0.40236686787323206</v>
      </c>
      <c r="AV58" s="23">
        <f>EXP(-LN(2)/25)*AV57+(1-EXP(-LN(2)/25))/(LN(2)/25)*Calculateur!AQ58*Calculateur!AS58*VLOOKUP('Données projet'!$B$10,Paramètres!$A$1:$I$89,3,0)*0.475*44/12</f>
        <v>0.57535823403782593</v>
      </c>
      <c r="AW58" s="23">
        <f>EXP(-LN(2)/2)*AW57+(1-EXP(-LN(2)/2))/(LN(2)/2)*AQ58*AT58*VLOOKUP('Données projet'!$B$10,Paramètres!$A$1:$I$89,3,0)*0.475*44/12</f>
        <v>8.1057765740968912E-4</v>
      </c>
      <c r="AX58" s="23">
        <f t="shared" si="6"/>
        <v>0.97853567956846765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31.30400000000002</v>
      </c>
      <c r="D59" s="12">
        <f t="shared" si="32"/>
        <v>9.6619342771023238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316.22826459517597</v>
      </c>
      <c r="H59" s="70">
        <f t="shared" si="1"/>
        <v>364.6823355326199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7.4</v>
      </c>
      <c r="N59" s="14">
        <f>IF('Données projet'!$A$36&gt;35,N58+M59-V58,IF(A59&lt;'Données projet'!$A$36,$K$205^A59,IF(A59='Données projet'!$A$36,'Données projet'!$B$36,N58+M59-V58)))</f>
        <v>184.40000000000006</v>
      </c>
      <c r="O59" s="14">
        <f>N59*VLOOKUP('Données projet'!$B$9,Paramètres!$A$1:$I$89,3,0)*VLOOKUP('Données projet'!$B$9,Paramètres!$A$1:$I$89,5,0)</f>
        <v>166.84512000000004</v>
      </c>
      <c r="P59" s="14">
        <f t="shared" si="33"/>
        <v>42.382666918050084</v>
      </c>
      <c r="Q59" s="22">
        <f t="shared" si="53"/>
        <v>364.40506221560395</v>
      </c>
      <c r="R59" s="62">
        <f t="shared" si="0"/>
        <v>657.73839554893721</v>
      </c>
      <c r="S59" s="62">
        <f ca="1">AVERAGE(OFFSET($R$3,0,0,'Données projet'!$E$9+1,1))-AVERAGE(OFFSET($H$3,0,0,'Données projet'!$E$9+1,1))</f>
        <v>263.85754879271406</v>
      </c>
      <c r="T59" s="62">
        <f t="shared" si="34"/>
        <v>157.75772798974242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-5.1431925385259088E-14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313.28865457002252</v>
      </c>
      <c r="AO59" s="62">
        <f t="shared" si="36"/>
        <v>438.23149076517115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0.39447669901379423</v>
      </c>
      <c r="AV59" s="23">
        <f>EXP(-LN(2)/25)*AV58+(1-EXP(-LN(2)/25))/(LN(2)/25)*Calculateur!AQ59*Calculateur!AS59*VLOOKUP('Données projet'!$B$10,Paramètres!$A$1:$I$89,3,0)*0.475*44/12</f>
        <v>0.55962503287128706</v>
      </c>
      <c r="AW59" s="23">
        <f>EXP(-LN(2)/2)*AW58+(1-EXP(-LN(2)/2))/(LN(2)/2)*AQ59*AT59*VLOOKUP('Données projet'!$B$10,Paramètres!$A$1:$I$89,3,0)*0.475*44/12</f>
        <v>5.7316495823269732E-4</v>
      </c>
      <c r="AX59" s="23">
        <f t="shared" si="6"/>
        <v>0.95467489684331397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31.863000000000021</v>
      </c>
      <c r="D60" s="12">
        <f t="shared" si="32"/>
        <v>9.814228399582424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321.71895606695222</v>
      </c>
      <c r="H60" s="70">
        <f t="shared" si="1"/>
        <v>365.92117279593941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7.4</v>
      </c>
      <c r="N60" s="14">
        <f>IF('Données projet'!$A$36&gt;35,N59+M60-V59,IF(A60&lt;'Données projet'!$A$36,$K$205^A60,IF(A60='Données projet'!$A$36,'Données projet'!$B$36,N59+M60-V59)))</f>
        <v>191.80000000000007</v>
      </c>
      <c r="O60" s="14">
        <f>N60*VLOOKUP('Données projet'!$B$9,Paramètres!$A$1:$I$89,3,0)*VLOOKUP('Données projet'!$B$9,Paramètres!$A$1:$I$89,5,0)</f>
        <v>173.54064000000005</v>
      </c>
      <c r="P60" s="14">
        <f t="shared" si="33"/>
        <v>43.882055316228445</v>
      </c>
      <c r="Q60" s="22">
        <f t="shared" si="53"/>
        <v>378.67786100909797</v>
      </c>
      <c r="R60" s="62">
        <f t="shared" si="0"/>
        <v>672.01119434243128</v>
      </c>
      <c r="S60" s="62">
        <f ca="1">AVERAGE(OFFSET($R$3,0,0,'Données projet'!$E$9+1,1))-AVERAGE(OFFSET($H$3,0,0,'Données projet'!$E$9+1,1))</f>
        <v>263.85754879271406</v>
      </c>
      <c r="T60" s="62">
        <f t="shared" si="34"/>
        <v>157.75772798974242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-5.1431925385259088E-14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313.28865457002252</v>
      </c>
      <c r="AO60" s="62">
        <f t="shared" si="36"/>
        <v>438.23149076517115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0.38674125155316214</v>
      </c>
      <c r="AV60" s="23">
        <f>EXP(-LN(2)/25)*AV59+(1-EXP(-LN(2)/25))/(LN(2)/25)*Calculateur!AQ60*Calculateur!AS60*VLOOKUP('Données projet'!$B$10,Paramètres!$A$1:$I$89,3,0)*0.475*44/12</f>
        <v>0.54432205691802027</v>
      </c>
      <c r="AW60" s="23">
        <f>EXP(-LN(2)/2)*AW59+(1-EXP(-LN(2)/2))/(LN(2)/2)*AQ60*AT60*VLOOKUP('Données projet'!$B$10,Paramètres!$A$1:$I$89,3,0)*0.475*44/12</f>
        <v>4.0528882870484456E-4</v>
      </c>
      <c r="AX60" s="23">
        <f t="shared" si="6"/>
        <v>0.93146859729988718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32.422000000000018</v>
      </c>
      <c r="D61" s="12">
        <f t="shared" si="32"/>
        <v>9.9662118219155289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327.20724915162879</v>
      </c>
      <c r="H61" s="70">
        <f t="shared" si="1"/>
        <v>367.15946892316958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7.4</v>
      </c>
      <c r="N61" s="14">
        <f>IF('Données projet'!$A$36&gt;35,N60+M61-V60,IF(A61&lt;'Données projet'!$A$36,$K$205^A61,IF(A61='Données projet'!$A$36,'Données projet'!$B$36,N60+M61-V60)))</f>
        <v>199.20000000000007</v>
      </c>
      <c r="O61" s="14">
        <f>N61*VLOOKUP('Données projet'!$B$9,Paramètres!$A$1:$I$89,3,0)*VLOOKUP('Données projet'!$B$9,Paramètres!$A$1:$I$89,5,0)</f>
        <v>180.23616000000004</v>
      </c>
      <c r="P61" s="14">
        <f t="shared" si="33"/>
        <v>45.374723405565959</v>
      </c>
      <c r="Q61" s="22">
        <f t="shared" si="53"/>
        <v>392.93895526469413</v>
      </c>
      <c r="R61" s="62">
        <f t="shared" si="0"/>
        <v>686.27228859802744</v>
      </c>
      <c r="S61" s="62">
        <f ca="1">AVERAGE(OFFSET($R$3,0,0,'Données projet'!$E$9+1,1))-AVERAGE(OFFSET($H$3,0,0,'Données projet'!$E$9+1,1))</f>
        <v>263.85754879271406</v>
      </c>
      <c r="T61" s="62">
        <f t="shared" si="34"/>
        <v>157.75772798974242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-5.1431925385259088E-14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313.28865457002252</v>
      </c>
      <c r="AO61" s="62">
        <f t="shared" si="36"/>
        <v>438.23149076517115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0.37915749149907596</v>
      </c>
      <c r="AV61" s="23">
        <f>EXP(-LN(2)/25)*AV60+(1-EXP(-LN(2)/25))/(LN(2)/25)*Calculateur!AQ61*Calculateur!AS61*VLOOKUP('Données projet'!$B$10,Paramètres!$A$1:$I$89,3,0)*0.475*44/12</f>
        <v>0.52943754164694412</v>
      </c>
      <c r="AW61" s="23">
        <f>EXP(-LN(2)/2)*AW60+(1-EXP(-LN(2)/2))/(LN(2)/2)*AQ61*AT61*VLOOKUP('Données projet'!$B$10,Paramètres!$A$1:$I$89,3,0)*0.475*44/12</f>
        <v>2.8658247911634866E-4</v>
      </c>
      <c r="AX61" s="23">
        <f t="shared" si="6"/>
        <v>0.90888161562513647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32.981000000000016</v>
      </c>
      <c r="D62" s="12">
        <f t="shared" si="32"/>
        <v>10.117890519143426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332.69318997233535</v>
      </c>
      <c r="H62" s="70">
        <f t="shared" si="1"/>
        <v>368.39723432084145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7.4</v>
      </c>
      <c r="N62" s="14">
        <f>IF('Données projet'!$A$36&gt;35,N61+M62-V61,IF(A62&lt;'Données projet'!$A$36,$K$205^A62,IF(A62='Données projet'!$A$36,'Données projet'!$B$36,N61+M62-V61)))</f>
        <v>206.60000000000008</v>
      </c>
      <c r="O62" s="14">
        <f>N62*VLOOKUP('Données projet'!$B$9,Paramètres!$A$1:$I$89,3,0)*VLOOKUP('Données projet'!$B$9,Paramètres!$A$1:$I$89,5,0)</f>
        <v>186.93168000000006</v>
      </c>
      <c r="P62" s="14">
        <f t="shared" si="33"/>
        <v>46.860949423866458</v>
      </c>
      <c r="Q62" s="22">
        <f t="shared" si="53"/>
        <v>407.18882957990081</v>
      </c>
      <c r="R62" s="62">
        <f t="shared" si="0"/>
        <v>700.52216291323407</v>
      </c>
      <c r="S62" s="62">
        <f ca="1">AVERAGE(OFFSET($R$3,0,0,'Données projet'!$E$9+1,1))-AVERAGE(OFFSET($H$3,0,0,'Données projet'!$E$9+1,1))</f>
        <v>263.85754879271406</v>
      </c>
      <c r="T62" s="62">
        <f t="shared" si="34"/>
        <v>157.75772798974242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-5.1431925385259088E-14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313.28865457002252</v>
      </c>
      <c r="AO62" s="62">
        <f t="shared" si="36"/>
        <v>438.23149076517115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0.37172244435401353</v>
      </c>
      <c r="AV62" s="23">
        <f>EXP(-LN(2)/25)*AV61+(1-EXP(-LN(2)/25))/(LN(2)/25)*Calculateur!AQ62*Calculateur!AS62*VLOOKUP('Données projet'!$B$10,Paramètres!$A$1:$I$89,3,0)*0.475*44/12</f>
        <v>0.51496004422869812</v>
      </c>
      <c r="AW62" s="23">
        <f>EXP(-LN(2)/2)*AW61+(1-EXP(-LN(2)/2))/(LN(2)/2)*AQ62*AT62*VLOOKUP('Données projet'!$B$10,Paramètres!$A$1:$I$89,3,0)*0.475*44/12</f>
        <v>2.0264441435242228E-4</v>
      </c>
      <c r="AX62" s="23">
        <f t="shared" si="6"/>
        <v>0.88688513299706406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33.540000000000013</v>
      </c>
      <c r="D63" s="12">
        <f t="shared" si="32"/>
        <v>10.269270252156671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338.17682299910427</v>
      </c>
      <c r="H63" s="70">
        <f t="shared" si="1"/>
        <v>369.63447902250618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214</v>
      </c>
      <c r="L63" s="13">
        <f>VLOOKUP(A63,'Données projet'!$A$35:$I$55,9,0)</f>
        <v>7.4</v>
      </c>
      <c r="M63" s="13">
        <f t="array" ref="M63">INDEX(L:L,MIN(IF(ISNUMBER(L63:L259),ROW(L63:L259),"")))</f>
        <v>7.4</v>
      </c>
      <c r="N63" s="14">
        <f>IF('Données projet'!$A$36&gt;35,N62+M63-V62,IF(A63&lt;'Données projet'!$A$36,$K$205^A63,IF(A63='Données projet'!$A$36,'Données projet'!$B$36,N62+M63-V62)))</f>
        <v>214.00000000000009</v>
      </c>
      <c r="O63" s="14">
        <f>N63*VLOOKUP('Données projet'!$B$9,Paramètres!$A$1:$I$89,3,0)*VLOOKUP('Données projet'!$B$9,Paramètres!$A$1:$I$89,5,0)</f>
        <v>193.62720000000007</v>
      </c>
      <c r="P63" s="14">
        <f t="shared" si="33"/>
        <v>48.340990547231236</v>
      </c>
      <c r="Q63" s="22">
        <f t="shared" si="53"/>
        <v>421.42793186976115</v>
      </c>
      <c r="R63" s="62">
        <f t="shared" si="0"/>
        <v>714.76126520309447</v>
      </c>
      <c r="S63" s="62">
        <f ca="1">AVERAGE(OFFSET($R$3,0,0,'Données projet'!$E$9+1,1))-AVERAGE(OFFSET($H$3,0,0,'Données projet'!$E$9+1,1))</f>
        <v>263.85754879271406</v>
      </c>
      <c r="T63" s="62">
        <f t="shared" si="34"/>
        <v>157.75772798974242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21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-5.1431925385259088E-14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313.28865457002252</v>
      </c>
      <c r="AO63" s="62">
        <f t="shared" si="36"/>
        <v>438.23149076517115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0.36443319394853479</v>
      </c>
      <c r="AV63" s="23">
        <f>EXP(-LN(2)/25)*AV62+(1-EXP(-LN(2)/25))/(LN(2)/25)*Calculateur!AQ63*Calculateur!AS63*VLOOKUP('Données projet'!$B$10,Paramètres!$A$1:$I$89,3,0)*0.475*44/12</f>
        <v>0.50087843473869265</v>
      </c>
      <c r="AW63" s="23">
        <f>EXP(-LN(2)/2)*AW62+(1-EXP(-LN(2)/2))/(LN(2)/2)*AQ63*AT63*VLOOKUP('Données projet'!$B$10,Paramètres!$A$1:$I$89,3,0)*0.475*44/12</f>
        <v>1.4329123955817433E-4</v>
      </c>
      <c r="AX63" s="23">
        <f t="shared" si="6"/>
        <v>0.86545491992678558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34.099000000000011</v>
      </c>
      <c r="D64" s="12">
        <f t="shared" si="32"/>
        <v>10.420356578808908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343.65819113466529</v>
      </c>
      <c r="H64" s="70">
        <f t="shared" si="1"/>
        <v>370.87121270809217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200.20000000000007</v>
      </c>
      <c r="O64" s="14">
        <f>N64*VLOOKUP('Données projet'!$B$9,Paramètres!$A$1:$I$89,3,0)*VLOOKUP('Données projet'!$B$9,Paramètres!$A$1:$I$89,5,0)</f>
        <v>181.14096000000006</v>
      </c>
      <c r="P64" s="14">
        <f t="shared" si="33"/>
        <v>45.575935320610981</v>
      </c>
      <c r="Q64" s="22">
        <f t="shared" si="53"/>
        <v>394.86525935006421</v>
      </c>
      <c r="R64" s="62">
        <f t="shared" si="0"/>
        <v>688.19859268339746</v>
      </c>
      <c r="S64" s="62">
        <f ca="1">AVERAGE(OFFSET($R$3,0,0,'Données projet'!$E$9+1,1))-AVERAGE(OFFSET($H$3,0,0,'Données projet'!$E$9+1,1))</f>
        <v>263.85754879271406</v>
      </c>
      <c r="T64" s="62">
        <f t="shared" si="34"/>
        <v>157.75772798974242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-5.1431925385259088E-14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313.28865457002252</v>
      </c>
      <c r="AO64" s="62">
        <f t="shared" si="36"/>
        <v>438.23149076517115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0.3572868812975038</v>
      </c>
      <c r="AV64" s="23">
        <f>EXP(-LN(2)/25)*AV63+(1-EXP(-LN(2)/25))/(LN(2)/25)*Calculateur!AQ64*Calculateur!AS64*VLOOKUP('Données projet'!$B$10,Paramètres!$A$1:$I$89,3,0)*0.475*44/12</f>
        <v>0.48718188760071096</v>
      </c>
      <c r="AW64" s="23">
        <f>EXP(-LN(2)/2)*AW63+(1-EXP(-LN(2)/2))/(LN(2)/2)*AQ64*AT64*VLOOKUP('Données projet'!$B$10,Paramètres!$A$1:$I$89,3,0)*0.475*44/12</f>
        <v>1.0132220717621114E-4</v>
      </c>
      <c r="AX64" s="23">
        <f t="shared" si="6"/>
        <v>0.84457009110539094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34.658000000000008</v>
      </c>
      <c r="D65" s="12">
        <f t="shared" si="32"/>
        <v>10.571154864281649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349.13733579445488</v>
      </c>
      <c r="H65" s="70">
        <f t="shared" si="1"/>
        <v>372.10744472195717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207.40000000000006</v>
      </c>
      <c r="O65" s="14">
        <f>N65*VLOOKUP('Données projet'!$B$9,Paramètres!$A$1:$I$89,3,0)*VLOOKUP('Données projet'!$B$9,Paramètres!$A$1:$I$89,5,0)</f>
        <v>187.65552000000005</v>
      </c>
      <c r="P65" s="14">
        <f t="shared" si="33"/>
        <v>47.021247649900147</v>
      </c>
      <c r="Q65" s="22">
        <f t="shared" si="53"/>
        <v>408.72870365690954</v>
      </c>
      <c r="R65" s="62">
        <f t="shared" si="0"/>
        <v>702.06203699024286</v>
      </c>
      <c r="S65" s="62">
        <f ca="1">AVERAGE(OFFSET($R$3,0,0,'Données projet'!$E$9+1,1))-AVERAGE(OFFSET($H$3,0,0,'Données projet'!$E$9+1,1))</f>
        <v>263.85754879271406</v>
      </c>
      <c r="T65" s="62">
        <f t="shared" si="34"/>
        <v>157.75772798974242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-5.1431925385259088E-14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313.28865457002252</v>
      </c>
      <c r="AO65" s="62">
        <f t="shared" si="36"/>
        <v>438.23149076517115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0.35028070347873919</v>
      </c>
      <c r="AV65" s="23">
        <f>EXP(-LN(2)/25)*AV64+(1-EXP(-LN(2)/25))/(LN(2)/25)*Calculateur!AQ65*Calculateur!AS65*VLOOKUP('Données projet'!$B$10,Paramètres!$A$1:$I$89,3,0)*0.475*44/12</f>
        <v>0.47385987326448753</v>
      </c>
      <c r="AW65" s="23">
        <f>EXP(-LN(2)/2)*AW64+(1-EXP(-LN(2)/2))/(LN(2)/2)*AQ65*AT65*VLOOKUP('Données projet'!$B$10,Paramètres!$A$1:$I$89,3,0)*0.475*44/12</f>
        <v>7.1645619779087165E-5</v>
      </c>
      <c r="AX65" s="23">
        <f t="shared" si="6"/>
        <v>0.82421222236300584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35.217000000000006</v>
      </c>
      <c r="D66" s="12">
        <f t="shared" si="32"/>
        <v>10.721670290761447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354.6142969813165</v>
      </c>
      <c r="H66" s="70">
        <f t="shared" si="1"/>
        <v>373.34318408974286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214.60000000000005</v>
      </c>
      <c r="O66" s="14">
        <f>N66*VLOOKUP('Données projet'!$B$9,Paramètres!$A$1:$I$89,3,0)*VLOOKUP('Données projet'!$B$9,Paramètres!$A$1:$I$89,5,0)</f>
        <v>194.17008000000004</v>
      </c>
      <c r="P66" s="14">
        <f t="shared" si="33"/>
        <v>48.460730182351078</v>
      </c>
      <c r="Q66" s="22">
        <f t="shared" si="53"/>
        <v>422.58199440092818</v>
      </c>
      <c r="R66" s="62">
        <f t="shared" si="0"/>
        <v>715.9153277342615</v>
      </c>
      <c r="S66" s="62">
        <f ca="1">AVERAGE(OFFSET($R$3,0,0,'Données projet'!$E$9+1,1))-AVERAGE(OFFSET($H$3,0,0,'Données projet'!$E$9+1,1))</f>
        <v>263.85754879271406</v>
      </c>
      <c r="T66" s="62">
        <f t="shared" si="34"/>
        <v>157.75772798974242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-5.1431925385259088E-14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313.28865457002252</v>
      </c>
      <c r="AO66" s="62">
        <f t="shared" si="36"/>
        <v>438.23149076517115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0.34341191253365405</v>
      </c>
      <c r="AV66" s="23">
        <f>EXP(-LN(2)/25)*AV65+(1-EXP(-LN(2)/25))/(LN(2)/25)*Calculateur!AQ66*Calculateur!AS66*VLOOKUP('Données projet'!$B$10,Paramètres!$A$1:$I$89,3,0)*0.475*44/12</f>
        <v>0.46090215011086239</v>
      </c>
      <c r="AW66" s="23">
        <f>EXP(-LN(2)/2)*AW65+(1-EXP(-LN(2)/2))/(LN(2)/2)*AQ66*AT66*VLOOKUP('Données projet'!$B$10,Paramètres!$A$1:$I$89,3,0)*0.475*44/12</f>
        <v>5.066110358810557E-5</v>
      </c>
      <c r="AX66" s="23">
        <f t="shared" si="6"/>
        <v>0.80436472374810453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35.776000000000003</v>
      </c>
      <c r="D67" s="12">
        <f t="shared" si="32"/>
        <v>10.871907866485202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360.0891133553244</v>
      </c>
      <c r="H67" s="70">
        <f t="shared" si="1"/>
        <v>374.57843953412839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221.80000000000004</v>
      </c>
      <c r="O67" s="14">
        <f>N67*VLOOKUP('Données projet'!$B$9,Paramètres!$A$1:$I$89,3,0)*VLOOKUP('Données projet'!$B$9,Paramètres!$A$1:$I$89,5,0)</f>
        <v>200.68464</v>
      </c>
      <c r="P67" s="14">
        <f t="shared" si="33"/>
        <v>49.894600936700193</v>
      </c>
      <c r="Q67" s="22">
        <f t="shared" ref="Q67:Q98" si="54">(O67+P67)*0.475*44/12</f>
        <v>436.42551129808612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263.85754879271406</v>
      </c>
      <c r="T67" s="62">
        <f t="shared" si="34"/>
        <v>157.75772798974242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-5.1431925385259088E-14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313.28865457002252</v>
      </c>
      <c r="AO67" s="62">
        <f t="shared" si="36"/>
        <v>438.23149076517115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0.33667781438945321</v>
      </c>
      <c r="AV67" s="23">
        <f>EXP(-LN(2)/25)*AV66+(1-EXP(-LN(2)/25))/(LN(2)/25)*Calculateur!AQ67*Calculateur!AS67*VLOOKUP('Données projet'!$B$10,Paramètres!$A$1:$I$89,3,0)*0.475*44/12</f>
        <v>0.44829875657829016</v>
      </c>
      <c r="AW67" s="23">
        <f>EXP(-LN(2)/2)*AW66+(1-EXP(-LN(2)/2))/(LN(2)/2)*AQ67*AT67*VLOOKUP('Données projet'!$B$10,Paramètres!$A$1:$I$89,3,0)*0.475*44/12</f>
        <v>3.5822809889543583E-5</v>
      </c>
      <c r="AX67" s="23">
        <f t="shared" si="6"/>
        <v>0.78501239377763299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36.335000000000001</v>
      </c>
      <c r="D68" s="12">
        <f t="shared" si="32"/>
        <v>11.02187243420407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365.56182229911923</v>
      </c>
      <c r="H68" s="70">
        <f t="shared" ref="H68:H131" si="56">(B68+E68+F68)*44/12+(C68+D68)*0.475*44/12</f>
        <v>375.81321948957208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229.00000000000003</v>
      </c>
      <c r="O68" s="14">
        <f>N68*VLOOKUP('Données projet'!$B$9,Paramètres!$A$1:$I$89,3,0)*VLOOKUP('Données projet'!$B$9,Paramètres!$A$1:$I$89,5,0)</f>
        <v>207.19919999999999</v>
      </c>
      <c r="P68" s="14">
        <f t="shared" si="33"/>
        <v>51.32306297366555</v>
      </c>
      <c r="Q68" s="22">
        <f t="shared" si="54"/>
        <v>450.25960801246742</v>
      </c>
      <c r="R68" s="62">
        <f t="shared" si="55"/>
        <v>743.59294134580068</v>
      </c>
      <c r="S68" s="62">
        <f ca="1">AVERAGE(OFFSET($R$3,0,0,'Données projet'!$E$9+1,1))-AVERAGE(OFFSET($H$3,0,0,'Données projet'!$E$9+1,1))</f>
        <v>263.85754879271406</v>
      </c>
      <c r="T68" s="62">
        <f t="shared" si="34"/>
        <v>157.75772798974242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21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-5.1431925385259088E-14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313.28865457002252</v>
      </c>
      <c r="AO68" s="62">
        <f t="shared" si="36"/>
        <v>438.23149076517115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0.33007576780246589</v>
      </c>
      <c r="AV68" s="23">
        <f>EXP(-LN(2)/25)*AV67+(1-EXP(-LN(2)/25))/(LN(2)/25)*Calculateur!AQ68*Calculateur!AS68*VLOOKUP('Données projet'!$B$10,Paramètres!$A$1:$I$89,3,0)*0.475*44/12</f>
        <v>0.43604000350464983</v>
      </c>
      <c r="AW68" s="23">
        <f>EXP(-LN(2)/2)*AW67+(1-EXP(-LN(2)/2))/(LN(2)/2)*AQ68*AT68*VLOOKUP('Données projet'!$B$10,Paramètres!$A$1:$I$89,3,0)*0.475*44/12</f>
        <v>2.5330551794052785E-5</v>
      </c>
      <c r="AX68" s="23">
        <f t="shared" ref="AX68:AX131" si="60">SUM(AU68:AW68)</f>
        <v>0.76614110185890982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36.893999999999998</v>
      </c>
      <c r="D69" s="12">
        <f t="shared" ref="D69:D132" si="86">IFERROR(EXP(-1.0587+0.8836*LN(C69)+0.284),0)</f>
        <v>11.17156867911179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371.03245997910858</v>
      </c>
      <c r="H69" s="70">
        <f t="shared" si="56"/>
        <v>377.04753211611967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214.80000000000004</v>
      </c>
      <c r="O69" s="14">
        <f>N69*VLOOKUP('Données projet'!$B$9,Paramètres!$A$1:$I$89,3,0)*VLOOKUP('Données projet'!$B$9,Paramètres!$A$1:$I$89,5,0)</f>
        <v>194.35104000000004</v>
      </c>
      <c r="P69" s="14">
        <f t="shared" ref="P69:P132" si="87">EXP(-1.0587+0.8836*LN(O69)+0.284)</f>
        <v>48.500634729810159</v>
      </c>
      <c r="Q69" s="22">
        <f t="shared" si="54"/>
        <v>422.96666682108616</v>
      </c>
      <c r="R69" s="62">
        <f t="shared" si="55"/>
        <v>716.30000015441942</v>
      </c>
      <c r="S69" s="62">
        <f ca="1">AVERAGE(OFFSET($R$3,0,0,'Données projet'!$E$9+1,1))-AVERAGE(OFFSET($H$3,0,0,'Données projet'!$E$9+1,1))</f>
        <v>263.85754879271406</v>
      </c>
      <c r="T69" s="62">
        <f t="shared" ref="T69:T132" si="88">$T$3</f>
        <v>157.75772798974242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-5.1431925385259088E-14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313.28865457002252</v>
      </c>
      <c r="AO69" s="62">
        <f t="shared" ref="AO69:AO132" si="90">$AO$3</f>
        <v>438.23149076517115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0.32360318332219856</v>
      </c>
      <c r="AV69" s="23">
        <f>EXP(-LN(2)/25)*AV68+(1-EXP(-LN(2)/25))/(LN(2)/25)*Calculateur!AQ69*Calculateur!AS69*VLOOKUP('Données projet'!$B$10,Paramètres!$A$1:$I$89,3,0)*0.475*44/12</f>
        <v>0.42411646667846797</v>
      </c>
      <c r="AW69" s="23">
        <f>EXP(-LN(2)/2)*AW68+(1-EXP(-LN(2)/2))/(LN(2)/2)*AQ69*AT69*VLOOKUP('Données projet'!$B$10,Paramètres!$A$1:$I$89,3,0)*0.475*44/12</f>
        <v>1.7911404944771791E-5</v>
      </c>
      <c r="AX69" s="23">
        <f t="shared" si="60"/>
        <v>0.74773756140561132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37.452999999999996</v>
      </c>
      <c r="D70" s="12">
        <f t="shared" si="86"/>
        <v>11.321001136278802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376.50106140285385</v>
      </c>
      <c r="H70" s="70">
        <f t="shared" si="56"/>
        <v>378.2813853123522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221.60000000000005</v>
      </c>
      <c r="O70" s="14">
        <f>N70*VLOOKUP('Données projet'!$B$9,Paramètres!$A$1:$I$89,3,0)*VLOOKUP('Données projet'!$B$9,Paramètres!$A$1:$I$89,5,0)</f>
        <v>200.50368000000003</v>
      </c>
      <c r="P70" s="14">
        <f t="shared" si="87"/>
        <v>49.854845135229887</v>
      </c>
      <c r="Q70" s="22">
        <f t="shared" si="54"/>
        <v>436.04109794385869</v>
      </c>
      <c r="R70" s="62">
        <f t="shared" si="55"/>
        <v>729.374431277192</v>
      </c>
      <c r="S70" s="62">
        <f ca="1">AVERAGE(OFFSET($R$3,0,0,'Données projet'!$E$9+1,1))-AVERAGE(OFFSET($H$3,0,0,'Données projet'!$E$9+1,1))</f>
        <v>263.85754879271406</v>
      </c>
      <c r="T70" s="62">
        <f t="shared" si="88"/>
        <v>157.75772798974242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-5.1431925385259088E-14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313.28865457002252</v>
      </c>
      <c r="AO70" s="62">
        <f t="shared" si="90"/>
        <v>438.23149076517115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0.31725752227570259</v>
      </c>
      <c r="AV70" s="23">
        <f>EXP(-LN(2)/25)*AV69+(1-EXP(-LN(2)/25))/(LN(2)/25)*Calculateur!AQ70*Calculateur!AS70*VLOOKUP('Données projet'!$B$10,Paramètres!$A$1:$I$89,3,0)*0.475*44/12</f>
        <v>0.4125189795938296</v>
      </c>
      <c r="AW70" s="23">
        <f>EXP(-LN(2)/2)*AW69+(1-EXP(-LN(2)/2))/(LN(2)/2)*AQ70*AT70*VLOOKUP('Données projet'!$B$10,Paramètres!$A$1:$I$89,3,0)*0.475*44/12</f>
        <v>1.2665275897026393E-5</v>
      </c>
      <c r="AX70" s="23">
        <f t="shared" si="60"/>
        <v>0.72978916714542919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38.011999999999993</v>
      </c>
      <c r="D71" s="12">
        <f t="shared" si="86"/>
        <v>11.470174197629985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381.96766047293323</v>
      </c>
      <c r="H71" s="70">
        <f t="shared" si="56"/>
        <v>379.51478672753888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228.40000000000006</v>
      </c>
      <c r="O71" s="14">
        <f>N71*VLOOKUP('Données projet'!$B$9,Paramètres!$A$1:$I$89,3,0)*VLOOKUP('Données projet'!$B$9,Paramètres!$A$1:$I$89,5,0)</f>
        <v>206.65632000000005</v>
      </c>
      <c r="P71" s="14">
        <f t="shared" si="87"/>
        <v>51.20422634371338</v>
      </c>
      <c r="Q71" s="22">
        <f t="shared" si="54"/>
        <v>449.10711821530089</v>
      </c>
      <c r="R71" s="62">
        <f t="shared" si="55"/>
        <v>742.4404515486342</v>
      </c>
      <c r="S71" s="62">
        <f ca="1">AVERAGE(OFFSET($R$3,0,0,'Données projet'!$E$9+1,1))-AVERAGE(OFFSET($H$3,0,0,'Données projet'!$E$9+1,1))</f>
        <v>263.85754879271406</v>
      </c>
      <c r="T71" s="62">
        <f t="shared" si="88"/>
        <v>157.75772798974242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-5.1431925385259088E-14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313.28865457002252</v>
      </c>
      <c r="AO71" s="62">
        <f t="shared" si="90"/>
        <v>438.23149076517115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0.31103629577185732</v>
      </c>
      <c r="AV71" s="23">
        <f>EXP(-LN(2)/25)*AV70+(1-EXP(-LN(2)/25))/(LN(2)/25)*Calculateur!AQ71*Calculateur!AS71*VLOOKUP('Données projet'!$B$10,Paramètres!$A$1:$I$89,3,0)*0.475*44/12</f>
        <v>0.40123862640340602</v>
      </c>
      <c r="AW71" s="23">
        <f>EXP(-LN(2)/2)*AW70+(1-EXP(-LN(2)/2))/(LN(2)/2)*AQ71*AT71*VLOOKUP('Données projet'!$B$10,Paramètres!$A$1:$I$89,3,0)*0.475*44/12</f>
        <v>8.9557024723858957E-6</v>
      </c>
      <c r="AX71" s="23">
        <f t="shared" si="60"/>
        <v>0.71228387787773573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38.570999999999991</v>
      </c>
      <c r="D72" s="12">
        <f t="shared" si="86"/>
        <v>11.619092118500239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387.43229003754567</v>
      </c>
      <c r="H72" s="70">
        <f t="shared" si="56"/>
        <v>380.74774377305454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235.20000000000007</v>
      </c>
      <c r="O72" s="14">
        <f>N72*VLOOKUP('Données projet'!$B$9,Paramètres!$A$1:$I$89,3,0)*VLOOKUP('Données projet'!$B$9,Paramètres!$A$1:$I$89,5,0)</f>
        <v>212.80896000000004</v>
      </c>
      <c r="P72" s="14">
        <f t="shared" si="87"/>
        <v>52.54893863748589</v>
      </c>
      <c r="Q72" s="22">
        <f t="shared" si="54"/>
        <v>462.16500679362139</v>
      </c>
      <c r="R72" s="62">
        <f t="shared" si="55"/>
        <v>755.49834012695464</v>
      </c>
      <c r="S72" s="62">
        <f ca="1">AVERAGE(OFFSET($R$3,0,0,'Données projet'!$E$9+1,1))-AVERAGE(OFFSET($H$3,0,0,'Données projet'!$E$9+1,1))</f>
        <v>263.85754879271406</v>
      </c>
      <c r="T72" s="62">
        <f t="shared" si="88"/>
        <v>157.75772798974242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-5.1431925385259088E-14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313.28865457002252</v>
      </c>
      <c r="AO72" s="62">
        <f t="shared" si="90"/>
        <v>438.23149076517115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0.30493706372517898</v>
      </c>
      <c r="AV72" s="23">
        <f>EXP(-LN(2)/25)*AV71+(1-EXP(-LN(2)/25))/(LN(2)/25)*Calculateur!AQ72*Calculateur!AS72*VLOOKUP('Données projet'!$B$10,Paramètres!$A$1:$I$89,3,0)*0.475*44/12</f>
        <v>0.39026673506418258</v>
      </c>
      <c r="AW72" s="23">
        <f>EXP(-LN(2)/2)*AW71+(1-EXP(-LN(2)/2))/(LN(2)/2)*AQ72*AT72*VLOOKUP('Données projet'!$B$10,Paramètres!$A$1:$I$89,3,0)*0.475*44/12</f>
        <v>6.3326379485131963E-6</v>
      </c>
      <c r="AX72" s="23">
        <f t="shared" si="60"/>
        <v>0.69521013142731003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39.129999999999988</v>
      </c>
      <c r="D73" s="12">
        <f t="shared" si="86"/>
        <v>11.767759023799293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392.89498193809976</v>
      </c>
      <c r="H73" s="70">
        <f t="shared" si="56"/>
        <v>381.98026363311709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242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242.00000000000009</v>
      </c>
      <c r="O73" s="14">
        <f>N73*VLOOKUP('Données projet'!$B$9,Paramètres!$A$1:$I$89,3,0)*VLOOKUP('Données projet'!$B$9,Paramètres!$A$1:$I$89,5,0)</f>
        <v>218.96160000000006</v>
      </c>
      <c r="P73" s="14">
        <f t="shared" si="87"/>
        <v>53.88913250370743</v>
      </c>
      <c r="Q73" s="22">
        <f t="shared" si="54"/>
        <v>475.21502577729046</v>
      </c>
      <c r="R73" s="62">
        <f t="shared" si="55"/>
        <v>768.54835911062378</v>
      </c>
      <c r="S73" s="62">
        <f ca="1">AVERAGE(OFFSET($R$3,0,0,'Données projet'!$E$9+1,1))-AVERAGE(OFFSET($H$3,0,0,'Données projet'!$E$9+1,1))</f>
        <v>263.85754879271406</v>
      </c>
      <c r="T73" s="62">
        <f t="shared" si="88"/>
        <v>157.75772798974242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21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-5.1431925385259088E-14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313.28865457002252</v>
      </c>
      <c r="AO73" s="62">
        <f t="shared" si="90"/>
        <v>438.23149076517115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0.29895743389877177</v>
      </c>
      <c r="AV73" s="23">
        <f>EXP(-LN(2)/25)*AV72+(1-EXP(-LN(2)/25))/(LN(2)/25)*Calculateur!AQ73*Calculateur!AS73*VLOOKUP('Données projet'!$B$10,Paramètres!$A$1:$I$89,3,0)*0.475*44/12</f>
        <v>0.37959487067061687</v>
      </c>
      <c r="AW73" s="23">
        <f>EXP(-LN(2)/2)*AW72+(1-EXP(-LN(2)/2))/(LN(2)/2)*AQ73*AT73*VLOOKUP('Données projet'!$B$10,Paramètres!$A$1:$I$89,3,0)*0.475*44/12</f>
        <v>4.4778512361929478E-6</v>
      </c>
      <c r="AX73" s="23">
        <f t="shared" si="60"/>
        <v>0.67855678242062478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39.688999999999986</v>
      </c>
      <c r="D74" s="12">
        <f t="shared" si="86"/>
        <v>11.916178913814131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398.35576705400371</v>
      </c>
      <c r="H74" s="70">
        <f t="shared" si="56"/>
        <v>383.21235327489291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6.4</v>
      </c>
      <c r="N74" s="14">
        <f>IF('Données projet'!$A$36&gt;35,N73+M74-V73,IF(A74&lt;'Données projet'!$A$36,$K$205^A74,IF(A74='Données projet'!$A$36,'Données projet'!$B$36,N73+M74-V73)))</f>
        <v>227.40000000000009</v>
      </c>
      <c r="O74" s="14">
        <f>N74*VLOOKUP('Données projet'!$B$9,Paramètres!$A$1:$I$89,3,0)*VLOOKUP('Données projet'!$B$9,Paramètres!$A$1:$I$89,5,0)</f>
        <v>205.75152000000008</v>
      </c>
      <c r="P74" s="14">
        <f t="shared" si="87"/>
        <v>51.006084477955554</v>
      </c>
      <c r="Q74" s="22">
        <f t="shared" si="54"/>
        <v>447.18616113243934</v>
      </c>
      <c r="R74" s="62">
        <f t="shared" si="55"/>
        <v>740.5194944657726</v>
      </c>
      <c r="S74" s="62">
        <f ca="1">AVERAGE(OFFSET($R$3,0,0,'Données projet'!$E$9+1,1))-AVERAGE(OFFSET($H$3,0,0,'Données projet'!$E$9+1,1))</f>
        <v>263.85754879271406</v>
      </c>
      <c r="T74" s="62">
        <f t="shared" si="88"/>
        <v>157.75772798974242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-5.1431925385259088E-14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313.28865457002252</v>
      </c>
      <c r="AO74" s="62">
        <f t="shared" si="90"/>
        <v>438.23149076517115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0.29309506096604637</v>
      </c>
      <c r="AV74" s="23">
        <f>EXP(-LN(2)/25)*AV73+(1-EXP(-LN(2)/25))/(LN(2)/25)*Calculateur!AQ74*Calculateur!AS74*VLOOKUP('Données projet'!$B$10,Paramètres!$A$1:$I$89,3,0)*0.475*44/12</f>
        <v>0.36921482897010216</v>
      </c>
      <c r="AW74" s="23">
        <f>EXP(-LN(2)/2)*AW73+(1-EXP(-LN(2)/2))/(LN(2)/2)*AQ74*AT74*VLOOKUP('Données projet'!$B$10,Paramètres!$A$1:$I$89,3,0)*0.475*44/12</f>
        <v>3.1663189742565981E-6</v>
      </c>
      <c r="AX74" s="23">
        <f t="shared" si="60"/>
        <v>0.66231305625512282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40.247999999999983</v>
      </c>
      <c r="D75" s="12">
        <f t="shared" si="86"/>
        <v>12.064355669675358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403.81467534486228</v>
      </c>
      <c r="H75" s="70">
        <f t="shared" si="56"/>
        <v>384.44401945801786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6.4</v>
      </c>
      <c r="N75" s="14">
        <f>IF('Données projet'!$A$36&gt;35,N74+M75-V74,IF(A75&lt;'Données projet'!$A$36,$K$205^A75,IF(A75='Données projet'!$A$36,'Données projet'!$B$36,N74+M75-V74)))</f>
        <v>233.8000000000001</v>
      </c>
      <c r="O75" s="14">
        <f>N75*VLOOKUP('Données projet'!$B$9,Paramètres!$A$1:$I$89,3,0)*VLOOKUP('Données projet'!$B$9,Paramètres!$A$1:$I$89,5,0)</f>
        <v>211.54224000000008</v>
      </c>
      <c r="P75" s="14">
        <f t="shared" si="87"/>
        <v>52.272460284041784</v>
      </c>
      <c r="Q75" s="22">
        <f t="shared" si="54"/>
        <v>459.47726966137287</v>
      </c>
      <c r="R75" s="62">
        <f t="shared" si="55"/>
        <v>752.81060299470619</v>
      </c>
      <c r="S75" s="62">
        <f ca="1">AVERAGE(OFFSET($R$3,0,0,'Données projet'!$E$9+1,1))-AVERAGE(OFFSET($H$3,0,0,'Données projet'!$E$9+1,1))</f>
        <v>263.85754879271406</v>
      </c>
      <c r="T75" s="62">
        <f t="shared" si="88"/>
        <v>157.75772798974242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-5.1431925385259088E-14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313.28865457002252</v>
      </c>
      <c r="AO75" s="62">
        <f t="shared" si="90"/>
        <v>438.23149076517115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0.28734764559083731</v>
      </c>
      <c r="AV75" s="23">
        <f>EXP(-LN(2)/25)*AV74+(1-EXP(-LN(2)/25))/(LN(2)/25)*Calculateur!AQ75*Calculateur!AS75*VLOOKUP('Données projet'!$B$10,Paramètres!$A$1:$I$89,3,0)*0.475*44/12</f>
        <v>0.35911863005575073</v>
      </c>
      <c r="AW75" s="23">
        <f>EXP(-LN(2)/2)*AW74+(1-EXP(-LN(2)/2))/(LN(2)/2)*AQ75*AT75*VLOOKUP('Données projet'!$B$10,Paramètres!$A$1:$I$89,3,0)*0.475*44/12</f>
        <v>2.2389256180964739E-6</v>
      </c>
      <c r="AX75" s="23">
        <f t="shared" si="60"/>
        <v>0.64646851457220611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40.806999999999981</v>
      </c>
      <c r="D76" s="12">
        <f t="shared" si="86"/>
        <v>12.212293058511113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409.27173589026114</v>
      </c>
      <c r="H76" s="70">
        <f t="shared" si="56"/>
        <v>385.67526874357344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6.4</v>
      </c>
      <c r="N76" s="14">
        <f>IF('Données projet'!$A$36&gt;35,N75+M76-V75,IF(A76&lt;'Données projet'!$A$36,$K$205^A76,IF(A76='Données projet'!$A$36,'Données projet'!$B$36,N75+M76-V75)))</f>
        <v>240.2000000000001</v>
      </c>
      <c r="O76" s="14">
        <f>N76*VLOOKUP('Données projet'!$B$9,Paramètres!$A$1:$I$89,3,0)*VLOOKUP('Données projet'!$B$9,Paramètres!$A$1:$I$89,5,0)</f>
        <v>217.3329600000001</v>
      </c>
      <c r="P76" s="14">
        <f t="shared" si="87"/>
        <v>53.53480691026855</v>
      </c>
      <c r="Q76" s="22">
        <f t="shared" si="54"/>
        <v>471.76136070205121</v>
      </c>
      <c r="R76" s="62">
        <f t="shared" si="55"/>
        <v>765.09469403538446</v>
      </c>
      <c r="S76" s="62">
        <f ca="1">AVERAGE(OFFSET($R$3,0,0,'Données projet'!$E$9+1,1))-AVERAGE(OFFSET($H$3,0,0,'Données projet'!$E$9+1,1))</f>
        <v>263.85754879271406</v>
      </c>
      <c r="T76" s="62">
        <f t="shared" si="88"/>
        <v>157.75772798974242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-5.1431925385259088E-14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313.28865457002252</v>
      </c>
      <c r="AO76" s="62">
        <f t="shared" si="90"/>
        <v>438.23149076517115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0.28171293352555882</v>
      </c>
      <c r="AV76" s="23">
        <f>EXP(-LN(2)/25)*AV75+(1-EXP(-LN(2)/25))/(LN(2)/25)*Calculateur!AQ76*Calculateur!AS76*VLOOKUP('Données projet'!$B$10,Paramètres!$A$1:$I$89,3,0)*0.475*44/12</f>
        <v>0.34929851223164826</v>
      </c>
      <c r="AW76" s="23">
        <f>EXP(-LN(2)/2)*AW75+(1-EXP(-LN(2)/2))/(LN(2)/2)*AQ76*AT76*VLOOKUP('Données projet'!$B$10,Paramètres!$A$1:$I$89,3,0)*0.475*44/12</f>
        <v>1.5831594871282991E-6</v>
      </c>
      <c r="AX76" s="23">
        <f t="shared" si="60"/>
        <v>0.63101302891669431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41.365999999999978</v>
      </c>
      <c r="D77" s="12">
        <f t="shared" si="86"/>
        <v>12.359994738310659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414.72697692731026</v>
      </c>
      <c r="H77" s="70">
        <f t="shared" si="56"/>
        <v>386.90610750255769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6.4</v>
      </c>
      <c r="N77" s="14">
        <f>IF('Données projet'!$A$36&gt;35,N76+M77-V76,IF(A77&lt;'Données projet'!$A$36,$K$205^A77,IF(A77='Données projet'!$A$36,'Données projet'!$B$36,N76+M77-V76)))</f>
        <v>246.60000000000011</v>
      </c>
      <c r="O77" s="14">
        <f>N77*VLOOKUP('Données projet'!$B$9,Paramètres!$A$1:$I$89,3,0)*VLOOKUP('Données projet'!$B$9,Paramètres!$A$1:$I$89,5,0)</f>
        <v>223.12368000000009</v>
      </c>
      <c r="P77" s="14">
        <f t="shared" si="87"/>
        <v>54.793244051140647</v>
      </c>
      <c r="Q77" s="22">
        <f t="shared" si="54"/>
        <v>484.03864272240349</v>
      </c>
      <c r="R77" s="62">
        <f t="shared" si="55"/>
        <v>777.37197605573681</v>
      </c>
      <c r="S77" s="62">
        <f ca="1">AVERAGE(OFFSET($R$3,0,0,'Données projet'!$E$9+1,1))-AVERAGE(OFFSET($H$3,0,0,'Données projet'!$E$9+1,1))</f>
        <v>263.85754879271406</v>
      </c>
      <c r="T77" s="62">
        <f t="shared" si="88"/>
        <v>157.75772798974242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-5.1431925385259088E-14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313.28865457002252</v>
      </c>
      <c r="AO77" s="62">
        <f t="shared" si="90"/>
        <v>438.23149076517115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0.27618871472704548</v>
      </c>
      <c r="AV77" s="23">
        <f>EXP(-LN(2)/25)*AV76+(1-EXP(-LN(2)/25))/(LN(2)/25)*Calculateur!AQ77*Calculateur!AS77*VLOOKUP('Données projet'!$B$10,Paramètres!$A$1:$I$89,3,0)*0.475*44/12</f>
        <v>0.33974692604586343</v>
      </c>
      <c r="AW77" s="23">
        <f>EXP(-LN(2)/2)*AW76+(1-EXP(-LN(2)/2))/(LN(2)/2)*AQ77*AT77*VLOOKUP('Données projet'!$B$10,Paramètres!$A$1:$I$89,3,0)*0.475*44/12</f>
        <v>1.119462809048237E-6</v>
      </c>
      <c r="AX77" s="23">
        <f t="shared" si="60"/>
        <v>0.61593676023571786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41.924999999999976</v>
      </c>
      <c r="D78" s="12">
        <f t="shared" si="86"/>
        <v>12.507464262517514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420.18042588609995</v>
      </c>
      <c r="H78" s="70">
        <f t="shared" si="56"/>
        <v>388.13654192388464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253</v>
      </c>
      <c r="L78" s="13">
        <f>VLOOKUP(A78,'Données projet'!$A$35:$I$55,9,0)</f>
        <v>6.4</v>
      </c>
      <c r="M78" s="13">
        <f t="array" ref="M78">INDEX(L:L,MIN(IF(ISNUMBER(L78:L274),ROW(L78:L274),"")))</f>
        <v>6.4</v>
      </c>
      <c r="N78" s="14">
        <f>IF('Données projet'!$A$36&gt;35,N77+M78-V77,IF(A78&lt;'Données projet'!$A$36,$K$205^A78,IF(A78='Données projet'!$A$36,'Données projet'!$B$36,N77+M78-V77)))</f>
        <v>253.00000000000011</v>
      </c>
      <c r="O78" s="14">
        <f>N78*VLOOKUP('Données projet'!$B$9,Paramètres!$A$1:$I$89,3,0)*VLOOKUP('Données projet'!$B$9,Paramètres!$A$1:$I$89,5,0)</f>
        <v>228.91440000000011</v>
      </c>
      <c r="P78" s="14">
        <f t="shared" si="87"/>
        <v>56.047884834417474</v>
      </c>
      <c r="Q78" s="22">
        <f t="shared" si="54"/>
        <v>496.30931275327725</v>
      </c>
      <c r="R78" s="62">
        <f t="shared" si="55"/>
        <v>789.64264608661051</v>
      </c>
      <c r="S78" s="62">
        <f ca="1">AVERAGE(OFFSET($R$3,0,0,'Données projet'!$E$9+1,1))-AVERAGE(OFFSET($H$3,0,0,'Données projet'!$E$9+1,1))</f>
        <v>263.85754879271406</v>
      </c>
      <c r="T78" s="62">
        <f t="shared" si="88"/>
        <v>157.75772798974242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21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-5.1431925385259088E-14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313.28865457002252</v>
      </c>
      <c r="AO78" s="62">
        <f t="shared" si="90"/>
        <v>438.23149076517115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0.27077282248973022</v>
      </c>
      <c r="AV78" s="23">
        <f>EXP(-LN(2)/25)*AV77+(1-EXP(-LN(2)/25))/(LN(2)/25)*Calculateur!AQ78*Calculateur!AS78*VLOOKUP('Données projet'!$B$10,Paramètres!$A$1:$I$89,3,0)*0.475*44/12</f>
        <v>0.33045652848662493</v>
      </c>
      <c r="AW78" s="23">
        <f>EXP(-LN(2)/2)*AW77+(1-EXP(-LN(2)/2))/(LN(2)/2)*AQ78*AT78*VLOOKUP('Données projet'!$B$10,Paramètres!$A$1:$I$89,3,0)*0.475*44/12</f>
        <v>7.9157974356414953E-7</v>
      </c>
      <c r="AX78" s="23">
        <f t="shared" si="60"/>
        <v>0.60123014255609863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42.483999999999973</v>
      </c>
      <c r="D79" s="12">
        <f t="shared" si="86"/>
        <v>12.654705084370672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425.63210942321194</v>
      </c>
      <c r="H79" s="70">
        <f t="shared" si="56"/>
        <v>389.36657802194554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238.00000000000011</v>
      </c>
      <c r="O79" s="14">
        <f>N79*VLOOKUP('Données projet'!$B$9,Paramètres!$A$1:$I$89,3,0)*VLOOKUP('Données projet'!$B$9,Paramètres!$A$1:$I$89,5,0)</f>
        <v>215.34240000000008</v>
      </c>
      <c r="P79" s="14">
        <f t="shared" si="87"/>
        <v>53.101322124397257</v>
      </c>
      <c r="Q79" s="22">
        <f t="shared" si="54"/>
        <v>467.53948269999205</v>
      </c>
      <c r="R79" s="62">
        <f t="shared" si="55"/>
        <v>760.87281603332531</v>
      </c>
      <c r="S79" s="62">
        <f ca="1">AVERAGE(OFFSET($R$3,0,0,'Données projet'!$E$9+1,1))-AVERAGE(OFFSET($H$3,0,0,'Données projet'!$E$9+1,1))</f>
        <v>263.85754879271406</v>
      </c>
      <c r="T79" s="62">
        <f t="shared" si="88"/>
        <v>157.75772798974242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-5.1431925385259088E-14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313.28865457002252</v>
      </c>
      <c r="AO79" s="62">
        <f t="shared" si="90"/>
        <v>438.23149076517115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0.26546313259582061</v>
      </c>
      <c r="AV79" s="23">
        <f>EXP(-LN(2)/25)*AV78+(1-EXP(-LN(2)/25))/(LN(2)/25)*Calculateur!AQ79*Calculateur!AS79*VLOOKUP('Données projet'!$B$10,Paramètres!$A$1:$I$89,3,0)*0.475*44/12</f>
        <v>0.32142017733720463</v>
      </c>
      <c r="AW79" s="23">
        <f>EXP(-LN(2)/2)*AW78+(1-EXP(-LN(2)/2))/(LN(2)/2)*AQ79*AT79*VLOOKUP('Données projet'!$B$10,Paramètres!$A$1:$I$89,3,0)*0.475*44/12</f>
        <v>5.5973140452411848E-7</v>
      </c>
      <c r="AX79" s="23">
        <f t="shared" si="60"/>
        <v>0.58688386966442985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43.042999999999971</v>
      </c>
      <c r="D80" s="12">
        <f t="shared" si="86"/>
        <v>12.80172056101086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431.08205345341702</v>
      </c>
      <c r="H80" s="70">
        <f t="shared" si="56"/>
        <v>390.59622164376049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244.00000000000011</v>
      </c>
      <c r="O80" s="14">
        <f>N80*VLOOKUP('Données projet'!$B$9,Paramètres!$A$1:$I$89,3,0)*VLOOKUP('Données projet'!$B$9,Paramètres!$A$1:$I$89,5,0)</f>
        <v>220.77120000000011</v>
      </c>
      <c r="P80" s="14">
        <f t="shared" si="87"/>
        <v>54.28246807807983</v>
      </c>
      <c r="Q80" s="22">
        <f t="shared" si="54"/>
        <v>479.05180523598909</v>
      </c>
      <c r="R80" s="62">
        <f t="shared" si="55"/>
        <v>772.38513856932241</v>
      </c>
      <c r="S80" s="62">
        <f ca="1">AVERAGE(OFFSET($R$3,0,0,'Données projet'!$E$9+1,1))-AVERAGE(OFFSET($H$3,0,0,'Données projet'!$E$9+1,1))</f>
        <v>263.85754879271406</v>
      </c>
      <c r="T80" s="62">
        <f t="shared" si="88"/>
        <v>157.75772798974242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-5.1431925385259088E-14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313.28865457002252</v>
      </c>
      <c r="AO80" s="62">
        <f t="shared" si="90"/>
        <v>438.23149076517115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0.26025756248213949</v>
      </c>
      <c r="AV80" s="23">
        <f>EXP(-LN(2)/25)*AV79+(1-EXP(-LN(2)/25))/(LN(2)/25)*Calculateur!AQ80*Calculateur!AS80*VLOOKUP('Données projet'!$B$10,Paramètres!$A$1:$I$89,3,0)*0.475*44/12</f>
        <v>0.31263092568516626</v>
      </c>
      <c r="AW80" s="23">
        <f>EXP(-LN(2)/2)*AW79+(1-EXP(-LN(2)/2))/(LN(2)/2)*AQ80*AT80*VLOOKUP('Données projet'!$B$10,Paramètres!$A$1:$I$89,3,0)*0.475*44/12</f>
        <v>3.9578987178207477E-7</v>
      </c>
      <c r="AX80" s="23">
        <f t="shared" si="60"/>
        <v>0.57288888395717752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43.601999999999968</v>
      </c>
      <c r="D81" s="12">
        <f t="shared" si="86"/>
        <v>12.948513957367386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436.53028317967784</v>
      </c>
      <c r="H81" s="70">
        <f t="shared" si="56"/>
        <v>391.82547847574813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250.00000000000011</v>
      </c>
      <c r="O81" s="14">
        <f>N81*VLOOKUP('Données projet'!$B$9,Paramètres!$A$1:$I$89,3,0)*VLOOKUP('Données projet'!$B$9,Paramètres!$A$1:$I$89,5,0)</f>
        <v>226.2000000000001</v>
      </c>
      <c r="P81" s="14">
        <f t="shared" si="87"/>
        <v>55.460237717698156</v>
      </c>
      <c r="Q81" s="22">
        <f t="shared" si="54"/>
        <v>490.55824735832448</v>
      </c>
      <c r="R81" s="62">
        <f t="shared" si="55"/>
        <v>783.89158069165774</v>
      </c>
      <c r="S81" s="62">
        <f ca="1">AVERAGE(OFFSET($R$3,0,0,'Données projet'!$E$9+1,1))-AVERAGE(OFFSET($H$3,0,0,'Données projet'!$E$9+1,1))</f>
        <v>263.85754879271406</v>
      </c>
      <c r="T81" s="62">
        <f t="shared" si="88"/>
        <v>157.75772798974242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-5.1431925385259088E-14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313.28865457002252</v>
      </c>
      <c r="AO81" s="62">
        <f t="shared" si="90"/>
        <v>438.23149076517115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0.25515407042330346</v>
      </c>
      <c r="AV81" s="23">
        <f>EXP(-LN(2)/25)*AV80+(1-EXP(-LN(2)/25))/(LN(2)/25)*Calculateur!AQ81*Calculateur!AS81*VLOOKUP('Données projet'!$B$10,Paramètres!$A$1:$I$89,3,0)*0.475*44/12</f>
        <v>0.30408201658175954</v>
      </c>
      <c r="AW81" s="23">
        <f>EXP(-LN(2)/2)*AW80+(1-EXP(-LN(2)/2))/(LN(2)/2)*AQ81*AT81*VLOOKUP('Données projet'!$B$10,Paramètres!$A$1:$I$89,3,0)*0.475*44/12</f>
        <v>2.7986570226205924E-7</v>
      </c>
      <c r="AX81" s="23">
        <f t="shared" si="60"/>
        <v>0.55923636687076528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44.160999999999966</v>
      </c>
      <c r="D82" s="12">
        <f t="shared" si="86"/>
        <v>13.095088449839977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441.9768231215715</v>
      </c>
      <c r="H82" s="70">
        <f t="shared" si="56"/>
        <v>393.05435405013787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256.00000000000011</v>
      </c>
      <c r="O82" s="14">
        <f>N82*VLOOKUP('Données projet'!$B$9,Paramètres!$A$1:$I$89,3,0)*VLOOKUP('Données projet'!$B$9,Paramètres!$A$1:$I$89,5,0)</f>
        <v>231.62880000000007</v>
      </c>
      <c r="P82" s="14">
        <f t="shared" si="87"/>
        <v>56.63472139815827</v>
      </c>
      <c r="Q82" s="22">
        <f t="shared" si="54"/>
        <v>502.05896643512574</v>
      </c>
      <c r="R82" s="62">
        <f t="shared" si="55"/>
        <v>795.392299768459</v>
      </c>
      <c r="S82" s="62">
        <f ca="1">AVERAGE(OFFSET($R$3,0,0,'Données projet'!$E$9+1,1))-AVERAGE(OFFSET($H$3,0,0,'Données projet'!$E$9+1,1))</f>
        <v>263.85754879271406</v>
      </c>
      <c r="T82" s="62">
        <f t="shared" si="88"/>
        <v>157.75772798974242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-5.1431925385259088E-14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313.28865457002252</v>
      </c>
      <c r="AO82" s="62">
        <f t="shared" si="90"/>
        <v>438.23149076517115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0.25015065473091841</v>
      </c>
      <c r="AV82" s="23">
        <f>EXP(-LN(2)/25)*AV81+(1-EXP(-LN(2)/25))/(LN(2)/25)*Calculateur!AQ82*Calculateur!AS82*VLOOKUP('Données projet'!$B$10,Paramètres!$A$1:$I$89,3,0)*0.475*44/12</f>
        <v>0.29576687784735306</v>
      </c>
      <c r="AW82" s="23">
        <f>EXP(-LN(2)/2)*AW81+(1-EXP(-LN(2)/2))/(LN(2)/2)*AQ82*AT82*VLOOKUP('Données projet'!$B$10,Paramètres!$A$1:$I$89,3,0)*0.475*44/12</f>
        <v>1.9789493589103738E-7</v>
      </c>
      <c r="AX82" s="23">
        <f t="shared" si="60"/>
        <v>0.54591773047320735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44.719999999999963</v>
      </c>
      <c r="D83" s="12">
        <f t="shared" si="86"/>
        <v>13.24144712978892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447.42169714222996</v>
      </c>
      <c r="H83" s="70">
        <f t="shared" si="56"/>
        <v>394.28285375104895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262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262.00000000000011</v>
      </c>
      <c r="O83" s="14">
        <f>N83*VLOOKUP('Données projet'!$B$9,Paramètres!$A$1:$I$89,3,0)*VLOOKUP('Données projet'!$B$9,Paramètres!$A$1:$I$89,5,0)</f>
        <v>237.05760000000012</v>
      </c>
      <c r="P83" s="14">
        <f t="shared" si="87"/>
        <v>57.806004997354698</v>
      </c>
      <c r="Q83" s="22">
        <f t="shared" si="54"/>
        <v>513.55411203705955</v>
      </c>
      <c r="R83" s="62">
        <f t="shared" si="55"/>
        <v>806.88744537039292</v>
      </c>
      <c r="S83" s="62">
        <f ca="1">AVERAGE(OFFSET($R$3,0,0,'Données projet'!$E$9+1,1))-AVERAGE(OFFSET($H$3,0,0,'Données projet'!$E$9+1,1))</f>
        <v>263.85754879271406</v>
      </c>
      <c r="T83" s="62">
        <f t="shared" si="88"/>
        <v>157.75772798974242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21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-5.1431925385259088E-14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313.28865457002252</v>
      </c>
      <c r="AO83" s="62">
        <f t="shared" si="90"/>
        <v>438.23149076517115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0.24524535296847877</v>
      </c>
      <c r="AV83" s="23">
        <f>EXP(-LN(2)/25)*AV82+(1-EXP(-LN(2)/25))/(LN(2)/25)*Calculateur!AQ83*Calculateur!AS83*VLOOKUP('Données projet'!$B$10,Paramètres!$A$1:$I$89,3,0)*0.475*44/12</f>
        <v>0.28767911701891308</v>
      </c>
      <c r="AW83" s="23">
        <f>EXP(-LN(2)/2)*AW82+(1-EXP(-LN(2)/2))/(LN(2)/2)*AQ83*AT83*VLOOKUP('Données projet'!$B$10,Paramètres!$A$1:$I$89,3,0)*0.475*44/12</f>
        <v>1.3993285113102962E-7</v>
      </c>
      <c r="AX83" s="23">
        <f t="shared" si="60"/>
        <v>0.53292460992024293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45.278999999999961</v>
      </c>
      <c r="D84" s="12">
        <f t="shared" si="86"/>
        <v>13.387593006845686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452.86492847389621</v>
      </c>
      <c r="H84" s="70">
        <f t="shared" si="56"/>
        <v>395.51098282025612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246.60000000000014</v>
      </c>
      <c r="O84" s="14">
        <f>N84*VLOOKUP('Données projet'!$B$9,Paramètres!$A$1:$I$89,3,0)*VLOOKUP('Données projet'!$B$9,Paramètres!$A$1:$I$89,5,0)</f>
        <v>223.12368000000012</v>
      </c>
      <c r="P84" s="14">
        <f t="shared" si="87"/>
        <v>54.793244051140647</v>
      </c>
      <c r="Q84" s="22">
        <f t="shared" si="54"/>
        <v>484.03864272240349</v>
      </c>
      <c r="R84" s="62">
        <f t="shared" si="55"/>
        <v>777.37197605573681</v>
      </c>
      <c r="S84" s="62">
        <f ca="1">AVERAGE(OFFSET($R$3,0,0,'Données projet'!$E$9+1,1))-AVERAGE(OFFSET($H$3,0,0,'Données projet'!$E$9+1,1))</f>
        <v>263.85754879271406</v>
      </c>
      <c r="T84" s="62">
        <f t="shared" si="88"/>
        <v>157.75772798974242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-5.1431925385259088E-14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313.28865457002252</v>
      </c>
      <c r="AO84" s="62">
        <f t="shared" si="90"/>
        <v>438.23149076517115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0.24043624118166193</v>
      </c>
      <c r="AV84" s="23">
        <f>EXP(-LN(2)/25)*AV83+(1-EXP(-LN(2)/25))/(LN(2)/25)*Calculateur!AQ84*Calculateur!AS84*VLOOKUP('Données projet'!$B$10,Paramètres!$A$1:$I$89,3,0)*0.475*44/12</f>
        <v>0.27981251643564364</v>
      </c>
      <c r="AW84" s="23">
        <f>EXP(-LN(2)/2)*AW83+(1-EXP(-LN(2)/2))/(LN(2)/2)*AQ84*AT84*VLOOKUP('Données projet'!$B$10,Paramètres!$A$1:$I$89,3,0)*0.475*44/12</f>
        <v>9.8947467945518691E-8</v>
      </c>
      <c r="AX84" s="23">
        <f t="shared" si="60"/>
        <v>0.5202488565647736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45.837999999999958</v>
      </c>
      <c r="D85" s="12">
        <f t="shared" si="86"/>
        <v>13.533529012055453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458.30653974218217</v>
      </c>
      <c r="H85" s="70">
        <f t="shared" si="56"/>
        <v>396.73874636266316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252.20000000000013</v>
      </c>
      <c r="O85" s="14">
        <f>N85*VLOOKUP('Données projet'!$B$9,Paramètres!$A$1:$I$89,3,0)*VLOOKUP('Données projet'!$B$9,Paramètres!$A$1:$I$89,5,0)</f>
        <v>228.19056000000012</v>
      </c>
      <c r="P85" s="14">
        <f t="shared" si="87"/>
        <v>55.891258634424609</v>
      </c>
      <c r="Q85" s="22">
        <f t="shared" si="54"/>
        <v>494.77583412162312</v>
      </c>
      <c r="R85" s="62">
        <f t="shared" si="55"/>
        <v>788.10916745495638</v>
      </c>
      <c r="S85" s="62">
        <f ca="1">AVERAGE(OFFSET($R$3,0,0,'Données projet'!$E$9+1,1))-AVERAGE(OFFSET($H$3,0,0,'Données projet'!$E$9+1,1))</f>
        <v>263.85754879271406</v>
      </c>
      <c r="T85" s="62">
        <f t="shared" si="88"/>
        <v>157.75772798974242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-5.1431925385259088E-14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313.28865457002252</v>
      </c>
      <c r="AO85" s="62">
        <f t="shared" si="90"/>
        <v>438.23149076517115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0.23572143314371602</v>
      </c>
      <c r="AV85" s="23">
        <f>EXP(-LN(2)/25)*AV84+(1-EXP(-LN(2)/25))/(LN(2)/25)*Calculateur!AQ85*Calculateur!AS85*VLOOKUP('Données projet'!$B$10,Paramètres!$A$1:$I$89,3,0)*0.475*44/12</f>
        <v>0.27216102845901025</v>
      </c>
      <c r="AW85" s="23">
        <f>EXP(-LN(2)/2)*AW84+(1-EXP(-LN(2)/2))/(LN(2)/2)*AQ85*AT85*VLOOKUP('Données projet'!$B$10,Paramètres!$A$1:$I$89,3,0)*0.475*44/12</f>
        <v>6.996642556551481E-8</v>
      </c>
      <c r="AX85" s="23">
        <f t="shared" si="60"/>
        <v>0.50788253156915175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46.396999999999956</v>
      </c>
      <c r="D86" s="12">
        <f t="shared" si="86"/>
        <v>13.679258000861923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463.7465529891092</v>
      </c>
      <c r="H86" s="70">
        <f t="shared" si="56"/>
        <v>397.96614935150109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257.80000000000013</v>
      </c>
      <c r="O86" s="14">
        <f>N86*VLOOKUP('Données projet'!$B$9,Paramètres!$A$1:$I$89,3,0)*VLOOKUP('Données projet'!$B$9,Paramètres!$A$1:$I$89,5,0)</f>
        <v>233.25744000000009</v>
      </c>
      <c r="P86" s="14">
        <f t="shared" si="87"/>
        <v>56.9864386904733</v>
      </c>
      <c r="Q86" s="22">
        <f t="shared" si="54"/>
        <v>505.50808871924113</v>
      </c>
      <c r="R86" s="62">
        <f t="shared" si="55"/>
        <v>798.84142205257444</v>
      </c>
      <c r="S86" s="62">
        <f ca="1">AVERAGE(OFFSET($R$3,0,0,'Données projet'!$E$9+1,1))-AVERAGE(OFFSET($H$3,0,0,'Données projet'!$E$9+1,1))</f>
        <v>263.85754879271406</v>
      </c>
      <c r="T86" s="62">
        <f t="shared" si="88"/>
        <v>157.75772798974242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-5.1431925385259088E-14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313.28865457002252</v>
      </c>
      <c r="AO86" s="62">
        <f t="shared" si="90"/>
        <v>438.23149076517115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0.23109907961564527</v>
      </c>
      <c r="AV86" s="23">
        <f>EXP(-LN(2)/25)*AV85+(1-EXP(-LN(2)/25))/(LN(2)/25)*Calculateur!AQ86*Calculateur!AS86*VLOOKUP('Données projet'!$B$10,Paramètres!$A$1:$I$89,3,0)*0.475*44/12</f>
        <v>0.26471877082347217</v>
      </c>
      <c r="AW86" s="23">
        <f>EXP(-LN(2)/2)*AW85+(1-EXP(-LN(2)/2))/(LN(2)/2)*AQ86*AT86*VLOOKUP('Données projet'!$B$10,Paramètres!$A$1:$I$89,3,0)*0.475*44/12</f>
        <v>4.9473733972759346E-8</v>
      </c>
      <c r="AX86" s="23">
        <f t="shared" si="60"/>
        <v>0.49581789991285141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46.955999999999953</v>
      </c>
      <c r="D87" s="12">
        <f t="shared" si="86"/>
        <v>13.824782755944199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469.18498969500752</v>
      </c>
      <c r="H87" s="70">
        <f t="shared" si="56"/>
        <v>399.19319663326939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263.40000000000015</v>
      </c>
      <c r="O87" s="14">
        <f>N87*VLOOKUP('Données projet'!$B$9,Paramètres!$A$1:$I$89,3,0)*VLOOKUP('Données projet'!$B$9,Paramètres!$A$1:$I$89,5,0)</f>
        <v>238.32432000000011</v>
      </c>
      <c r="P87" s="14">
        <f t="shared" si="87"/>
        <v>58.078852882738808</v>
      </c>
      <c r="Q87" s="22">
        <f t="shared" si="54"/>
        <v>516.23552610410366</v>
      </c>
      <c r="R87" s="62">
        <f t="shared" si="55"/>
        <v>809.56885943743691</v>
      </c>
      <c r="S87" s="62">
        <f ca="1">AVERAGE(OFFSET($R$3,0,0,'Données projet'!$E$9+1,1))-AVERAGE(OFFSET($H$3,0,0,'Données projet'!$E$9+1,1))</f>
        <v>263.85754879271406</v>
      </c>
      <c r="T87" s="62">
        <f t="shared" si="88"/>
        <v>157.75772798974242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-5.1431925385259088E-14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313.28865457002252</v>
      </c>
      <c r="AO87" s="62">
        <f t="shared" si="90"/>
        <v>438.23149076517115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0.22656736762090274</v>
      </c>
      <c r="AV87" s="23">
        <f>EXP(-LN(2)/25)*AV86+(1-EXP(-LN(2)/25))/(LN(2)/25)*Calculateur!AQ87*Calculateur!AS87*VLOOKUP('Données projet'!$B$10,Paramètres!$A$1:$I$89,3,0)*0.475*44/12</f>
        <v>0.25748002211434917</v>
      </c>
      <c r="AW87" s="23">
        <f>EXP(-LN(2)/2)*AW86+(1-EXP(-LN(2)/2))/(LN(2)/2)*AQ87*AT87*VLOOKUP('Données projet'!$B$10,Paramètres!$A$1:$I$89,3,0)*0.475*44/12</f>
        <v>3.4983212782757405E-8</v>
      </c>
      <c r="AX87" s="23">
        <f t="shared" si="60"/>
        <v>0.48404742471846468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47.514999999999951</v>
      </c>
      <c r="D88" s="12">
        <f t="shared" si="86"/>
        <v>13.970105989914776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474.62187079934182</v>
      </c>
      <c r="H88" s="70">
        <f t="shared" si="56"/>
        <v>400.41989293243478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269</v>
      </c>
      <c r="L88" s="13">
        <f>VLOOKUP(A88,'Données projet'!$A$35:$I$55,9,0)</f>
        <v>5.6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269.00000000000017</v>
      </c>
      <c r="O88" s="14">
        <f>N88*VLOOKUP('Données projet'!$B$9,Paramètres!$A$1:$I$89,3,0)*VLOOKUP('Données projet'!$B$9,Paramètres!$A$1:$I$89,5,0)</f>
        <v>243.39120000000017</v>
      </c>
      <c r="P88" s="14">
        <f t="shared" si="87"/>
        <v>59.168566788241577</v>
      </c>
      <c r="Q88" s="22">
        <f t="shared" si="54"/>
        <v>526.95826048952097</v>
      </c>
      <c r="R88" s="62">
        <f t="shared" si="55"/>
        <v>820.29159382285434</v>
      </c>
      <c r="S88" s="62">
        <f ca="1">AVERAGE(OFFSET($R$3,0,0,'Données projet'!$E$9+1,1))-AVERAGE(OFFSET($H$3,0,0,'Données projet'!$E$9+1,1))</f>
        <v>263.85754879271406</v>
      </c>
      <c r="T88" s="62">
        <f t="shared" si="88"/>
        <v>157.75772798974242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21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-5.1431925385259088E-14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313.28865457002252</v>
      </c>
      <c r="AO88" s="62">
        <f t="shared" si="90"/>
        <v>438.23149076517115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0.22212451973430572</v>
      </c>
      <c r="AV88" s="23">
        <f>EXP(-LN(2)/25)*AV87+(1-EXP(-LN(2)/25))/(LN(2)/25)*Calculateur!AQ88*Calculateur!AS88*VLOOKUP('Données projet'!$B$10,Paramètres!$A$1:$I$89,3,0)*0.475*44/12</f>
        <v>0.25043921736934643</v>
      </c>
      <c r="AW88" s="23">
        <f>EXP(-LN(2)/2)*AW87+(1-EXP(-LN(2)/2))/(LN(2)/2)*AQ88*AT88*VLOOKUP('Données projet'!$B$10,Paramètres!$A$1:$I$89,3,0)*0.475*44/12</f>
        <v>2.4736866986379673E-8</v>
      </c>
      <c r="AX88" s="23">
        <f t="shared" si="60"/>
        <v>0.47256376184051918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48.073999999999948</v>
      </c>
      <c r="D89" s="12">
        <f t="shared" si="86"/>
        <v>14.115230347886868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480.05721672052988</v>
      </c>
      <c r="H89" s="70">
        <f t="shared" si="56"/>
        <v>401.64624285590287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5.4</v>
      </c>
      <c r="N89" s="14">
        <f>IF('Données projet'!$A$36&gt;35,N88+M89-V88,IF(A89&lt;'Données projet'!$A$36,$K$205^A89,IF(A89='Données projet'!$A$36,'Données projet'!$B$36,N88+M89-V88)))</f>
        <v>253.40000000000015</v>
      </c>
      <c r="O89" s="14">
        <f>N89*VLOOKUP('Données projet'!$B$9,Paramètres!$A$1:$I$89,3,0)*VLOOKUP('Données projet'!$B$9,Paramètres!$A$1:$I$89,5,0)</f>
        <v>229.27632000000011</v>
      </c>
      <c r="P89" s="14">
        <f t="shared" si="87"/>
        <v>56.126176307517476</v>
      </c>
      <c r="Q89" s="22">
        <f t="shared" si="54"/>
        <v>497.07601440225977</v>
      </c>
      <c r="R89" s="62">
        <f t="shared" si="55"/>
        <v>790.40934773559309</v>
      </c>
      <c r="S89" s="62">
        <f ca="1">AVERAGE(OFFSET($R$3,0,0,'Données projet'!$E$9+1,1))-AVERAGE(OFFSET($H$3,0,0,'Données projet'!$E$9+1,1))</f>
        <v>263.85754879271406</v>
      </c>
      <c r="T89" s="62">
        <f t="shared" si="88"/>
        <v>157.75772798974242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-5.1431925385259088E-14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313.28865457002252</v>
      </c>
      <c r="AO89" s="62">
        <f t="shared" si="90"/>
        <v>438.23149076517115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0.21776879338489524</v>
      </c>
      <c r="AV89" s="23">
        <f>EXP(-LN(2)/25)*AV88+(1-EXP(-LN(2)/25))/(LN(2)/25)*Calculateur!AQ89*Calculateur!AS89*VLOOKUP('Données projet'!$B$10,Paramètres!$A$1:$I$89,3,0)*0.475*44/12</f>
        <v>0.24359094380035559</v>
      </c>
      <c r="AW89" s="23">
        <f>EXP(-LN(2)/2)*AW88+(1-EXP(-LN(2)/2))/(LN(2)/2)*AQ89*AT89*VLOOKUP('Données projet'!$B$10,Paramètres!$A$1:$I$89,3,0)*0.475*44/12</f>
        <v>1.7491606391378702E-8</v>
      </c>
      <c r="AX89" s="23">
        <f t="shared" si="60"/>
        <v>0.46135975467685719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48.632999999999946</v>
      </c>
      <c r="D90" s="12">
        <f t="shared" si="86"/>
        <v>14.260158409918965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485.49104737481269</v>
      </c>
      <c r="H90" s="70">
        <f t="shared" si="56"/>
        <v>402.87225089727542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5.4</v>
      </c>
      <c r="N90" s="14">
        <f>IF('Données projet'!$A$36&gt;35,N89+M90-V89,IF(A90&lt;'Données projet'!$A$36,$K$205^A90,IF(A90='Données projet'!$A$36,'Données projet'!$B$36,N89+M90-V89)))</f>
        <v>258.80000000000013</v>
      </c>
      <c r="O90" s="14">
        <f>N90*VLOOKUP('Données projet'!$B$9,Paramètres!$A$1:$I$89,3,0)*VLOOKUP('Données projet'!$B$9,Paramètres!$A$1:$I$89,5,0)</f>
        <v>234.16224000000011</v>
      </c>
      <c r="P90" s="14">
        <f t="shared" si="87"/>
        <v>57.181713578143096</v>
      </c>
      <c r="Q90" s="22">
        <f t="shared" si="54"/>
        <v>507.42405248193273</v>
      </c>
      <c r="R90" s="62">
        <f t="shared" si="55"/>
        <v>800.75738581526605</v>
      </c>
      <c r="S90" s="62">
        <f ca="1">AVERAGE(OFFSET($R$3,0,0,'Données projet'!$E$9+1,1))-AVERAGE(OFFSET($H$3,0,0,'Données projet'!$E$9+1,1))</f>
        <v>263.85754879271406</v>
      </c>
      <c r="T90" s="62">
        <f t="shared" si="88"/>
        <v>157.75772798974242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-5.1431925385259088E-14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313.28865457002252</v>
      </c>
      <c r="AO90" s="62">
        <f t="shared" si="90"/>
        <v>438.23149076517115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0.21349848017246595</v>
      </c>
      <c r="AV90" s="23">
        <f>EXP(-LN(2)/25)*AV89+(1-EXP(-LN(2)/25))/(LN(2)/25)*Calculateur!AQ90*Calculateur!AS90*VLOOKUP('Données projet'!$B$10,Paramètres!$A$1:$I$89,3,0)*0.475*44/12</f>
        <v>0.23692993663224388</v>
      </c>
      <c r="AW90" s="23">
        <f>EXP(-LN(2)/2)*AW89+(1-EXP(-LN(2)/2))/(LN(2)/2)*AQ90*AT90*VLOOKUP('Données projet'!$B$10,Paramètres!$A$1:$I$89,3,0)*0.475*44/12</f>
        <v>1.2368433493189836E-8</v>
      </c>
      <c r="AX90" s="23">
        <f t="shared" si="60"/>
        <v>0.4504284291731433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49.191999999999943</v>
      </c>
      <c r="D91" s="12">
        <f t="shared" si="86"/>
        <v>14.404892693343806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490.92338219423249</v>
      </c>
      <c r="H91" s="70">
        <f t="shared" si="56"/>
        <v>404.09792144090699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5.4</v>
      </c>
      <c r="N91" s="14">
        <f>IF('Données projet'!$A$36&gt;35,N90+M91-V90,IF(A91&lt;'Données projet'!$A$36,$K$205^A91,IF(A91='Données projet'!$A$36,'Données projet'!$B$36,N90+M91-V90)))</f>
        <v>264.2000000000001</v>
      </c>
      <c r="O91" s="14">
        <f>N91*VLOOKUP('Données projet'!$B$9,Paramètres!$A$1:$I$89,3,0)*VLOOKUP('Données projet'!$B$9,Paramètres!$A$1:$I$89,5,0)</f>
        <v>239.04816000000008</v>
      </c>
      <c r="P91" s="14">
        <f t="shared" si="87"/>
        <v>58.234690128947342</v>
      </c>
      <c r="Q91" s="22">
        <f t="shared" si="54"/>
        <v>517.76763064125009</v>
      </c>
      <c r="R91" s="62">
        <f t="shared" si="55"/>
        <v>811.10096397458346</v>
      </c>
      <c r="S91" s="62">
        <f ca="1">AVERAGE(OFFSET($R$3,0,0,'Données projet'!$E$9+1,1))-AVERAGE(OFFSET($H$3,0,0,'Données projet'!$E$9+1,1))</f>
        <v>263.85754879271406</v>
      </c>
      <c r="T91" s="62">
        <f t="shared" si="88"/>
        <v>157.75772798974242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-5.1431925385259088E-14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313.28865457002252</v>
      </c>
      <c r="AO91" s="62">
        <f t="shared" si="90"/>
        <v>438.23149076517115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0.20931190519749851</v>
      </c>
      <c r="AV91" s="23">
        <f>EXP(-LN(2)/25)*AV90+(1-EXP(-LN(2)/25))/(LN(2)/25)*Calculateur!AQ91*Calculateur!AS91*VLOOKUP('Données projet'!$B$10,Paramètres!$A$1:$I$89,3,0)*0.475*44/12</f>
        <v>0.2304510750554313</v>
      </c>
      <c r="AW91" s="23">
        <f>EXP(-LN(2)/2)*AW90+(1-EXP(-LN(2)/2))/(LN(2)/2)*AQ91*AT91*VLOOKUP('Données projet'!$B$10,Paramètres!$A$1:$I$89,3,0)*0.475*44/12</f>
        <v>8.7458031956893512E-9</v>
      </c>
      <c r="AX91" s="23">
        <f t="shared" si="60"/>
        <v>0.43976298899873301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49.750999999999941</v>
      </c>
      <c r="D92" s="12">
        <f t="shared" si="86"/>
        <v>14.549435654988406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496.35424014376969</v>
      </c>
      <c r="H92" s="70">
        <f t="shared" si="56"/>
        <v>405.32325876577136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5.4</v>
      </c>
      <c r="N92" s="14">
        <f>IF('Données projet'!$A$36&gt;35,N91+M92-V91,IF(A92&lt;'Données projet'!$A$36,$K$205^A92,IF(A92='Données projet'!$A$36,'Données projet'!$B$36,N91+M92-V91)))</f>
        <v>269.60000000000008</v>
      </c>
      <c r="O92" s="14">
        <f>N92*VLOOKUP('Données projet'!$B$9,Paramètres!$A$1:$I$89,3,0)*VLOOKUP('Données projet'!$B$9,Paramètres!$A$1:$I$89,5,0)</f>
        <v>243.93408000000005</v>
      </c>
      <c r="P92" s="14">
        <f t="shared" si="87"/>
        <v>59.28516432961765</v>
      </c>
      <c r="Q92" s="22">
        <f t="shared" si="54"/>
        <v>528.10685054075077</v>
      </c>
      <c r="R92" s="62">
        <f t="shared" si="55"/>
        <v>821.44018387408414</v>
      </c>
      <c r="S92" s="62">
        <f ca="1">AVERAGE(OFFSET($R$3,0,0,'Données projet'!$E$9+1,1))-AVERAGE(OFFSET($H$3,0,0,'Données projet'!$E$9+1,1))</f>
        <v>263.85754879271406</v>
      </c>
      <c r="T92" s="62">
        <f t="shared" si="88"/>
        <v>157.75772798974242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-5.1431925385259088E-14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313.28865457002252</v>
      </c>
      <c r="AO92" s="62">
        <f t="shared" si="90"/>
        <v>438.23149076517115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0.20520742640423159</v>
      </c>
      <c r="AV92" s="23">
        <f>EXP(-LN(2)/25)*AV91+(1-EXP(-LN(2)/25))/(LN(2)/25)*Calculateur!AQ92*Calculateur!AS92*VLOOKUP('Données projet'!$B$10,Paramètres!$A$1:$I$89,3,0)*0.475*44/12</f>
        <v>0.22414937828914519</v>
      </c>
      <c r="AW92" s="23">
        <f>EXP(-LN(2)/2)*AW91+(1-EXP(-LN(2)/2))/(LN(2)/2)*AQ92*AT92*VLOOKUP('Données projet'!$B$10,Paramètres!$A$1:$I$89,3,0)*0.475*44/12</f>
        <v>6.1842167465949182E-9</v>
      </c>
      <c r="AX92" s="23">
        <f t="shared" si="60"/>
        <v>0.42935681087759353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50.309999999999938</v>
      </c>
      <c r="D93" s="12">
        <f t="shared" si="86"/>
        <v>14.693789693291537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501.7836397376887</v>
      </c>
      <c r="H93" s="70">
        <f t="shared" si="56"/>
        <v>406.54826704914933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275</v>
      </c>
      <c r="L93" s="13">
        <f>VLOOKUP(A93,'Données projet'!$A$35:$I$55,9,0)</f>
        <v>5.4</v>
      </c>
      <c r="M93" s="13">
        <f t="array" ref="M93">INDEX(L:L,MIN(IF(ISNUMBER(L93:L289),ROW(L93:L289),"")))</f>
        <v>5.4</v>
      </c>
      <c r="N93" s="14">
        <f>IF('Données projet'!$A$36&gt;35,N92+M93-V92,IF(A93&lt;'Données projet'!$A$36,$K$205^A93,IF(A93='Données projet'!$A$36,'Données projet'!$B$36,N92+M93-V92)))</f>
        <v>275.00000000000006</v>
      </c>
      <c r="O93" s="14">
        <f>N93*VLOOKUP('Données projet'!$B$9,Paramètres!$A$1:$I$89,3,0)*VLOOKUP('Données projet'!$B$9,Paramètres!$A$1:$I$89,5,0)</f>
        <v>248.82000000000005</v>
      </c>
      <c r="P93" s="14">
        <f t="shared" si="87"/>
        <v>60.333192077890068</v>
      </c>
      <c r="Q93" s="22">
        <f t="shared" si="54"/>
        <v>538.44180953565865</v>
      </c>
      <c r="R93" s="62">
        <f t="shared" si="55"/>
        <v>831.77514286899191</v>
      </c>
      <c r="S93" s="62">
        <f ca="1">AVERAGE(OFFSET($R$3,0,0,'Données projet'!$E$9+1,1))-AVERAGE(OFFSET($H$3,0,0,'Données projet'!$E$9+1,1))</f>
        <v>263.85754879271406</v>
      </c>
      <c r="T93" s="62">
        <f t="shared" si="88"/>
        <v>157.75772798974242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21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-5.1431925385259088E-14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313.28865457002252</v>
      </c>
      <c r="AO93" s="62">
        <f t="shared" si="90"/>
        <v>438.23149076517115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0.20118343393661578</v>
      </c>
      <c r="AV93" s="23">
        <f>EXP(-LN(2)/25)*AV92+(1-EXP(-LN(2)/25))/(LN(2)/25)*Calculateur!AQ93*Calculateur!AS93*VLOOKUP('Données projet'!$B$10,Paramètres!$A$1:$I$89,3,0)*0.475*44/12</f>
        <v>0.218020001752325</v>
      </c>
      <c r="AW93" s="23">
        <f>EXP(-LN(2)/2)*AW92+(1-EXP(-LN(2)/2))/(LN(2)/2)*AQ93*AT93*VLOOKUP('Données projet'!$B$10,Paramètres!$A$1:$I$89,3,0)*0.475*44/12</f>
        <v>4.3729015978446756E-9</v>
      </c>
      <c r="AX93" s="23">
        <f t="shared" si="60"/>
        <v>0.4192034400618424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50.868999999999936</v>
      </c>
      <c r="D94" s="12">
        <f t="shared" si="86"/>
        <v>14.837957150324335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507.21159905513474</v>
      </c>
      <c r="H94" s="70">
        <f t="shared" si="56"/>
        <v>407.77295037014807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</v>
      </c>
      <c r="N94" s="14">
        <f>IF('Données projet'!$A$36&gt;35,N93+M94-V93,IF(A94&lt;'Données projet'!$A$36,$K$205^A94,IF(A94='Données projet'!$A$36,'Données projet'!$B$36,N93+M94-V93)))</f>
        <v>259.00000000000006</v>
      </c>
      <c r="O94" s="14">
        <f>N94*VLOOKUP('Données projet'!$B$9,Paramètres!$A$1:$I$89,3,0)*VLOOKUP('Données projet'!$B$9,Paramètres!$A$1:$I$89,5,0)</f>
        <v>234.34320000000005</v>
      </c>
      <c r="P94" s="14">
        <f t="shared" si="87"/>
        <v>57.220758006491664</v>
      </c>
      <c r="Q94" s="22">
        <f t="shared" si="54"/>
        <v>507.80722686130639</v>
      </c>
      <c r="R94" s="62">
        <f t="shared" si="55"/>
        <v>801.14056019463965</v>
      </c>
      <c r="S94" s="62">
        <f ca="1">AVERAGE(OFFSET($R$3,0,0,'Données projet'!$E$9+1,1))-AVERAGE(OFFSET($H$3,0,0,'Données projet'!$E$9+1,1))</f>
        <v>263.85754879271406</v>
      </c>
      <c r="T94" s="62">
        <f t="shared" si="88"/>
        <v>157.75772798974242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-5.1431925385259088E-14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313.28865457002252</v>
      </c>
      <c r="AO94" s="62">
        <f t="shared" si="90"/>
        <v>438.23149076517115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0.19723834950689687</v>
      </c>
      <c r="AV94" s="23">
        <f>EXP(-LN(2)/25)*AV93+(1-EXP(-LN(2)/25))/(LN(2)/25)*Calculateur!AQ94*Calculateur!AS94*VLOOKUP('Données projet'!$B$10,Paramètres!$A$1:$I$89,3,0)*0.475*44/12</f>
        <v>0.21205823333923407</v>
      </c>
      <c r="AW94" s="23">
        <f>EXP(-LN(2)/2)*AW93+(1-EXP(-LN(2)/2))/(LN(2)/2)*AQ94*AT94*VLOOKUP('Données projet'!$B$10,Paramètres!$A$1:$I$89,3,0)*0.475*44/12</f>
        <v>3.0921083732974591E-9</v>
      </c>
      <c r="AX94" s="23">
        <f t="shared" si="60"/>
        <v>0.40929658593823925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51.427999999999933</v>
      </c>
      <c r="D95" s="12">
        <f t="shared" si="86"/>
        <v>14.981940313719656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512.63813575502843</v>
      </c>
      <c r="H95" s="70">
        <f t="shared" si="56"/>
        <v>408.9973127130616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</v>
      </c>
      <c r="N95" s="14">
        <f>IF('Données projet'!$A$36&gt;35,N94+M95-V94,IF(A95&lt;'Données projet'!$A$36,$K$205^A95,IF(A95='Données projet'!$A$36,'Données projet'!$B$36,N94+M95-V94)))</f>
        <v>264.00000000000006</v>
      </c>
      <c r="O95" s="14">
        <f>N95*VLOOKUP('Données projet'!$B$9,Paramètres!$A$1:$I$89,3,0)*VLOOKUP('Données projet'!$B$9,Paramètres!$A$1:$I$89,5,0)</f>
        <v>238.86720000000005</v>
      </c>
      <c r="P95" s="14">
        <f t="shared" si="87"/>
        <v>58.195735973104156</v>
      </c>
      <c r="Q95" s="22">
        <f t="shared" si="54"/>
        <v>517.3846134864898</v>
      </c>
      <c r="R95" s="62">
        <f t="shared" si="55"/>
        <v>810.71794681982306</v>
      </c>
      <c r="S95" s="62">
        <f ca="1">AVERAGE(OFFSET($R$3,0,0,'Données projet'!$E$9+1,1))-AVERAGE(OFFSET($H$3,0,0,'Données projet'!$E$9+1,1))</f>
        <v>263.85754879271406</v>
      </c>
      <c r="T95" s="62">
        <f t="shared" si="88"/>
        <v>157.75772798974242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-5.1431925385259088E-14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313.28865457002252</v>
      </c>
      <c r="AO95" s="62">
        <f t="shared" si="90"/>
        <v>438.23149076517115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0.19337062577658082</v>
      </c>
      <c r="AV95" s="23">
        <f>EXP(-LN(2)/25)*AV94+(1-EXP(-LN(2)/25))/(LN(2)/25)*Calculateur!AQ95*Calculateur!AS95*VLOOKUP('Données projet'!$B$10,Paramètres!$A$1:$I$89,3,0)*0.475*44/12</f>
        <v>0.20625948979691489</v>
      </c>
      <c r="AW95" s="23">
        <f>EXP(-LN(2)/2)*AW94+(1-EXP(-LN(2)/2))/(LN(2)/2)*AQ95*AT95*VLOOKUP('Données projet'!$B$10,Paramètres!$A$1:$I$89,3,0)*0.475*44/12</f>
        <v>2.1864507989223378E-9</v>
      </c>
      <c r="AX95" s="23">
        <f t="shared" si="60"/>
        <v>0.3996301177599465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51.986999999999931</v>
      </c>
      <c r="D96" s="12">
        <f t="shared" si="86"/>
        <v>15.125741418515025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518.06326709029088</v>
      </c>
      <c r="H96" s="70">
        <f t="shared" si="56"/>
        <v>410.22135797058019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</v>
      </c>
      <c r="N96" s="14">
        <f>IF('Données projet'!$A$36&gt;35,N95+M96-V95,IF(A96&lt;'Données projet'!$A$36,$K$205^A96,IF(A96='Données projet'!$A$36,'Données projet'!$B$36,N95+M96-V95)))</f>
        <v>269.00000000000006</v>
      </c>
      <c r="O96" s="14">
        <f>N96*VLOOKUP('Données projet'!$B$9,Paramètres!$A$1:$I$89,3,0)*VLOOKUP('Données projet'!$B$9,Paramètres!$A$1:$I$89,5,0)</f>
        <v>243.39120000000003</v>
      </c>
      <c r="P96" s="14">
        <f t="shared" si="87"/>
        <v>59.168566788241527</v>
      </c>
      <c r="Q96" s="22">
        <f t="shared" si="54"/>
        <v>526.95826048952074</v>
      </c>
      <c r="R96" s="62">
        <f t="shared" si="55"/>
        <v>820.29159382285411</v>
      </c>
      <c r="S96" s="62">
        <f ca="1">AVERAGE(OFFSET($R$3,0,0,'Données projet'!$E$9+1,1))-AVERAGE(OFFSET($H$3,0,0,'Données projet'!$E$9+1,1))</f>
        <v>263.85754879271406</v>
      </c>
      <c r="T96" s="62">
        <f t="shared" si="88"/>
        <v>157.75772798974242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-5.1431925385259088E-14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313.28865457002252</v>
      </c>
      <c r="AO96" s="62">
        <f t="shared" si="90"/>
        <v>438.23149076517115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0.18957874574953776</v>
      </c>
      <c r="AV96" s="23">
        <f>EXP(-LN(2)/25)*AV95+(1-EXP(-LN(2)/25))/(LN(2)/25)*Calculateur!AQ96*Calculateur!AS96*VLOOKUP('Données projet'!$B$10,Paramètres!$A$1:$I$89,3,0)*0.475*44/12</f>
        <v>0.20061931320170309</v>
      </c>
      <c r="AW96" s="23">
        <f>EXP(-LN(2)/2)*AW95+(1-EXP(-LN(2)/2))/(LN(2)/2)*AQ96*AT96*VLOOKUP('Données projet'!$B$10,Paramètres!$A$1:$I$89,3,0)*0.475*44/12</f>
        <v>1.5460541866487296E-9</v>
      </c>
      <c r="AX96" s="23">
        <f t="shared" si="60"/>
        <v>0.390198060497295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52.545999999999928</v>
      </c>
      <c r="D97" s="12">
        <f t="shared" si="86"/>
        <v>15.269362648914145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523.487009921442</v>
      </c>
      <c r="H97" s="70">
        <f t="shared" si="56"/>
        <v>411.44508994685867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</v>
      </c>
      <c r="N97" s="14">
        <f>IF('Données projet'!$A$36&gt;35,N96+M97-V96,IF(A97&lt;'Données projet'!$A$36,$K$205^A97,IF(A97='Données projet'!$A$36,'Données projet'!$B$36,N96+M97-V96)))</f>
        <v>274.00000000000006</v>
      </c>
      <c r="O97" s="14">
        <f>N97*VLOOKUP('Données projet'!$B$9,Paramètres!$A$1:$I$89,3,0)*VLOOKUP('Données projet'!$B$9,Paramètres!$A$1:$I$89,5,0)</f>
        <v>247.91520000000003</v>
      </c>
      <c r="P97" s="14">
        <f t="shared" si="87"/>
        <v>60.139294964297406</v>
      </c>
      <c r="Q97" s="22">
        <f t="shared" si="54"/>
        <v>536.52824539615131</v>
      </c>
      <c r="R97" s="62">
        <f t="shared" si="55"/>
        <v>829.86157872948456</v>
      </c>
      <c r="S97" s="62">
        <f ca="1">AVERAGE(OFFSET($R$3,0,0,'Données projet'!$E$9+1,1))-AVERAGE(OFFSET($H$3,0,0,'Données projet'!$E$9+1,1))</f>
        <v>263.85754879271406</v>
      </c>
      <c r="T97" s="62">
        <f t="shared" si="88"/>
        <v>157.75772798974242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-5.1431925385259088E-14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313.28865457002252</v>
      </c>
      <c r="AO97" s="62">
        <f t="shared" si="90"/>
        <v>438.23149076517115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0.18586122217700657</v>
      </c>
      <c r="AV97" s="23">
        <f>EXP(-LN(2)/25)*AV96+(1-EXP(-LN(2)/25))/(LN(2)/25)*Calculateur!AQ97*Calculateur!AS97*VLOOKUP('Données projet'!$B$10,Paramètres!$A$1:$I$89,3,0)*0.475*44/12</f>
        <v>0.19513336753209137</v>
      </c>
      <c r="AW97" s="23">
        <f>EXP(-LN(2)/2)*AW96+(1-EXP(-LN(2)/2))/(LN(2)/2)*AQ97*AT97*VLOOKUP('Données projet'!$B$10,Paramètres!$A$1:$I$89,3,0)*0.475*44/12</f>
        <v>1.0932253994611689E-9</v>
      </c>
      <c r="AX97" s="23">
        <f t="shared" si="60"/>
        <v>0.38099459080232334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53.104999999999926</v>
      </c>
      <c r="D98" s="12">
        <f t="shared" si="86"/>
        <v>15.412806139971298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528.9093807296025</v>
      </c>
      <c r="H98" s="70">
        <f t="shared" si="56"/>
        <v>412.66851236044988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279</v>
      </c>
      <c r="L98" s="13">
        <f>VLOOKUP(A98,'Données projet'!$A$35:$I$55,9,0)</f>
        <v>5</v>
      </c>
      <c r="M98" s="13">
        <f t="array" ref="M98">INDEX(L:L,MIN(IF(ISNUMBER(L98:L294),ROW(L98:L294),"")))</f>
        <v>5</v>
      </c>
      <c r="N98" s="14">
        <f>IF('Données projet'!$A$36&gt;35,N97+M98-V97,IF(A98&lt;'Données projet'!$A$36,$K$205^A98,IF(A98='Données projet'!$A$36,'Données projet'!$B$36,N97+M98-V97)))</f>
        <v>279.00000000000006</v>
      </c>
      <c r="O98" s="14">
        <f>N98*VLOOKUP('Données projet'!$B$9,Paramètres!$A$1:$I$89,3,0)*VLOOKUP('Données projet'!$B$9,Paramètres!$A$1:$I$89,5,0)</f>
        <v>252.43920000000006</v>
      </c>
      <c r="P98" s="14">
        <f t="shared" si="87"/>
        <v>61.107963296116274</v>
      </c>
      <c r="Q98" s="22">
        <f t="shared" si="54"/>
        <v>546.09464274073594</v>
      </c>
      <c r="R98" s="62">
        <f t="shared" si="55"/>
        <v>839.42797607406919</v>
      </c>
      <c r="S98" s="62">
        <f ca="1">AVERAGE(OFFSET($R$3,0,0,'Données projet'!$E$9+1,1))-AVERAGE(OFFSET($H$3,0,0,'Données projet'!$E$9+1,1))</f>
        <v>263.85754879271406</v>
      </c>
      <c r="T98" s="62">
        <f t="shared" si="88"/>
        <v>157.75772798974242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21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-5.1431925385259088E-14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313.28865457002252</v>
      </c>
      <c r="AO98" s="62">
        <f t="shared" si="90"/>
        <v>438.23149076517115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0.18221659697426723</v>
      </c>
      <c r="AV98" s="23">
        <f>EXP(-LN(2)/25)*AV97+(1-EXP(-LN(2)/25))/(LN(2)/25)*Calculateur!AQ98*Calculateur!AS98*VLOOKUP('Données projet'!$B$10,Paramètres!$A$1:$I$89,3,0)*0.475*44/12</f>
        <v>0.18979743533530852</v>
      </c>
      <c r="AW98" s="23">
        <f>EXP(-LN(2)/2)*AW97+(1-EXP(-LN(2)/2))/(LN(2)/2)*AQ98*AT98*VLOOKUP('Données projet'!$B$10,Paramètres!$A$1:$I$89,3,0)*0.475*44/12</f>
        <v>7.7302709332436478E-10</v>
      </c>
      <c r="AX98" s="23">
        <f t="shared" si="60"/>
        <v>0.37201403308260284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53.663999999999923</v>
      </c>
      <c r="D99" s="12">
        <f t="shared" si="86"/>
        <v>15.556073979202761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534.33039562893293</v>
      </c>
      <c r="H99" s="70">
        <f t="shared" si="56"/>
        <v>413.89162884711129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4.8</v>
      </c>
      <c r="N99" s="14">
        <f>IF('Données projet'!$A$36&gt;35,N98+M99-V98,IF(A99&lt;'Données projet'!$A$36,$K$205^A99,IF(A99='Données projet'!$A$36,'Données projet'!$B$36,N98+M99-V98)))</f>
        <v>262.80000000000007</v>
      </c>
      <c r="O99" s="14">
        <f>N99*VLOOKUP('Données projet'!$B$9,Paramètres!$A$1:$I$89,3,0)*VLOOKUP('Données projet'!$B$9,Paramètres!$A$1:$I$89,5,0)</f>
        <v>237.78144000000006</v>
      </c>
      <c r="P99" s="14">
        <f t="shared" si="87"/>
        <v>57.96193879691095</v>
      </c>
      <c r="Q99" s="22">
        <f t="shared" ref="Q99:Q130" si="107">(O99+P99)*0.475*44/12</f>
        <v>515.08638473795338</v>
      </c>
      <c r="R99" s="62">
        <f t="shared" si="55"/>
        <v>808.41971807128675</v>
      </c>
      <c r="S99" s="62">
        <f ca="1">AVERAGE(OFFSET($R$3,0,0,'Données projet'!$E$9+1,1))-AVERAGE(OFFSET($H$3,0,0,'Données projet'!$E$9+1,1))</f>
        <v>263.85754879271406</v>
      </c>
      <c r="T99" s="62">
        <f t="shared" si="88"/>
        <v>157.75772798974242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-5.1431925385259088E-14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313.28865457002252</v>
      </c>
      <c r="AO99" s="62">
        <f t="shared" si="90"/>
        <v>438.23149076517115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0.17864344064875173</v>
      </c>
      <c r="AV99" s="23">
        <f>EXP(-LN(2)/25)*AV98+(1-EXP(-LN(2)/25))/(LN(2)/25)*Calculateur!AQ99*Calculateur!AS99*VLOOKUP('Données projet'!$B$10,Paramètres!$A$1:$I$89,3,0)*0.475*44/12</f>
        <v>0.18460741448505116</v>
      </c>
      <c r="AW99" s="23">
        <f>EXP(-LN(2)/2)*AW98+(1-EXP(-LN(2)/2))/(LN(2)/2)*AQ99*AT99*VLOOKUP('Données projet'!$B$10,Paramètres!$A$1:$I$89,3,0)*0.475*44/12</f>
        <v>5.4661269973058445E-10</v>
      </c>
      <c r="AX99" s="23">
        <f t="shared" si="60"/>
        <v>0.3632508556804156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54.222999999999921</v>
      </c>
      <c r="D100" s="12">
        <f t="shared" si="86"/>
        <v>15.699168208129208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539.75007037854073</v>
      </c>
      <c r="H100" s="70">
        <f t="shared" si="56"/>
        <v>415.11444296249152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4.8</v>
      </c>
      <c r="N100" s="14">
        <f>IF('Données projet'!$A$36&gt;35,N99+M100-V99,IF(A100&lt;'Données projet'!$A$36,$K$205^A100,IF(A100='Données projet'!$A$36,'Données projet'!$B$36,N99+M100-V99)))</f>
        <v>267.60000000000008</v>
      </c>
      <c r="O100" s="14">
        <f>N100*VLOOKUP('Données projet'!$B$9,Paramètres!$A$1:$I$89,3,0)*VLOOKUP('Données projet'!$B$9,Paramètres!$A$1:$I$89,5,0)</f>
        <v>242.12448000000006</v>
      </c>
      <c r="P100" s="14">
        <f t="shared" si="87"/>
        <v>58.896387987806008</v>
      </c>
      <c r="Q100" s="22">
        <f t="shared" si="107"/>
        <v>524.2780117454289</v>
      </c>
      <c r="R100" s="62">
        <f t="shared" si="55"/>
        <v>817.61134507876227</v>
      </c>
      <c r="S100" s="62">
        <f ca="1">AVERAGE(OFFSET($R$3,0,0,'Données projet'!$E$9+1,1))-AVERAGE(OFFSET($H$3,0,0,'Données projet'!$E$9+1,1))</f>
        <v>263.85754879271406</v>
      </c>
      <c r="T100" s="62">
        <f t="shared" si="88"/>
        <v>157.75772798974242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-5.1431925385259088E-14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313.28865457002252</v>
      </c>
      <c r="AO100" s="62">
        <f t="shared" si="90"/>
        <v>438.23149076517115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0.17514035173936943</v>
      </c>
      <c r="AV100" s="23">
        <f>EXP(-LN(2)/25)*AV99+(1-EXP(-LN(2)/25))/(LN(2)/25)*Calculateur!AQ100*Calculateur!AS100*VLOOKUP('Données projet'!$B$10,Paramètres!$A$1:$I$89,3,0)*0.475*44/12</f>
        <v>0.17955931502787545</v>
      </c>
      <c r="AW100" s="23">
        <f>EXP(-LN(2)/2)*AW99+(1-EXP(-LN(2)/2))/(LN(2)/2)*AQ100*AT100*VLOOKUP('Données projet'!$B$10,Paramètres!$A$1:$I$89,3,0)*0.475*44/12</f>
        <v>3.8651354666218239E-10</v>
      </c>
      <c r="AX100" s="23">
        <f t="shared" si="60"/>
        <v>0.35469966715375839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54.781999999999918</v>
      </c>
      <c r="D101" s="12">
        <f t="shared" si="86"/>
        <v>15.842090823752644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545.1684203938795</v>
      </c>
      <c r="H101" s="70">
        <f t="shared" si="56"/>
        <v>416.33695818470238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4.8</v>
      </c>
      <c r="N101" s="14">
        <f>IF('Données projet'!$A$36&gt;35,N100+M101-V100,IF(A101&lt;'Données projet'!$A$36,$K$205^A101,IF(A101='Données projet'!$A$36,'Données projet'!$B$36,N100+M101-V100)))</f>
        <v>272.40000000000009</v>
      </c>
      <c r="O101" s="14">
        <f>N101*VLOOKUP('Données projet'!$B$9,Paramètres!$A$1:$I$89,3,0)*VLOOKUP('Données projet'!$B$9,Paramètres!$A$1:$I$89,5,0)</f>
        <v>246.46752000000009</v>
      </c>
      <c r="P101" s="14">
        <f t="shared" si="87"/>
        <v>59.828888074217033</v>
      </c>
      <c r="Q101" s="22">
        <f t="shared" si="107"/>
        <v>533.4662440625948</v>
      </c>
      <c r="R101" s="62">
        <f t="shared" si="55"/>
        <v>826.79957739592805</v>
      </c>
      <c r="S101" s="62">
        <f ca="1">AVERAGE(OFFSET($R$3,0,0,'Données projet'!$E$9+1,1))-AVERAGE(OFFSET($H$3,0,0,'Données projet'!$E$9+1,1))</f>
        <v>263.85754879271406</v>
      </c>
      <c r="T101" s="62">
        <f t="shared" si="88"/>
        <v>157.75772798974242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-5.1431925385259088E-14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313.28865457002252</v>
      </c>
      <c r="AO101" s="62">
        <f t="shared" si="90"/>
        <v>438.23149076517115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0.17170595626682686</v>
      </c>
      <c r="AV101" s="23">
        <f>EXP(-LN(2)/25)*AV100+(1-EXP(-LN(2)/25))/(LN(2)/25)*Calculateur!AQ101*Calculateur!AS101*VLOOKUP('Données projet'!$B$10,Paramètres!$A$1:$I$89,3,0)*0.475*44/12</f>
        <v>0.17464925611582421</v>
      </c>
      <c r="AW101" s="23">
        <f>EXP(-LN(2)/2)*AW100+(1-EXP(-LN(2)/2))/(LN(2)/2)*AQ101*AT101*VLOOKUP('Données projet'!$B$10,Paramètres!$A$1:$I$89,3,0)*0.475*44/12</f>
        <v>2.7330634986529223E-10</v>
      </c>
      <c r="AX101" s="23">
        <f t="shared" si="60"/>
        <v>0.34635521265595748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55.340999999999916</v>
      </c>
      <c r="D102" s="12">
        <f t="shared" si="86"/>
        <v>15.984843779971341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550.58546075767288</v>
      </c>
      <c r="H102" s="70">
        <f t="shared" si="56"/>
        <v>417.55917791678326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4.8</v>
      </c>
      <c r="N102" s="14">
        <f>IF('Données projet'!$A$36&gt;35,N101+M102-V101,IF(A102&lt;'Données projet'!$A$36,$K$205^A102,IF(A102='Données projet'!$A$36,'Données projet'!$B$36,N101+M102-V101)))</f>
        <v>277.2000000000001</v>
      </c>
      <c r="O102" s="14">
        <f>N102*VLOOKUP('Données projet'!$B$9,Paramètres!$A$1:$I$89,3,0)*VLOOKUP('Données projet'!$B$9,Paramètres!$A$1:$I$89,5,0)</f>
        <v>250.81056000000007</v>
      </c>
      <c r="P102" s="14">
        <f t="shared" si="87"/>
        <v>60.75947736410874</v>
      </c>
      <c r="Q102" s="22">
        <f t="shared" si="107"/>
        <v>542.65114840915612</v>
      </c>
      <c r="R102" s="62">
        <f t="shared" si="55"/>
        <v>835.98448174248938</v>
      </c>
      <c r="S102" s="62">
        <f ca="1">AVERAGE(OFFSET($R$3,0,0,'Données projet'!$E$9+1,1))-AVERAGE(OFFSET($H$3,0,0,'Données projet'!$E$9+1,1))</f>
        <v>263.85754879271406</v>
      </c>
      <c r="T102" s="62">
        <f t="shared" si="88"/>
        <v>157.75772798974242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-5.1431925385259088E-14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313.28865457002252</v>
      </c>
      <c r="AO102" s="62">
        <f t="shared" si="90"/>
        <v>438.23149076517115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0.16833890719472644</v>
      </c>
      <c r="AV102" s="23">
        <f>EXP(-LN(2)/25)*AV101+(1-EXP(-LN(2)/25))/(LN(2)/25)*Calculateur!AQ102*Calculateur!AS102*VLOOKUP('Données projet'!$B$10,Paramètres!$A$1:$I$89,3,0)*0.475*44/12</f>
        <v>0.1698734630229318</v>
      </c>
      <c r="AW102" s="23">
        <f>EXP(-LN(2)/2)*AW101+(1-EXP(-LN(2)/2))/(LN(2)/2)*AQ102*AT102*VLOOKUP('Données projet'!$B$10,Paramètres!$A$1:$I$89,3,0)*0.475*44/12</f>
        <v>1.9325677333109119E-10</v>
      </c>
      <c r="AX102" s="23">
        <f t="shared" si="60"/>
        <v>0.33821237041091506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55.899999999999913</v>
      </c>
      <c r="D103" s="12">
        <f t="shared" si="86"/>
        <v>16.127428988936046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556.00120623038276</v>
      </c>
      <c r="H103" s="70">
        <f t="shared" si="56"/>
        <v>418.78110548906341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282</v>
      </c>
      <c r="L103" s="13">
        <f>VLOOKUP(A103,'Données projet'!$A$35:$I$55,9,0)</f>
        <v>4.8</v>
      </c>
      <c r="M103" s="13">
        <f t="array" ref="M103">INDEX(L:L,MIN(IF(ISNUMBER(L103:L299),ROW(L103:L299),"")))</f>
        <v>4.8</v>
      </c>
      <c r="N103" s="14">
        <f>IF('Données projet'!$A$36&gt;35,N102+M103-V102,IF(A103&lt;'Données projet'!$A$36,$K$205^A103,IF(A103='Données projet'!$A$36,'Données projet'!$B$36,N102+M103-V102)))</f>
        <v>282.00000000000011</v>
      </c>
      <c r="O103" s="14">
        <f>N103*VLOOKUP('Données projet'!$B$9,Paramètres!$A$1:$I$89,3,0)*VLOOKUP('Données projet'!$B$9,Paramètres!$A$1:$I$89,5,0)</f>
        <v>255.1536000000001</v>
      </c>
      <c r="P103" s="14">
        <f t="shared" si="87"/>
        <v>61.688192762754426</v>
      </c>
      <c r="Q103" s="22">
        <f t="shared" si="107"/>
        <v>551.83278906179737</v>
      </c>
      <c r="R103" s="62">
        <f t="shared" si="55"/>
        <v>845.16612239513074</v>
      </c>
      <c r="S103" s="62">
        <f ca="1">AVERAGE(OFFSET($R$3,0,0,'Données projet'!$E$9+1,1))-AVERAGE(OFFSET($H$3,0,0,'Données projet'!$E$9+1,1))</f>
        <v>263.85754879271406</v>
      </c>
      <c r="T103" s="62">
        <f t="shared" si="88"/>
        <v>157.75772798974242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21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-5.1431925385259088E-14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313.28865457002252</v>
      </c>
      <c r="AO103" s="62">
        <f t="shared" si="90"/>
        <v>438.23149076517115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0.16503788390123278</v>
      </c>
      <c r="AV103" s="23">
        <f>EXP(-LN(2)/25)*AV102+(1-EXP(-LN(2)/25))/(LN(2)/25)*Calculateur!AQ103*Calculateur!AS103*VLOOKUP('Données projet'!$B$10,Paramètres!$A$1:$I$89,3,0)*0.475*44/12</f>
        <v>0.16522826424331255</v>
      </c>
      <c r="AW103" s="23">
        <f>EXP(-LN(2)/2)*AW102+(1-EXP(-LN(2)/2))/(LN(2)/2)*AQ103*AT103*VLOOKUP('Données projet'!$B$10,Paramètres!$A$1:$I$89,3,0)*0.475*44/12</f>
        <v>1.3665317493264611E-10</v>
      </c>
      <c r="AX103" s="23">
        <f t="shared" si="60"/>
        <v>0.33026614828119855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56.458999999999911</v>
      </c>
      <c r="D104" s="12">
        <f t="shared" si="86"/>
        <v>16.269848322350242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561.41567126024688</v>
      </c>
      <c r="H104" s="70">
        <f t="shared" si="56"/>
        <v>420.00274416142651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265.40000000000009</v>
      </c>
      <c r="O104" s="14">
        <f>N104*VLOOKUP('Données projet'!$B$9,Paramètres!$A$1:$I$89,3,0)*VLOOKUP('Données projet'!$B$9,Paramètres!$A$1:$I$89,5,0)</f>
        <v>240.13392000000007</v>
      </c>
      <c r="P104" s="14">
        <f t="shared" si="87"/>
        <v>58.468343087048616</v>
      </c>
      <c r="Q104" s="22">
        <f t="shared" si="107"/>
        <v>520.06560820994309</v>
      </c>
      <c r="R104" s="62">
        <f t="shared" si="55"/>
        <v>813.39894154327635</v>
      </c>
      <c r="S104" s="62">
        <f ca="1">AVERAGE(OFFSET($R$3,0,0,'Données projet'!$E$9+1,1))-AVERAGE(OFFSET($H$3,0,0,'Données projet'!$E$9+1,1))</f>
        <v>263.85754879271406</v>
      </c>
      <c r="T104" s="62">
        <f t="shared" si="88"/>
        <v>157.75772798974242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-5.1431925385259088E-14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313.28865457002252</v>
      </c>
      <c r="AO104" s="62">
        <f t="shared" si="90"/>
        <v>438.23149076517115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0.16180159166109911</v>
      </c>
      <c r="AV104" s="23">
        <f>EXP(-LN(2)/25)*AV103+(1-EXP(-LN(2)/25))/(LN(2)/25)*Calculateur!AQ104*Calculateur!AS104*VLOOKUP('Données projet'!$B$10,Paramètres!$A$1:$I$89,3,0)*0.475*44/12</f>
        <v>0.1607100886686024</v>
      </c>
      <c r="AW104" s="23">
        <f>EXP(-LN(2)/2)*AW103+(1-EXP(-LN(2)/2))/(LN(2)/2)*AQ104*AT104*VLOOKUP('Données projet'!$B$10,Paramètres!$A$1:$I$89,3,0)*0.475*44/12</f>
        <v>9.6628386665545597E-11</v>
      </c>
      <c r="AX104" s="23">
        <f t="shared" si="60"/>
        <v>0.32251168042632988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57.017999999999908</v>
      </c>
      <c r="D105" s="12">
        <f t="shared" si="86"/>
        <v>16.412103612717605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566.82886999290713</v>
      </c>
      <c r="H105" s="70">
        <f t="shared" si="56"/>
        <v>421.22409712548301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269.80000000000007</v>
      </c>
      <c r="O105" s="14">
        <f>N105*VLOOKUP('Données projet'!$B$9,Paramètres!$A$1:$I$89,3,0)*VLOOKUP('Données projet'!$B$9,Paramètres!$A$1:$I$89,5,0)</f>
        <v>244.11504000000008</v>
      </c>
      <c r="P105" s="14">
        <f t="shared" si="87"/>
        <v>59.324023461759062</v>
      </c>
      <c r="Q105" s="22">
        <f t="shared" si="107"/>
        <v>528.48970219589717</v>
      </c>
      <c r="R105" s="62">
        <f t="shared" si="55"/>
        <v>821.82303552923054</v>
      </c>
      <c r="S105" s="62">
        <f ca="1">AVERAGE(OFFSET($R$3,0,0,'Données projet'!$E$9+1,1))-AVERAGE(OFFSET($H$3,0,0,'Données projet'!$E$9+1,1))</f>
        <v>263.85754879271406</v>
      </c>
      <c r="T105" s="62">
        <f t="shared" si="88"/>
        <v>157.75772798974242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-5.1431925385259088E-14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313.28865457002252</v>
      </c>
      <c r="AO105" s="62">
        <f t="shared" si="90"/>
        <v>438.23149076517115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0.15862876113785113</v>
      </c>
      <c r="AV105" s="23">
        <f>EXP(-LN(2)/25)*AV104+(1-EXP(-LN(2)/25))/(LN(2)/25)*Calculateur!AQ105*Calculateur!AS105*VLOOKUP('Données projet'!$B$10,Paramètres!$A$1:$I$89,3,0)*0.475*44/12</f>
        <v>0.15631546284258321</v>
      </c>
      <c r="AW105" s="23">
        <f>EXP(-LN(2)/2)*AW104+(1-EXP(-LN(2)/2))/(LN(2)/2)*AQ105*AT105*VLOOKUP('Données projet'!$B$10,Paramètres!$A$1:$I$89,3,0)*0.475*44/12</f>
        <v>6.8326587466323056E-11</v>
      </c>
      <c r="AX105" s="23">
        <f t="shared" si="60"/>
        <v>0.31494422404876088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57.576999999999906</v>
      </c>
      <c r="D106" s="12">
        <f t="shared" si="86"/>
        <v>16.554196654539041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572.24081628065153</v>
      </c>
      <c r="H106" s="70">
        <f t="shared" si="56"/>
        <v>422.44516750665525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274.20000000000005</v>
      </c>
      <c r="O106" s="14">
        <f>N106*VLOOKUP('Données projet'!$B$9,Paramètres!$A$1:$I$89,3,0)*VLOOKUP('Données projet'!$B$9,Paramètres!$A$1:$I$89,5,0)</f>
        <v>248.09616</v>
      </c>
      <c r="P106" s="14">
        <f t="shared" si="87"/>
        <v>60.178080967364686</v>
      </c>
      <c r="Q106" s="22">
        <f t="shared" si="107"/>
        <v>536.91096968482668</v>
      </c>
      <c r="R106" s="62">
        <f t="shared" si="55"/>
        <v>830.24430301816005</v>
      </c>
      <c r="S106" s="62">
        <f ca="1">AVERAGE(OFFSET($R$3,0,0,'Données projet'!$E$9+1,1))-AVERAGE(OFFSET($H$3,0,0,'Données projet'!$E$9+1,1))</f>
        <v>263.85754879271406</v>
      </c>
      <c r="T106" s="62">
        <f t="shared" si="88"/>
        <v>157.75772798974242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-5.1431925385259088E-14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313.28865457002252</v>
      </c>
      <c r="AO106" s="62">
        <f t="shared" si="90"/>
        <v>438.23149076517115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0.15551814788592849</v>
      </c>
      <c r="AV106" s="23">
        <f>EXP(-LN(2)/25)*AV105+(1-EXP(-LN(2)/25))/(LN(2)/25)*Calculateur!AQ106*Calculateur!AS106*VLOOKUP('Données projet'!$B$10,Paramètres!$A$1:$I$89,3,0)*0.475*44/12</f>
        <v>0.15204100829087985</v>
      </c>
      <c r="AW106" s="23">
        <f>EXP(-LN(2)/2)*AW105+(1-EXP(-LN(2)/2))/(LN(2)/2)*AQ106*AT106*VLOOKUP('Données projet'!$B$10,Paramètres!$A$1:$I$89,3,0)*0.475*44/12</f>
        <v>4.8314193332772799E-11</v>
      </c>
      <c r="AX106" s="23">
        <f t="shared" si="60"/>
        <v>0.30755915622512253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58.135999999999903</v>
      </c>
      <c r="D107" s="12">
        <f t="shared" si="86"/>
        <v>16.696129205461904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577.65152369128418</v>
      </c>
      <c r="H107" s="70">
        <f t="shared" si="56"/>
        <v>423.66595836617932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278.60000000000002</v>
      </c>
      <c r="O107" s="14">
        <f>N107*VLOOKUP('Données projet'!$B$9,Paramètres!$A$1:$I$89,3,0)*VLOOKUP('Données projet'!$B$9,Paramètres!$A$1:$I$89,5,0)</f>
        <v>252.07728</v>
      </c>
      <c r="P107" s="14">
        <f t="shared" si="87"/>
        <v>61.030544652154987</v>
      </c>
      <c r="Q107" s="22">
        <f t="shared" si="107"/>
        <v>545.32946126916988</v>
      </c>
      <c r="R107" s="62">
        <f t="shared" si="55"/>
        <v>838.66279460250325</v>
      </c>
      <c r="S107" s="62">
        <f ca="1">AVERAGE(OFFSET($R$3,0,0,'Données projet'!$E$9+1,1))-AVERAGE(OFFSET($H$3,0,0,'Données projet'!$E$9+1,1))</f>
        <v>263.85754879271406</v>
      </c>
      <c r="T107" s="62">
        <f t="shared" si="88"/>
        <v>157.75772798974242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-5.1431925385259088E-14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313.28865457002252</v>
      </c>
      <c r="AO107" s="62">
        <f t="shared" si="90"/>
        <v>438.23149076517115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0.15246853186258932</v>
      </c>
      <c r="AV107" s="23">
        <f>EXP(-LN(2)/25)*AV106+(1-EXP(-LN(2)/25))/(LN(2)/25)*Calculateur!AQ107*Calculateur!AS107*VLOOKUP('Données projet'!$B$10,Paramètres!$A$1:$I$89,3,0)*0.475*44/12</f>
        <v>0.14788343892367661</v>
      </c>
      <c r="AW107" s="23">
        <f>EXP(-LN(2)/2)*AW106+(1-EXP(-LN(2)/2))/(LN(2)/2)*AQ107*AT107*VLOOKUP('Données projet'!$B$10,Paramètres!$A$1:$I$89,3,0)*0.475*44/12</f>
        <v>3.4163293733161528E-11</v>
      </c>
      <c r="AX107" s="23">
        <f t="shared" si="60"/>
        <v>0.30035197082042925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58.694999999999901</v>
      </c>
      <c r="D108" s="12">
        <f t="shared" si="86"/>
        <v>16.837902987383803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583.06100551664622</v>
      </c>
      <c r="H108" s="70">
        <f t="shared" si="56"/>
        <v>424.88647270302658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283</v>
      </c>
      <c r="L108" s="13">
        <f>VLOOKUP(A108,'Données projet'!$A$35:$I$55,9,0)</f>
        <v>4.4000000000000004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283</v>
      </c>
      <c r="O108" s="14">
        <f>N108*VLOOKUP('Données projet'!$B$9,Paramètres!$A$1:$I$89,3,0)*VLOOKUP('Données projet'!$B$9,Paramètres!$A$1:$I$89,5,0)</f>
        <v>256.05840000000001</v>
      </c>
      <c r="P108" s="14">
        <f t="shared" si="87"/>
        <v>61.881442594256484</v>
      </c>
      <c r="Q108" s="22">
        <f t="shared" si="107"/>
        <v>553.74522585166335</v>
      </c>
      <c r="R108" s="62">
        <f t="shared" si="55"/>
        <v>847.07855918499672</v>
      </c>
      <c r="S108" s="62">
        <f ca="1">AVERAGE(OFFSET($R$3,0,0,'Données projet'!$E$9+1,1))-AVERAGE(OFFSET($H$3,0,0,'Données projet'!$E$9+1,1))</f>
        <v>263.85754879271406</v>
      </c>
      <c r="T108" s="62">
        <f t="shared" si="88"/>
        <v>157.75772798974242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20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-5.1431925385259088E-14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313.28865457002252</v>
      </c>
      <c r="AO108" s="62">
        <f t="shared" si="90"/>
        <v>438.23149076517115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0.14947871694938572</v>
      </c>
      <c r="AV108" s="23">
        <f>EXP(-LN(2)/25)*AV107+(1-EXP(-LN(2)/25))/(LN(2)/25)*Calculateur!AQ108*Calculateur!AS108*VLOOKUP('Données projet'!$B$10,Paramètres!$A$1:$I$89,3,0)*0.475*44/12</f>
        <v>0.14383955850945662</v>
      </c>
      <c r="AW108" s="23">
        <f>EXP(-LN(2)/2)*AW107+(1-EXP(-LN(2)/2))/(LN(2)/2)*AQ108*AT108*VLOOKUP('Données projet'!$B$10,Paramètres!$A$1:$I$89,3,0)*0.475*44/12</f>
        <v>2.4157096666386399E-11</v>
      </c>
      <c r="AX108" s="23">
        <f t="shared" si="60"/>
        <v>0.29331827548299949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59.253999999999898</v>
      </c>
      <c r="D109" s="12">
        <f t="shared" si="86"/>
        <v>16.97951968751314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588.46927478080249</v>
      </c>
      <c r="H109" s="70">
        <f t="shared" si="56"/>
        <v>426.10671345575184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</v>
      </c>
      <c r="N109" s="14">
        <f>IF('Données projet'!$A$36&gt;35,N108+M109-V108,IF(A109&lt;'Données projet'!$A$36,$K$205^A109,IF(A109='Données projet'!$A$36,'Données projet'!$B$36,N108+M109-V108)))</f>
        <v>267</v>
      </c>
      <c r="O109" s="14">
        <f>N109*VLOOKUP('Données projet'!$B$9,Paramètres!$A$1:$I$89,3,0)*VLOOKUP('Données projet'!$B$9,Paramètres!$A$1:$I$89,5,0)</f>
        <v>241.58159999999998</v>
      </c>
      <c r="P109" s="14">
        <f t="shared" si="87"/>
        <v>58.779689232021951</v>
      </c>
      <c r="Q109" s="22">
        <f t="shared" si="107"/>
        <v>523.12924541243819</v>
      </c>
      <c r="R109" s="62">
        <f t="shared" si="55"/>
        <v>816.46257874577145</v>
      </c>
      <c r="S109" s="62">
        <f ca="1">AVERAGE(OFFSET($R$3,0,0,'Données projet'!$E$9+1,1))-AVERAGE(OFFSET($H$3,0,0,'Données projet'!$E$9+1,1))</f>
        <v>263.85754879271406</v>
      </c>
      <c r="T109" s="62">
        <f t="shared" si="88"/>
        <v>157.75772798974242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-5.1431925385259088E-14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313.28865457002252</v>
      </c>
      <c r="AO109" s="62">
        <f t="shared" si="90"/>
        <v>438.23149076517115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0.14654753048302302</v>
      </c>
      <c r="AV109" s="23">
        <f>EXP(-LN(2)/25)*AV108+(1-EXP(-LN(2)/25))/(LN(2)/25)*Calculateur!AQ109*Calculateur!AS109*VLOOKUP('Données projet'!$B$10,Paramètres!$A$1:$I$89,3,0)*0.475*44/12</f>
        <v>0.1399062582178219</v>
      </c>
      <c r="AW109" s="23">
        <f>EXP(-LN(2)/2)*AW108+(1-EXP(-LN(2)/2))/(LN(2)/2)*AQ109*AT109*VLOOKUP('Données projet'!$B$10,Paramètres!$A$1:$I$89,3,0)*0.475*44/12</f>
        <v>1.7081646866580764E-11</v>
      </c>
      <c r="AX109" s="23">
        <f t="shared" si="60"/>
        <v>0.28645378871792659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59.812999999999896</v>
      </c>
      <c r="D110" s="12">
        <f t="shared" si="86"/>
        <v>17.12098095938844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593.87634424790997</v>
      </c>
      <c r="H110" s="70">
        <f t="shared" si="56"/>
        <v>427.32668350426798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</v>
      </c>
      <c r="N110" s="14">
        <f>IF('Données projet'!$A$36&gt;35,N109+M110-V109,IF(A110&lt;'Données projet'!$A$36,$K$205^A110,IF(A110='Données projet'!$A$36,'Données projet'!$B$36,N109+M110-V109)))</f>
        <v>271</v>
      </c>
      <c r="O110" s="14">
        <f>N110*VLOOKUP('Données projet'!$B$9,Paramètres!$A$1:$I$89,3,0)*VLOOKUP('Données projet'!$B$9,Paramètres!$A$1:$I$89,5,0)</f>
        <v>245.20079999999999</v>
      </c>
      <c r="P110" s="14">
        <f t="shared" si="87"/>
        <v>59.557107941433735</v>
      </c>
      <c r="Q110" s="22">
        <f t="shared" si="107"/>
        <v>530.78668966466364</v>
      </c>
      <c r="R110" s="62">
        <f t="shared" si="55"/>
        <v>824.12002299799701</v>
      </c>
      <c r="S110" s="62">
        <f ca="1">AVERAGE(OFFSET($R$3,0,0,'Données projet'!$E$9+1,1))-AVERAGE(OFFSET($H$3,0,0,'Données projet'!$E$9+1,1))</f>
        <v>263.85754879271406</v>
      </c>
      <c r="T110" s="62">
        <f t="shared" si="88"/>
        <v>157.75772798974242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-5.1431925385259088E-14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313.28865457002252</v>
      </c>
      <c r="AO110" s="62">
        <f t="shared" si="90"/>
        <v>438.23149076517115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0.14367382279541849</v>
      </c>
      <c r="AV110" s="23">
        <f>EXP(-LN(2)/25)*AV109+(1-EXP(-LN(2)/25))/(LN(2)/25)*Calculateur!AQ110*Calculateur!AS110*VLOOKUP('Données projet'!$B$10,Paramètres!$A$1:$I$89,3,0)*0.475*44/12</f>
        <v>0.13608051422950521</v>
      </c>
      <c r="AW110" s="23">
        <f>EXP(-LN(2)/2)*AW109+(1-EXP(-LN(2)/2))/(LN(2)/2)*AQ110*AT110*VLOOKUP('Données projet'!$B$10,Paramètres!$A$1:$I$89,3,0)*0.475*44/12</f>
        <v>1.20785483331932E-11</v>
      </c>
      <c r="AX110" s="23">
        <f t="shared" si="60"/>
        <v>0.27975433703700225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60.371999999999893</v>
      </c>
      <c r="D111" s="12">
        <f t="shared" si="86"/>
        <v>17.26228842385855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599.28222642978437</v>
      </c>
      <c r="H111" s="70">
        <f t="shared" si="56"/>
        <v>428.54638567155342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</v>
      </c>
      <c r="N111" s="14">
        <f>IF('Données projet'!$A$36&gt;35,N110+M111-V110,IF(A111&lt;'Données projet'!$A$36,$K$205^A111,IF(A111='Données projet'!$A$36,'Données projet'!$B$36,N110+M111-V110)))</f>
        <v>275</v>
      </c>
      <c r="O111" s="14">
        <f>N111*VLOOKUP('Données projet'!$B$9,Paramètres!$A$1:$I$89,3,0)*VLOOKUP('Données projet'!$B$9,Paramètres!$A$1:$I$89,5,0)</f>
        <v>248.82000000000002</v>
      </c>
      <c r="P111" s="14">
        <f t="shared" si="87"/>
        <v>60.333192077890068</v>
      </c>
      <c r="Q111" s="22">
        <f t="shared" si="107"/>
        <v>538.44180953565854</v>
      </c>
      <c r="R111" s="62">
        <f t="shared" si="55"/>
        <v>831.77514286899191</v>
      </c>
      <c r="S111" s="62">
        <f ca="1">AVERAGE(OFFSET($R$3,0,0,'Données projet'!$E$9+1,1))-AVERAGE(OFFSET($H$3,0,0,'Données projet'!$E$9+1,1))</f>
        <v>263.85754879271406</v>
      </c>
      <c r="T111" s="62">
        <f t="shared" si="88"/>
        <v>157.75772798974242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-5.1431925385259088E-14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313.28865457002252</v>
      </c>
      <c r="AO111" s="62">
        <f t="shared" si="90"/>
        <v>438.23149076517115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0.14085646676277927</v>
      </c>
      <c r="AV111" s="23">
        <f>EXP(-LN(2)/25)*AV110+(1-EXP(-LN(2)/25))/(LN(2)/25)*Calculateur!AQ111*Calculateur!AS111*VLOOKUP('Données projet'!$B$10,Paramètres!$A$1:$I$89,3,0)*0.475*44/12</f>
        <v>0.13235938541173617</v>
      </c>
      <c r="AW111" s="23">
        <f>EXP(-LN(2)/2)*AW110+(1-EXP(-LN(2)/2))/(LN(2)/2)*AQ111*AT111*VLOOKUP('Données projet'!$B$10,Paramètres!$A$1:$I$89,3,0)*0.475*44/12</f>
        <v>8.5408234332903821E-12</v>
      </c>
      <c r="AX111" s="23">
        <f t="shared" si="60"/>
        <v>0.27321585218305627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60.930999999999891</v>
      </c>
      <c r="D112" s="12">
        <f t="shared" si="86"/>
        <v>17.403443670025414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604.68693359317786</v>
      </c>
      <c r="H112" s="70">
        <f t="shared" si="56"/>
        <v>429.76582272529407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</v>
      </c>
      <c r="N112" s="14">
        <f>IF('Données projet'!$A$36&gt;35,N111+M112-V111,IF(A112&lt;'Données projet'!$A$36,$K$205^A112,IF(A112='Données projet'!$A$36,'Données projet'!$B$36,N111+M112-V111)))</f>
        <v>279</v>
      </c>
      <c r="O112" s="14">
        <f>N112*VLOOKUP('Données projet'!$B$9,Paramètres!$A$1:$I$89,3,0)*VLOOKUP('Données projet'!$B$9,Paramètres!$A$1:$I$89,5,0)</f>
        <v>252.4392</v>
      </c>
      <c r="P112" s="14">
        <f t="shared" si="87"/>
        <v>61.107963296116218</v>
      </c>
      <c r="Q112" s="22">
        <f t="shared" si="107"/>
        <v>546.09464274073571</v>
      </c>
      <c r="R112" s="62">
        <f t="shared" si="55"/>
        <v>839.42797607406897</v>
      </c>
      <c r="S112" s="62">
        <f ca="1">AVERAGE(OFFSET($R$3,0,0,'Données projet'!$E$9+1,1))-AVERAGE(OFFSET($H$3,0,0,'Données projet'!$E$9+1,1))</f>
        <v>263.85754879271406</v>
      </c>
      <c r="T112" s="62">
        <f t="shared" si="88"/>
        <v>157.75772798974242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-5.1431925385259088E-14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313.28865457002252</v>
      </c>
      <c r="AO112" s="62">
        <f t="shared" si="90"/>
        <v>438.23149076517115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0.1380943573635226</v>
      </c>
      <c r="AV112" s="23">
        <f>EXP(-LN(2)/25)*AV111+(1-EXP(-LN(2)/25))/(LN(2)/25)*Calculateur!AQ112*Calculateur!AS112*VLOOKUP('Données projet'!$B$10,Paramètres!$A$1:$I$89,3,0)*0.475*44/12</f>
        <v>0.12874001105717467</v>
      </c>
      <c r="AW112" s="23">
        <f>EXP(-LN(2)/2)*AW111+(1-EXP(-LN(2)/2))/(LN(2)/2)*AQ112*AT112*VLOOKUP('Données projet'!$B$10,Paramètres!$A$1:$I$89,3,0)*0.475*44/12</f>
        <v>6.0392741665965998E-12</v>
      </c>
      <c r="AX112" s="23">
        <f t="shared" si="60"/>
        <v>0.26683436842673658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61.489999999999888</v>
      </c>
      <c r="D113" s="12">
        <f t="shared" si="86"/>
        <v>17.544448256151377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610.09047776678176</v>
      </c>
      <c r="H113" s="70">
        <f t="shared" si="56"/>
        <v>430.98499737946338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283</v>
      </c>
      <c r="L113" s="13">
        <f>VLOOKUP(A113,'Données projet'!$A$35:$I$55,9,0)</f>
        <v>4</v>
      </c>
      <c r="M113" s="13">
        <f t="array" ref="M113">INDEX(L:L,MIN(IF(ISNUMBER(L113:L309),ROW(L113:L309),"")))</f>
        <v>4</v>
      </c>
      <c r="N113" s="14">
        <f>IF('Données projet'!$A$36&gt;35,N112+M113-V112,IF(A113&lt;'Données projet'!$A$36,$K$205^A113,IF(A113='Données projet'!$A$36,'Données projet'!$B$36,N112+M113-V112)))</f>
        <v>283</v>
      </c>
      <c r="O113" s="14">
        <f>N113*VLOOKUP('Données projet'!$B$9,Paramètres!$A$1:$I$89,3,0)*VLOOKUP('Données projet'!$B$9,Paramètres!$A$1:$I$89,5,0)</f>
        <v>256.05840000000001</v>
      </c>
      <c r="P113" s="14">
        <f t="shared" si="87"/>
        <v>61.881442594256484</v>
      </c>
      <c r="Q113" s="22">
        <f t="shared" si="107"/>
        <v>553.74522585166335</v>
      </c>
      <c r="R113" s="62">
        <f t="shared" si="55"/>
        <v>847.07855918499672</v>
      </c>
      <c r="S113" s="62">
        <f ca="1">AVERAGE(OFFSET($R$3,0,0,'Données projet'!$E$9+1,1))-AVERAGE(OFFSET($H$3,0,0,'Données projet'!$E$9+1,1))</f>
        <v>263.85754879271406</v>
      </c>
      <c r="T113" s="62">
        <f t="shared" si="88"/>
        <v>157.75772798974242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-5.1431925385259088E-14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313.28865457002252</v>
      </c>
      <c r="AO113" s="62">
        <f t="shared" si="90"/>
        <v>438.23149076517115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0.13538641124486497</v>
      </c>
      <c r="AV113" s="23">
        <f>EXP(-LN(2)/25)*AV112+(1-EXP(-LN(2)/25))/(LN(2)/25)*Calculateur!AQ113*Calculateur!AS113*VLOOKUP('Données projet'!$B$10,Paramètres!$A$1:$I$89,3,0)*0.475*44/12</f>
        <v>0.12521960868467327</v>
      </c>
      <c r="AW113" s="23">
        <f>EXP(-LN(2)/2)*AW112+(1-EXP(-LN(2)/2))/(LN(2)/2)*AQ113*AT113*VLOOKUP('Données projet'!$B$10,Paramètres!$A$1:$I$89,3,0)*0.475*44/12</f>
        <v>4.270411716645191E-12</v>
      </c>
      <c r="AX113" s="23">
        <f t="shared" si="60"/>
        <v>0.26060601993380866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62.048999999999886</v>
      </c>
      <c r="D114" s="12">
        <f t="shared" si="86"/>
        <v>17.685303710532441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615.49287074796894</v>
      </c>
      <c r="H114" s="70">
        <f t="shared" si="56"/>
        <v>432.20391229584379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3.8</v>
      </c>
      <c r="N114" s="14">
        <f>IF('Données projet'!$A$36&gt;35,N113+M114-V113,IF(A114&lt;'Données projet'!$A$36,$K$205^A114,IF(A114='Données projet'!$A$36,'Données projet'!$B$36,N113+M114-V113)))</f>
        <v>267.8</v>
      </c>
      <c r="O114" s="14">
        <f>N114*VLOOKUP('Données projet'!$B$9,Paramètres!$A$1:$I$89,3,0)*VLOOKUP('Données projet'!$B$9,Paramètres!$A$1:$I$89,5,0)</f>
        <v>242.30543999999998</v>
      </c>
      <c r="P114" s="14">
        <f t="shared" si="87"/>
        <v>58.935280802002701</v>
      </c>
      <c r="Q114" s="22">
        <f t="shared" si="107"/>
        <v>524.66092206348787</v>
      </c>
      <c r="R114" s="62">
        <f t="shared" si="55"/>
        <v>817.99425539682125</v>
      </c>
      <c r="S114" s="62">
        <f ca="1">AVERAGE(OFFSET($R$3,0,0,'Données projet'!$E$9+1,1))-AVERAGE(OFFSET($H$3,0,0,'Données projet'!$E$9+1,1))</f>
        <v>263.85754879271406</v>
      </c>
      <c r="T114" s="62">
        <f t="shared" si="88"/>
        <v>157.75772798974242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-5.1431925385259088E-14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313.28865457002252</v>
      </c>
      <c r="AO114" s="62">
        <f t="shared" si="90"/>
        <v>438.23149076517115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0.13273156629791016</v>
      </c>
      <c r="AV114" s="23">
        <f>EXP(-LN(2)/25)*AV113+(1-EXP(-LN(2)/25))/(LN(2)/25)*Calculateur!AQ114*Calculateur!AS114*VLOOKUP('Données projet'!$B$10,Paramètres!$A$1:$I$89,3,0)*0.475*44/12</f>
        <v>0.12179547190017785</v>
      </c>
      <c r="AW114" s="23">
        <f>EXP(-LN(2)/2)*AW113+(1-EXP(-LN(2)/2))/(LN(2)/2)*AQ114*AT114*VLOOKUP('Données projet'!$B$10,Paramètres!$A$1:$I$89,3,0)*0.475*44/12</f>
        <v>3.0196370832982999E-12</v>
      </c>
      <c r="AX114" s="23">
        <f t="shared" si="60"/>
        <v>0.25452703820110767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62.607999999999883</v>
      </c>
      <c r="D115" s="12">
        <f t="shared" si="86"/>
        <v>17.826011532339194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620.89412410928401</v>
      </c>
      <c r="H115" s="70">
        <f t="shared" si="56"/>
        <v>433.42257008549052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3.8</v>
      </c>
      <c r="N115" s="14">
        <f>IF('Données projet'!$A$36&gt;35,N114+M115-V114,IF(A115&lt;'Données projet'!$A$36,$K$205^A115,IF(A115='Données projet'!$A$36,'Données projet'!$B$36,N114+M115-V114)))</f>
        <v>271.60000000000002</v>
      </c>
      <c r="O115" s="14">
        <f>N115*VLOOKUP('Données projet'!$B$9,Paramètres!$A$1:$I$89,3,0)*VLOOKUP('Données projet'!$B$9,Paramètres!$A$1:$I$89,5,0)</f>
        <v>245.74367999999998</v>
      </c>
      <c r="P115" s="14">
        <f t="shared" si="87"/>
        <v>59.673605104126452</v>
      </c>
      <c r="Q115" s="22">
        <f t="shared" si="107"/>
        <v>531.93510488968684</v>
      </c>
      <c r="R115" s="62">
        <f t="shared" si="55"/>
        <v>825.26843822302021</v>
      </c>
      <c r="S115" s="62">
        <f ca="1">AVERAGE(OFFSET($R$3,0,0,'Données projet'!$E$9+1,1))-AVERAGE(OFFSET($H$3,0,0,'Données projet'!$E$9+1,1))</f>
        <v>263.85754879271406</v>
      </c>
      <c r="T115" s="62">
        <f t="shared" si="88"/>
        <v>157.75772798974242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-5.1431925385259088E-14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313.28865457002252</v>
      </c>
      <c r="AO115" s="62">
        <f t="shared" si="90"/>
        <v>438.23149076517115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0.13012878124106964</v>
      </c>
      <c r="AV115" s="23">
        <f>EXP(-LN(2)/25)*AV114+(1-EXP(-LN(2)/25))/(LN(2)/25)*Calculateur!AQ115*Calculateur!AS115*VLOOKUP('Données projet'!$B$10,Paramètres!$A$1:$I$89,3,0)*0.475*44/12</f>
        <v>0.11846496831612199</v>
      </c>
      <c r="AW115" s="23">
        <f>EXP(-LN(2)/2)*AW114+(1-EXP(-LN(2)/2))/(LN(2)/2)*AQ115*AT115*VLOOKUP('Données projet'!$B$10,Paramètres!$A$1:$I$89,3,0)*0.475*44/12</f>
        <v>2.1352058583225955E-12</v>
      </c>
      <c r="AX115" s="23">
        <f t="shared" si="60"/>
        <v>0.24859374955932684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63.166999999999881</v>
      </c>
      <c r="D116" s="12">
        <f t="shared" si="86"/>
        <v>17.966573192426846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626.29424920469751</v>
      </c>
      <c r="H116" s="70">
        <f t="shared" si="56"/>
        <v>434.64097331014318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3.8</v>
      </c>
      <c r="N116" s="14">
        <f>IF('Données projet'!$A$36&gt;35,N115+M116-V115,IF(A116&lt;'Données projet'!$A$36,$K$205^A116,IF(A116='Données projet'!$A$36,'Données projet'!$B$36,N115+M116-V115)))</f>
        <v>275.40000000000003</v>
      </c>
      <c r="O116" s="14">
        <f>N116*VLOOKUP('Données projet'!$B$9,Paramètres!$A$1:$I$89,3,0)*VLOOKUP('Données projet'!$B$9,Paramètres!$A$1:$I$89,5,0)</f>
        <v>249.18192000000002</v>
      </c>
      <c r="P116" s="14">
        <f t="shared" si="87"/>
        <v>60.410727929515595</v>
      </c>
      <c r="Q116" s="22">
        <f t="shared" si="107"/>
        <v>539.20719514390646</v>
      </c>
      <c r="R116" s="62">
        <f t="shared" si="55"/>
        <v>832.54052847723983</v>
      </c>
      <c r="S116" s="62">
        <f ca="1">AVERAGE(OFFSET($R$3,0,0,'Données projet'!$E$9+1,1))-AVERAGE(OFFSET($H$3,0,0,'Données projet'!$E$9+1,1))</f>
        <v>263.85754879271406</v>
      </c>
      <c r="T116" s="62">
        <f t="shared" si="88"/>
        <v>157.75772798974242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-5.1431925385259088E-14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313.28865457002252</v>
      </c>
      <c r="AO116" s="62">
        <f t="shared" si="90"/>
        <v>438.23149076517115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0.12757703521165162</v>
      </c>
      <c r="AV116" s="23">
        <f>EXP(-LN(2)/25)*AV115+(1-EXP(-LN(2)/25))/(LN(2)/25)*Calculateur!AQ116*Calculateur!AS116*VLOOKUP('Données projet'!$B$10,Paramètres!$A$1:$I$89,3,0)*0.475*44/12</f>
        <v>0.11522553752771571</v>
      </c>
      <c r="AW116" s="23">
        <f>EXP(-LN(2)/2)*AW115+(1-EXP(-LN(2)/2))/(LN(2)/2)*AQ116*AT116*VLOOKUP('Données projet'!$B$10,Paramètres!$A$1:$I$89,3,0)*0.475*44/12</f>
        <v>1.50981854164915E-12</v>
      </c>
      <c r="AX116" s="23">
        <f t="shared" si="60"/>
        <v>0.24280257274087716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63.725999999999878</v>
      </c>
      <c r="D117" s="12">
        <f t="shared" si="86"/>
        <v>18.106990134115801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631.69325717562981</v>
      </c>
      <c r="H117" s="70">
        <f t="shared" si="56"/>
        <v>435.85912448358476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3.8</v>
      </c>
      <c r="N117" s="14">
        <f>IF('Données projet'!$A$36&gt;35,N116+M117-V116,IF(A117&lt;'Données projet'!$A$36,$K$205^A117,IF(A117='Données projet'!$A$36,'Données projet'!$B$36,N116+M117-V116)))</f>
        <v>279.20000000000005</v>
      </c>
      <c r="O117" s="14">
        <f>N117*VLOOKUP('Données projet'!$B$9,Paramètres!$A$1:$I$89,3,0)*VLOOKUP('Données projet'!$B$9,Paramètres!$A$1:$I$89,5,0)</f>
        <v>252.62016000000003</v>
      </c>
      <c r="P117" s="14">
        <f t="shared" si="87"/>
        <v>61.14666777229877</v>
      </c>
      <c r="Q117" s="22">
        <f t="shared" si="107"/>
        <v>546.47722503675379</v>
      </c>
      <c r="R117" s="62">
        <f t="shared" si="55"/>
        <v>839.81055837008716</v>
      </c>
      <c r="S117" s="62">
        <f ca="1">AVERAGE(OFFSET($R$3,0,0,'Données projet'!$E$9+1,1))-AVERAGE(OFFSET($H$3,0,0,'Données projet'!$E$9+1,1))</f>
        <v>263.85754879271406</v>
      </c>
      <c r="T117" s="62">
        <f t="shared" si="88"/>
        <v>157.75772798974242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-5.1431925385259088E-14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313.28865457002252</v>
      </c>
      <c r="AO117" s="62">
        <f t="shared" si="90"/>
        <v>438.23149076517115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0.12507532736545909</v>
      </c>
      <c r="AV117" s="23">
        <f>EXP(-LN(2)/25)*AV116+(1-EXP(-LN(2)/25))/(LN(2)/25)*Calculateur!AQ117*Calculateur!AS117*VLOOKUP('Données projet'!$B$10,Paramètres!$A$1:$I$89,3,0)*0.475*44/12</f>
        <v>0.11207468914457265</v>
      </c>
      <c r="AW117" s="23">
        <f>EXP(-LN(2)/2)*AW116+(1-EXP(-LN(2)/2))/(LN(2)/2)*AQ117*AT117*VLOOKUP('Données projet'!$B$10,Paramètres!$A$1:$I$89,3,0)*0.475*44/12</f>
        <v>1.0676029291612978E-12</v>
      </c>
      <c r="AX117" s="23">
        <f t="shared" si="60"/>
        <v>0.23715001651109935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64.284999999999883</v>
      </c>
      <c r="D118" s="12">
        <f t="shared" si="86"/>
        <v>18.247263773943999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637.09115895675984</v>
      </c>
      <c r="H118" s="70">
        <f t="shared" si="56"/>
        <v>437.07702607295221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283</v>
      </c>
      <c r="L118" s="13">
        <f>VLOOKUP(A118,'Données projet'!$A$35:$I$55,9,0)</f>
        <v>3.8</v>
      </c>
      <c r="M118" s="13">
        <f t="array" ref="M118">INDEX(L:L,MIN(IF(ISNUMBER(L118:L314),ROW(L118:L314),"")))</f>
        <v>3.8</v>
      </c>
      <c r="N118" s="14">
        <f>IF('Données projet'!$A$36&gt;35,N117+M118-V117,IF(A118&lt;'Données projet'!$A$36,$K$205^A118,IF(A118='Données projet'!$A$36,'Données projet'!$B$36,N117+M118-V117)))</f>
        <v>283.00000000000006</v>
      </c>
      <c r="O118" s="14">
        <f>N118*VLOOKUP('Données projet'!$B$9,Paramètres!$A$1:$I$89,3,0)*VLOOKUP('Données projet'!$B$9,Paramètres!$A$1:$I$89,5,0)</f>
        <v>256.05840000000001</v>
      </c>
      <c r="P118" s="14">
        <f t="shared" si="87"/>
        <v>61.881442594256484</v>
      </c>
      <c r="Q118" s="22">
        <f t="shared" si="107"/>
        <v>553.74522585166335</v>
      </c>
      <c r="R118" s="62">
        <f t="shared" si="55"/>
        <v>847.07855918499672</v>
      </c>
      <c r="S118" s="62">
        <f ca="1">AVERAGE(OFFSET($R$3,0,0,'Données projet'!$E$9+1,1))-AVERAGE(OFFSET($H$3,0,0,'Données projet'!$E$9+1,1))</f>
        <v>263.85754879271406</v>
      </c>
      <c r="T118" s="62">
        <f t="shared" si="88"/>
        <v>157.75772798974242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18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-5.1431925385259088E-14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313.28865457002252</v>
      </c>
      <c r="AO118" s="62">
        <f t="shared" si="90"/>
        <v>438.23149076517115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0.12262267648423927</v>
      </c>
      <c r="AV118" s="23">
        <f>EXP(-LN(2)/25)*AV117+(1-EXP(-LN(2)/25))/(LN(2)/25)*Calculateur!AQ118*Calculateur!AS118*VLOOKUP('Données projet'!$B$10,Paramètres!$A$1:$I$89,3,0)*0.475*44/12</f>
        <v>0.10901000087616255</v>
      </c>
      <c r="AW118" s="23">
        <f>EXP(-LN(2)/2)*AW117+(1-EXP(-LN(2)/2))/(LN(2)/2)*AQ118*AT118*VLOOKUP('Données projet'!$B$10,Paramètres!$A$1:$I$89,3,0)*0.475*44/12</f>
        <v>7.5490927082457498E-13</v>
      </c>
      <c r="AX118" s="23">
        <f t="shared" si="60"/>
        <v>0.23163267736115672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64.84399999999988</v>
      </c>
      <c r="D119" s="12">
        <f t="shared" si="86"/>
        <v>18.387395502392327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642.48796528162404</v>
      </c>
      <c r="H119" s="70">
        <f t="shared" si="56"/>
        <v>438.29468049999969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3.6</v>
      </c>
      <c r="N119" s="14">
        <f>IF('Données projet'!$A$36&gt;35,N118+M119-V118,IF(A119&lt;'Données projet'!$A$36,$K$205^A119,IF(A119='Données projet'!$A$36,'Données projet'!$B$36,N118+M119-V118)))</f>
        <v>268.60000000000008</v>
      </c>
      <c r="O119" s="14">
        <f>N119*VLOOKUP('Données projet'!$B$9,Paramètres!$A$1:$I$89,3,0)*VLOOKUP('Données projet'!$B$9,Paramètres!$A$1:$I$89,5,0)</f>
        <v>243.02928000000006</v>
      </c>
      <c r="P119" s="14">
        <f t="shared" si="87"/>
        <v>59.090818278663519</v>
      </c>
      <c r="Q119" s="22">
        <f t="shared" si="107"/>
        <v>526.1925045020057</v>
      </c>
      <c r="R119" s="62">
        <f t="shared" si="55"/>
        <v>819.52583783533896</v>
      </c>
      <c r="S119" s="62">
        <f ca="1">AVERAGE(OFFSET($R$3,0,0,'Données projet'!$E$9+1,1))-AVERAGE(OFFSET($H$3,0,0,'Données projet'!$E$9+1,1))</f>
        <v>263.85754879271406</v>
      </c>
      <c r="T119" s="62">
        <f t="shared" si="88"/>
        <v>157.75772798974242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-5.1431925385259088E-14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313.28865457002252</v>
      </c>
      <c r="AO119" s="62">
        <f t="shared" si="90"/>
        <v>438.23149076517115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0.12021812059083085</v>
      </c>
      <c r="AV119" s="23">
        <f>EXP(-LN(2)/25)*AV118+(1-EXP(-LN(2)/25))/(LN(2)/25)*Calculateur!AQ119*Calculateur!AS119*VLOOKUP('Données projet'!$B$10,Paramètres!$A$1:$I$89,3,0)*0.475*44/12</f>
        <v>0.10602911666961709</v>
      </c>
      <c r="AW119" s="23">
        <f>EXP(-LN(2)/2)*AW118+(1-EXP(-LN(2)/2))/(LN(2)/2)*AQ119*AT119*VLOOKUP('Données projet'!$B$10,Paramètres!$A$1:$I$89,3,0)*0.475*44/12</f>
        <v>5.3380146458064888E-13</v>
      </c>
      <c r="AX119" s="23">
        <f t="shared" si="60"/>
        <v>0.22624723726098173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65.402999999999878</v>
      </c>
      <c r="D120" s="12">
        <f t="shared" si="86"/>
        <v>18.527386684584421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647.88368668801934</v>
      </c>
      <c r="H120" s="70">
        <f t="shared" si="56"/>
        <v>439.51209014231767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3.6</v>
      </c>
      <c r="N120" s="14">
        <f>IF('Données projet'!$A$36&gt;35,N119+M120-V119,IF(A120&lt;'Données projet'!$A$36,$K$205^A120,IF(A120='Données projet'!$A$36,'Données projet'!$B$36,N119+M120-V119)))</f>
        <v>272.2000000000001</v>
      </c>
      <c r="O120" s="14">
        <f>N120*VLOOKUP('Données projet'!$B$9,Paramètres!$A$1:$I$89,3,0)*VLOOKUP('Données projet'!$B$9,Paramètres!$A$1:$I$89,5,0)</f>
        <v>246.28656000000009</v>
      </c>
      <c r="P120" s="14">
        <f t="shared" si="87"/>
        <v>59.790072314231324</v>
      </c>
      <c r="Q120" s="22">
        <f t="shared" si="107"/>
        <v>533.08346794728629</v>
      </c>
      <c r="R120" s="62">
        <f t="shared" si="55"/>
        <v>826.41680128061967</v>
      </c>
      <c r="S120" s="62">
        <f ca="1">AVERAGE(OFFSET($R$3,0,0,'Données projet'!$E$9+1,1))-AVERAGE(OFFSET($H$3,0,0,'Données projet'!$E$9+1,1))</f>
        <v>263.85754879271406</v>
      </c>
      <c r="T120" s="62">
        <f t="shared" si="88"/>
        <v>157.75772798974242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-5.1431925385259088E-14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313.28865457002252</v>
      </c>
      <c r="AO120" s="62">
        <f t="shared" si="90"/>
        <v>438.23149076517115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0.1178607165718579</v>
      </c>
      <c r="AV120" s="23">
        <f>EXP(-LN(2)/25)*AV119+(1-EXP(-LN(2)/25))/(LN(2)/25)*Calculateur!AQ120*Calculateur!AS120*VLOOKUP('Données projet'!$B$10,Paramètres!$A$1:$I$89,3,0)*0.475*44/12</f>
        <v>0.1031297448984575</v>
      </c>
      <c r="AW120" s="23">
        <f>EXP(-LN(2)/2)*AW119+(1-EXP(-LN(2)/2))/(LN(2)/2)*AQ120*AT120*VLOOKUP('Données projet'!$B$10,Paramètres!$A$1:$I$89,3,0)*0.475*44/12</f>
        <v>3.7745463541228749E-13</v>
      </c>
      <c r="AX120" s="23">
        <f t="shared" si="60"/>
        <v>0.22099046147069284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65.961999999999875</v>
      </c>
      <c r="D121" s="12">
        <f t="shared" si="86"/>
        <v>18.667238660961754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653.27833352321261</v>
      </c>
      <c r="H121" s="70">
        <f t="shared" si="56"/>
        <v>440.72925733450813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3.6</v>
      </c>
      <c r="N121" s="14">
        <f>IF('Données projet'!$A$36&gt;35,N120+M121-V120,IF(A121&lt;'Données projet'!$A$36,$K$205^A121,IF(A121='Données projet'!$A$36,'Données projet'!$B$36,N120+M121-V120)))</f>
        <v>275.80000000000013</v>
      </c>
      <c r="O121" s="14">
        <f>N121*VLOOKUP('Données projet'!$B$9,Paramètres!$A$1:$I$89,3,0)*VLOOKUP('Données projet'!$B$9,Paramètres!$A$1:$I$89,5,0)</f>
        <v>249.5438400000001</v>
      </c>
      <c r="P121" s="14">
        <f t="shared" si="87"/>
        <v>60.488250673786602</v>
      </c>
      <c r="Q121" s="22">
        <f t="shared" si="107"/>
        <v>539.97255792351177</v>
      </c>
      <c r="R121" s="62">
        <f t="shared" si="55"/>
        <v>833.30589125684514</v>
      </c>
      <c r="S121" s="62">
        <f ca="1">AVERAGE(OFFSET($R$3,0,0,'Données projet'!$E$9+1,1))-AVERAGE(OFFSET($H$3,0,0,'Données projet'!$E$9+1,1))</f>
        <v>263.85754879271406</v>
      </c>
      <c r="T121" s="62">
        <f t="shared" si="88"/>
        <v>157.75772798974242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-5.1431925385259088E-14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313.28865457002252</v>
      </c>
      <c r="AO121" s="62">
        <f t="shared" si="90"/>
        <v>438.23149076517115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0.11554953980782252</v>
      </c>
      <c r="AV121" s="23">
        <f>EXP(-LN(2)/25)*AV120+(1-EXP(-LN(2)/25))/(LN(2)/25)*Calculateur!AQ121*Calculateur!AS121*VLOOKUP('Données projet'!$B$10,Paramètres!$A$1:$I$89,3,0)*0.475*44/12</f>
        <v>0.1003096566008516</v>
      </c>
      <c r="AW121" s="23">
        <f>EXP(-LN(2)/2)*AW120+(1-EXP(-LN(2)/2))/(LN(2)/2)*AQ121*AT121*VLOOKUP('Données projet'!$B$10,Paramètres!$A$1:$I$89,3,0)*0.475*44/12</f>
        <v>2.6690073229032444E-13</v>
      </c>
      <c r="AX121" s="23">
        <f t="shared" si="60"/>
        <v>0.21585919640894102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66.520999999999873</v>
      </c>
      <c r="D122" s="12">
        <f t="shared" si="86"/>
        <v>18.806952747935146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658.67191594897213</v>
      </c>
      <c r="H122" s="70">
        <f t="shared" si="56"/>
        <v>441.94618436932012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3.6</v>
      </c>
      <c r="N122" s="14">
        <f>IF('Données projet'!$A$36&gt;35,N121+M122-V121,IF(A122&lt;'Données projet'!$A$36,$K$205^A122,IF(A122='Données projet'!$A$36,'Données projet'!$B$36,N121+M122-V121)))</f>
        <v>279.40000000000015</v>
      </c>
      <c r="O122" s="14">
        <f>N122*VLOOKUP('Données projet'!$B$9,Paramètres!$A$1:$I$89,3,0)*VLOOKUP('Données projet'!$B$9,Paramètres!$A$1:$I$89,5,0)</f>
        <v>252.80112000000014</v>
      </c>
      <c r="P122" s="14">
        <f t="shared" si="87"/>
        <v>61.185369021394266</v>
      </c>
      <c r="Q122" s="22">
        <f t="shared" si="107"/>
        <v>546.85980171226186</v>
      </c>
      <c r="R122" s="62">
        <f t="shared" si="55"/>
        <v>840.19313504559523</v>
      </c>
      <c r="S122" s="62">
        <f ca="1">AVERAGE(OFFSET($R$3,0,0,'Données projet'!$E$9+1,1))-AVERAGE(OFFSET($H$3,0,0,'Données projet'!$E$9+1,1))</f>
        <v>263.85754879271406</v>
      </c>
      <c r="T122" s="62">
        <f t="shared" si="88"/>
        <v>157.75772798974242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-5.1431925385259088E-14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313.28865457002252</v>
      </c>
      <c r="AO122" s="62">
        <f t="shared" si="90"/>
        <v>438.23149076517115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0.11328368381045126</v>
      </c>
      <c r="AV122" s="23">
        <f>EXP(-LN(2)/25)*AV121+(1-EXP(-LN(2)/25))/(LN(2)/25)*Calculateur!AQ122*Calculateur!AS122*VLOOKUP('Données projet'!$B$10,Paramètres!$A$1:$I$89,3,0)*0.475*44/12</f>
        <v>9.7566683766045728E-2</v>
      </c>
      <c r="AW122" s="23">
        <f>EXP(-LN(2)/2)*AW121+(1-EXP(-LN(2)/2))/(LN(2)/2)*AQ122*AT122*VLOOKUP('Données projet'!$B$10,Paramètres!$A$1:$I$89,3,0)*0.475*44/12</f>
        <v>1.8872731770614374E-13</v>
      </c>
      <c r="AX122" s="23">
        <f t="shared" si="60"/>
        <v>0.21085036757668574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67.07999999999987</v>
      </c>
      <c r="D123" s="12">
        <f t="shared" si="86"/>
        <v>18.946530238513862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664.06444394642187</v>
      </c>
      <c r="H123" s="70">
        <f t="shared" si="56"/>
        <v>443.16287349874472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283</v>
      </c>
      <c r="L123" s="13">
        <f>VLOOKUP(A123,'Données projet'!$A$35:$I$55,9,0)</f>
        <v>3.6</v>
      </c>
      <c r="M123" s="13">
        <f t="array" ref="M123">INDEX(L:L,MIN(IF(ISNUMBER(L123:L319),ROW(L123:L319),"")))</f>
        <v>3.6</v>
      </c>
      <c r="N123" s="14">
        <f>IF('Données projet'!$A$36&gt;35,N122+M123-V122,IF(A123&lt;'Données projet'!$A$36,$K$205^A123,IF(A123='Données projet'!$A$36,'Données projet'!$B$36,N122+M123-V122)))</f>
        <v>283.00000000000017</v>
      </c>
      <c r="O123" s="14">
        <f>N123*VLOOKUP('Données projet'!$B$9,Paramètres!$A$1:$I$89,3,0)*VLOOKUP('Données projet'!$B$9,Paramètres!$A$1:$I$89,5,0)</f>
        <v>256.05840000000018</v>
      </c>
      <c r="P123" s="14">
        <f t="shared" si="87"/>
        <v>61.881442594256541</v>
      </c>
      <c r="Q123" s="22">
        <f t="shared" si="107"/>
        <v>553.7452258516638</v>
      </c>
      <c r="R123" s="62">
        <f t="shared" si="55"/>
        <v>847.07855918499718</v>
      </c>
      <c r="S123" s="62">
        <f ca="1">AVERAGE(OFFSET($R$3,0,0,'Données projet'!$E$9+1,1))-AVERAGE(OFFSET($H$3,0,0,'Données projet'!$E$9+1,1))</f>
        <v>263.85754879271406</v>
      </c>
      <c r="T123" s="62">
        <f t="shared" si="88"/>
        <v>157.75772798974242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283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-5.1431925385259088E-14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313.28865457002252</v>
      </c>
      <c r="AO123" s="62">
        <f t="shared" si="90"/>
        <v>438.23149076517115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0.11106225986715275</v>
      </c>
      <c r="AV123" s="23">
        <f>EXP(-LN(2)/25)*AV122+(1-EXP(-LN(2)/25))/(LN(2)/25)*Calculateur!AQ123*Calculateur!AS123*VLOOKUP('Données projet'!$B$10,Paramètres!$A$1:$I$89,3,0)*0.475*44/12</f>
        <v>9.48987176676543E-2</v>
      </c>
      <c r="AW123" s="23">
        <f>EXP(-LN(2)/2)*AW122+(1-EXP(-LN(2)/2))/(LN(2)/2)*AQ123*AT123*VLOOKUP('Données projet'!$B$10,Paramètres!$A$1:$I$89,3,0)*0.475*44/12</f>
        <v>1.3345036614516222E-13</v>
      </c>
      <c r="AX123" s="23">
        <f t="shared" si="60"/>
        <v>0.2059609775349405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67.638999999999868</v>
      </c>
      <c r="D124" s="12">
        <f t="shared" si="86"/>
        <v>19.085972402913047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669.45592732073135</v>
      </c>
      <c r="H124" s="70">
        <f t="shared" si="56"/>
        <v>444.37932693507332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1.7053025658242404E-13</v>
      </c>
      <c r="O124" s="14">
        <f>N124*VLOOKUP('Données projet'!$B$9,Paramètres!$A$1:$I$89,3,0)*VLOOKUP('Données projet'!$B$9,Paramètres!$A$1:$I$89,5,0)</f>
        <v>1.5429577615577727E-13</v>
      </c>
      <c r="P124" s="14">
        <f t="shared" si="87"/>
        <v>2.2038482767263348E-12</v>
      </c>
      <c r="Q124" s="22">
        <f t="shared" si="107"/>
        <v>4.107100892103012E-12</v>
      </c>
      <c r="R124" s="62">
        <f t="shared" si="55"/>
        <v>293.33333333333741</v>
      </c>
      <c r="S124" s="62">
        <f ca="1">AVERAGE(OFFSET($R$3,0,0,'Données projet'!$E$9+1,1))-AVERAGE(OFFSET($H$3,0,0,'Données projet'!$E$9+1,1))</f>
        <v>263.85754879271406</v>
      </c>
      <c r="T124" s="62">
        <f t="shared" si="88"/>
        <v>157.75772798974242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-5.1431925385259088E-14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313.28865457002252</v>
      </c>
      <c r="AO124" s="62">
        <f t="shared" si="90"/>
        <v>438.23149076517115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0.10888439669244751</v>
      </c>
      <c r="AV124" s="23">
        <f>EXP(-LN(2)/25)*AV123+(1-EXP(-LN(2)/25))/(LN(2)/25)*Calculateur!AQ124*Calculateur!AS124*VLOOKUP('Données projet'!$B$10,Paramètres!$A$1:$I$89,3,0)*0.475*44/12</f>
        <v>9.2303707242525623E-2</v>
      </c>
      <c r="AW124" s="23">
        <f>EXP(-LN(2)/2)*AW123+(1-EXP(-LN(2)/2))/(LN(2)/2)*AQ124*AT124*VLOOKUP('Données projet'!$B$10,Paramètres!$A$1:$I$89,3,0)*0.475*44/12</f>
        <v>9.4363658853071872E-14</v>
      </c>
      <c r="AX124" s="23">
        <f t="shared" si="60"/>
        <v>0.2011881039350675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68.197999999999865</v>
      </c>
      <c r="D125" s="12">
        <f t="shared" si="86"/>
        <v>19.225280489140612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674.84637570564576</v>
      </c>
      <c r="H125" s="70">
        <f t="shared" si="56"/>
        <v>445.59554685191961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1.7053025658242404E-13</v>
      </c>
      <c r="O125" s="14">
        <f>N125*VLOOKUP('Données projet'!$B$9,Paramètres!$A$1:$I$89,3,0)*VLOOKUP('Données projet'!$B$9,Paramètres!$A$1:$I$89,5,0)</f>
        <v>1.5429577615577727E-13</v>
      </c>
      <c r="P125" s="14">
        <f t="shared" si="87"/>
        <v>2.2038482767263348E-12</v>
      </c>
      <c r="Q125" s="22">
        <f t="shared" si="107"/>
        <v>4.107100892103012E-12</v>
      </c>
      <c r="R125" s="62">
        <f t="shared" si="55"/>
        <v>293.33333333333741</v>
      </c>
      <c r="S125" s="62">
        <f ca="1">AVERAGE(OFFSET($R$3,0,0,'Données projet'!$E$9+1,1))-AVERAGE(OFFSET($H$3,0,0,'Données projet'!$E$9+1,1))</f>
        <v>263.85754879271406</v>
      </c>
      <c r="T125" s="62">
        <f t="shared" si="88"/>
        <v>157.75772798974242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-5.1431925385259088E-14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313.28865457002252</v>
      </c>
      <c r="AO125" s="62">
        <f t="shared" si="90"/>
        <v>438.23149076517115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0.10674924008623286</v>
      </c>
      <c r="AV125" s="23">
        <f>EXP(-LN(2)/25)*AV124+(1-EXP(-LN(2)/25))/(LN(2)/25)*Calculateur!AQ125*Calculateur!AS125*VLOOKUP('Données projet'!$B$10,Paramètres!$A$1:$I$89,3,0)*0.475*44/12</f>
        <v>8.9779657513937766E-2</v>
      </c>
      <c r="AW125" s="23">
        <f>EXP(-LN(2)/2)*AW124+(1-EXP(-LN(2)/2))/(LN(2)/2)*AQ125*AT125*VLOOKUP('Données projet'!$B$10,Paramètres!$A$1:$I$89,3,0)*0.475*44/12</f>
        <v>6.672518307258111E-14</v>
      </c>
      <c r="AX125" s="23">
        <f t="shared" si="60"/>
        <v>0.19652889760023734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68.756999999999863</v>
      </c>
      <c r="D126" s="12">
        <f t="shared" si="86"/>
        <v>19.364455723564159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680.23579856786262</v>
      </c>
      <c r="H126" s="70">
        <f t="shared" si="56"/>
        <v>446.81153538520732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1.7053025658242404E-13</v>
      </c>
      <c r="O126" s="14">
        <f>N126*VLOOKUP('Données projet'!$B$9,Paramètres!$A$1:$I$89,3,0)*VLOOKUP('Données projet'!$B$9,Paramètres!$A$1:$I$89,5,0)</f>
        <v>1.5429577615577727E-13</v>
      </c>
      <c r="P126" s="14">
        <f t="shared" si="87"/>
        <v>2.2038482767263348E-12</v>
      </c>
      <c r="Q126" s="22">
        <f t="shared" si="107"/>
        <v>4.107100892103012E-12</v>
      </c>
      <c r="R126" s="62">
        <f t="shared" si="55"/>
        <v>293.33333333333741</v>
      </c>
      <c r="S126" s="62">
        <f ca="1">AVERAGE(OFFSET($R$3,0,0,'Données projet'!$E$9+1,1))-AVERAGE(OFFSET($H$3,0,0,'Données projet'!$E$9+1,1))</f>
        <v>263.85754879271406</v>
      </c>
      <c r="T126" s="62">
        <f t="shared" si="88"/>
        <v>157.75772798974242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-5.1431925385259088E-14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313.28865457002252</v>
      </c>
      <c r="AO126" s="62">
        <f t="shared" si="90"/>
        <v>438.23149076517115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0.10465595259874916</v>
      </c>
      <c r="AV126" s="23">
        <f>EXP(-LN(2)/25)*AV125+(1-EXP(-LN(2)/25))/(LN(2)/25)*Calculateur!AQ126*Calculateur!AS126*VLOOKUP('Données projet'!$B$10,Paramètres!$A$1:$I$89,3,0)*0.475*44/12</f>
        <v>8.7324628057912149E-2</v>
      </c>
      <c r="AW126" s="23">
        <f>EXP(-LN(2)/2)*AW125+(1-EXP(-LN(2)/2))/(LN(2)/2)*AQ126*AT126*VLOOKUP('Données projet'!$B$10,Paramètres!$A$1:$I$89,3,0)*0.475*44/12</f>
        <v>4.7181829426535936E-14</v>
      </c>
      <c r="AX126" s="23">
        <f t="shared" si="60"/>
        <v>0.19198058065670848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69.31599999999986</v>
      </c>
      <c r="D127" s="12">
        <f t="shared" si="86"/>
        <v>19.503499311459102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685.62420521126216</v>
      </c>
      <c r="H127" s="70">
        <f t="shared" si="56"/>
        <v>448.02729463412436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1.7053025658242404E-13</v>
      </c>
      <c r="O127" s="14">
        <f>N127*VLOOKUP('Données projet'!$B$9,Paramètres!$A$1:$I$89,3,0)*VLOOKUP('Données projet'!$B$9,Paramètres!$A$1:$I$89,5,0)</f>
        <v>1.5429577615577727E-13</v>
      </c>
      <c r="P127" s="14">
        <f t="shared" si="87"/>
        <v>2.2038482767263348E-12</v>
      </c>
      <c r="Q127" s="22">
        <f t="shared" si="107"/>
        <v>4.107100892103012E-12</v>
      </c>
      <c r="R127" s="62">
        <f t="shared" si="55"/>
        <v>293.33333333333741</v>
      </c>
      <c r="S127" s="62">
        <f ca="1">AVERAGE(OFFSET($R$3,0,0,'Données projet'!$E$9+1,1))-AVERAGE(OFFSET($H$3,0,0,'Données projet'!$E$9+1,1))</f>
        <v>263.85754879271406</v>
      </c>
      <c r="T127" s="62">
        <f t="shared" si="88"/>
        <v>157.75772798974242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-5.1431925385259088E-14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313.28865457002252</v>
      </c>
      <c r="AO127" s="62">
        <f t="shared" si="90"/>
        <v>438.23149076517115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0.1026037132021157</v>
      </c>
      <c r="AV127" s="23">
        <f>EXP(-LN(2)/25)*AV126+(1-EXP(-LN(2)/25))/(LN(2)/25)*Calculateur!AQ127*Calculateur!AS127*VLOOKUP('Données projet'!$B$10,Paramètres!$A$1:$I$89,3,0)*0.475*44/12</f>
        <v>8.493673151146594E-2</v>
      </c>
      <c r="AW127" s="23">
        <f>EXP(-LN(2)/2)*AW126+(1-EXP(-LN(2)/2))/(LN(2)/2)*AQ127*AT127*VLOOKUP('Données projet'!$B$10,Paramètres!$A$1:$I$89,3,0)*0.475*44/12</f>
        <v>3.3362591536290555E-14</v>
      </c>
      <c r="AX127" s="23">
        <f t="shared" si="60"/>
        <v>0.187540444713615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69.874999999999858</v>
      </c>
      <c r="D128" s="12">
        <f t="shared" si="86"/>
        <v>19.642412437538525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691.01160478099803</v>
      </c>
      <c r="H128" s="70">
        <f t="shared" si="56"/>
        <v>449.24282666204601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1.7053025658242404E-13</v>
      </c>
      <c r="O128" s="14">
        <f>N128*VLOOKUP('Données projet'!$B$9,Paramètres!$A$1:$I$89,3,0)*VLOOKUP('Données projet'!$B$9,Paramètres!$A$1:$I$89,5,0)</f>
        <v>1.5429577615577727E-13</v>
      </c>
      <c r="P128" s="14">
        <f t="shared" si="87"/>
        <v>2.2038482767263348E-12</v>
      </c>
      <c r="Q128" s="22">
        <f t="shared" si="107"/>
        <v>4.107100892103012E-12</v>
      </c>
      <c r="R128" s="62">
        <f t="shared" si="55"/>
        <v>293.33333333333741</v>
      </c>
      <c r="S128" s="62">
        <f ca="1">AVERAGE(OFFSET($R$3,0,0,'Données projet'!$E$9+1,1))-AVERAGE(OFFSET($H$3,0,0,'Données projet'!$E$9+1,1))</f>
        <v>263.85754879271406</v>
      </c>
      <c r="T128" s="62">
        <f t="shared" si="88"/>
        <v>157.75772798974242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-5.1431925385259088E-14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313.28865457002252</v>
      </c>
      <c r="AO128" s="62">
        <f t="shared" si="90"/>
        <v>438.23149076517115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0.10059171696830779</v>
      </c>
      <c r="AV128" s="23">
        <f>EXP(-LN(2)/25)*AV127+(1-EXP(-LN(2)/25))/(LN(2)/25)*Calculateur!AQ128*Calculateur!AS128*VLOOKUP('Données projet'!$B$10,Paramètres!$A$1:$I$89,3,0)*0.475*44/12</f>
        <v>8.2614132121656317E-2</v>
      </c>
      <c r="AW128" s="23">
        <f>EXP(-LN(2)/2)*AW127+(1-EXP(-LN(2)/2))/(LN(2)/2)*AQ128*AT128*VLOOKUP('Données projet'!$B$10,Paramètres!$A$1:$I$89,3,0)*0.475*44/12</f>
        <v>2.3590914713267968E-14</v>
      </c>
      <c r="AX128" s="23">
        <f t="shared" si="60"/>
        <v>0.18320584908998772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70.433999999999855</v>
      </c>
      <c r="D129" s="12">
        <f t="shared" si="86"/>
        <v>19.781196266465557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696.39800626745227</v>
      </c>
      <c r="H129" s="70">
        <f t="shared" si="56"/>
        <v>450.45813349742724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1.7053025658242404E-13</v>
      </c>
      <c r="O129" s="14">
        <f>N129*VLOOKUP('Données projet'!$B$9,Paramètres!$A$1:$I$89,3,0)*VLOOKUP('Données projet'!$B$9,Paramètres!$A$1:$I$89,5,0)</f>
        <v>1.5429577615577727E-13</v>
      </c>
      <c r="P129" s="14">
        <f t="shared" si="87"/>
        <v>2.2038482767263348E-12</v>
      </c>
      <c r="Q129" s="22">
        <f t="shared" si="107"/>
        <v>4.107100892103012E-12</v>
      </c>
      <c r="R129" s="62">
        <f t="shared" si="55"/>
        <v>293.33333333333741</v>
      </c>
      <c r="S129" s="62">
        <f ca="1">AVERAGE(OFFSET($R$3,0,0,'Données projet'!$E$9+1,1))-AVERAGE(OFFSET($H$3,0,0,'Données projet'!$E$9+1,1))</f>
        <v>263.85754879271406</v>
      </c>
      <c r="T129" s="62">
        <f t="shared" si="88"/>
        <v>157.75772798974242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-5.1431925385259088E-14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313.28865457002252</v>
      </c>
      <c r="AO129" s="62">
        <f t="shared" si="90"/>
        <v>438.23149076517115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9.8619174753448335E-2</v>
      </c>
      <c r="AV129" s="23">
        <f>EXP(-LN(2)/25)*AV128+(1-EXP(-LN(2)/25))/(LN(2)/25)*Calculateur!AQ129*Calculateur!AS129*VLOOKUP('Données projet'!$B$10,Paramètres!$A$1:$I$89,3,0)*0.475*44/12</f>
        <v>8.035504433430124E-2</v>
      </c>
      <c r="AW129" s="23">
        <f>EXP(-LN(2)/2)*AW128+(1-EXP(-LN(2)/2))/(LN(2)/2)*AQ129*AT129*VLOOKUP('Données projet'!$B$10,Paramètres!$A$1:$I$89,3,0)*0.475*44/12</f>
        <v>1.6681295768145277E-14</v>
      </c>
      <c r="AX129" s="23">
        <f t="shared" si="60"/>
        <v>0.17897421908776626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70.992999999999853</v>
      </c>
      <c r="D130" s="12">
        <f t="shared" si="86"/>
        <v>19.919851943349197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701.78341851006292</v>
      </c>
      <c r="H130" s="70">
        <f t="shared" si="56"/>
        <v>451.67321713466623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1.7053025658242404E-13</v>
      </c>
      <c r="O130" s="14">
        <f>N130*VLOOKUP('Données projet'!$B$9,Paramètres!$A$1:$I$89,3,0)*VLOOKUP('Données projet'!$B$9,Paramètres!$A$1:$I$89,5,0)</f>
        <v>1.5429577615577727E-13</v>
      </c>
      <c r="P130" s="14">
        <f t="shared" si="87"/>
        <v>2.2038482767263348E-12</v>
      </c>
      <c r="Q130" s="22">
        <f t="shared" si="107"/>
        <v>4.107100892103012E-12</v>
      </c>
      <c r="R130" s="62">
        <f t="shared" si="55"/>
        <v>293.33333333333741</v>
      </c>
      <c r="S130" s="62">
        <f ca="1">AVERAGE(OFFSET($R$3,0,0,'Données projet'!$E$9+1,1))-AVERAGE(OFFSET($H$3,0,0,'Données projet'!$E$9+1,1))</f>
        <v>263.85754879271406</v>
      </c>
      <c r="T130" s="62">
        <f t="shared" si="88"/>
        <v>157.75772798974242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-5.1431925385259088E-14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313.28865457002252</v>
      </c>
      <c r="AO130" s="62">
        <f t="shared" si="90"/>
        <v>438.23149076517115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9.6685312888290326E-2</v>
      </c>
      <c r="AV130" s="23">
        <f>EXP(-LN(2)/25)*AV129+(1-EXP(-LN(2)/25))/(LN(2)/25)*Calculateur!AQ130*Calculateur!AS130*VLOOKUP('Données projet'!$B$10,Paramètres!$A$1:$I$89,3,0)*0.475*44/12</f>
        <v>7.8157731421291649E-2</v>
      </c>
      <c r="AW130" s="23">
        <f>EXP(-LN(2)/2)*AW129+(1-EXP(-LN(2)/2))/(LN(2)/2)*AQ130*AT130*VLOOKUP('Données projet'!$B$10,Paramètres!$A$1:$I$89,3,0)*0.475*44/12</f>
        <v>1.1795457356633984E-14</v>
      </c>
      <c r="AX130" s="23">
        <f t="shared" si="60"/>
        <v>0.17484304430959377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71.55199999999985</v>
      </c>
      <c r="D131" s="12">
        <f t="shared" si="86"/>
        <v>20.058380594223749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707.16785020102441</v>
      </c>
      <c r="H131" s="70">
        <f t="shared" si="56"/>
        <v>452.88807953493938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1.7053025658242404E-13</v>
      </c>
      <c r="O131" s="14">
        <f>N131*VLOOKUP('Données projet'!$B$9,Paramètres!$A$1:$I$89,3,0)*VLOOKUP('Données projet'!$B$9,Paramètres!$A$1:$I$89,5,0)</f>
        <v>1.5429577615577727E-13</v>
      </c>
      <c r="P131" s="14">
        <f t="shared" si="87"/>
        <v>2.2038482767263348E-12</v>
      </c>
      <c r="Q131" s="22">
        <f t="shared" ref="Q131:Q153" si="108">(O131+P131)*0.475*44/12</f>
        <v>4.107100892103012E-12</v>
      </c>
      <c r="R131" s="62">
        <f t="shared" ref="R131:R194" si="109">Q131+(I131+J131)*44/12</f>
        <v>293.33333333333741</v>
      </c>
      <c r="S131" s="62">
        <f ca="1">AVERAGE(OFFSET($R$3,0,0,'Données projet'!$E$9+1,1))-AVERAGE(OFFSET($H$3,0,0,'Données projet'!$E$9+1,1))</f>
        <v>263.85754879271406</v>
      </c>
      <c r="T131" s="62">
        <f t="shared" si="88"/>
        <v>157.75772798974242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-5.1431925385259088E-14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313.28865457002252</v>
      </c>
      <c r="AO131" s="62">
        <f t="shared" si="90"/>
        <v>438.23149076517115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9.4789372874768796E-2</v>
      </c>
      <c r="AV131" s="23">
        <f>EXP(-LN(2)/25)*AV130+(1-EXP(-LN(2)/25))/(LN(2)/25)*Calculateur!AQ131*Calculateur!AS131*VLOOKUP('Données projet'!$B$10,Paramètres!$A$1:$I$89,3,0)*0.475*44/12</f>
        <v>7.6020504145439968E-2</v>
      </c>
      <c r="AW131" s="23">
        <f>EXP(-LN(2)/2)*AW130+(1-EXP(-LN(2)/2))/(LN(2)/2)*AQ131*AT131*VLOOKUP('Données projet'!$B$10,Paramètres!$A$1:$I$89,3,0)*0.475*44/12</f>
        <v>8.3406478840726387E-15</v>
      </c>
      <c r="AX131" s="23">
        <f t="shared" si="60"/>
        <v>0.17080987702021713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72.110999999999848</v>
      </c>
      <c r="D132" s="12">
        <f t="shared" si="86"/>
        <v>20.19678332651322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712.55130988887277</v>
      </c>
      <c r="H132" s="70">
        <f t="shared" ref="H132:H195" si="110">(B132+E132+F132)*44/12+(C132+D132)*0.475*44/12</f>
        <v>454.10272262701022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1.7053025658242404E-13</v>
      </c>
      <c r="O132" s="14">
        <f>N132*VLOOKUP('Données projet'!$B$9,Paramètres!$A$1:$I$89,3,0)*VLOOKUP('Données projet'!$B$9,Paramètres!$A$1:$I$89,5,0)</f>
        <v>1.5429577615577727E-13</v>
      </c>
      <c r="P132" s="14">
        <f t="shared" si="87"/>
        <v>2.2038482767263348E-12</v>
      </c>
      <c r="Q132" s="22">
        <f t="shared" si="108"/>
        <v>4.107100892103012E-12</v>
      </c>
      <c r="R132" s="62">
        <f t="shared" si="109"/>
        <v>293.33333333333741</v>
      </c>
      <c r="S132" s="62">
        <f ca="1">AVERAGE(OFFSET($R$3,0,0,'Données projet'!$E$9+1,1))-AVERAGE(OFFSET($H$3,0,0,'Données projet'!$E$9+1,1))</f>
        <v>263.85754879271406</v>
      </c>
      <c r="T132" s="62">
        <f t="shared" si="88"/>
        <v>157.75772798974242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-5.1431925385259088E-14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313.28865457002252</v>
      </c>
      <c r="AO132" s="62">
        <f t="shared" si="90"/>
        <v>438.23149076517115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9.2930611088503201E-2</v>
      </c>
      <c r="AV132" s="23">
        <f>EXP(-LN(2)/25)*AV131+(1-EXP(-LN(2)/25))/(LN(2)/25)*Calculateur!AQ132*Calculateur!AS132*VLOOKUP('Données projet'!$B$10,Paramètres!$A$1:$I$89,3,0)*0.475*44/12</f>
        <v>7.3941719461838348E-2</v>
      </c>
      <c r="AW132" s="23">
        <f>EXP(-LN(2)/2)*AW131+(1-EXP(-LN(2)/2))/(LN(2)/2)*AQ132*AT132*VLOOKUP('Données projet'!$B$10,Paramètres!$A$1:$I$89,3,0)*0.475*44/12</f>
        <v>5.897728678316992E-15</v>
      </c>
      <c r="AX132" s="23">
        <f t="shared" ref="AX132:AX153" si="114">SUM(AU132:AW132)</f>
        <v>0.16687233055034745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72.669999999999845</v>
      </c>
      <c r="D133" s="12">
        <f t="shared" ref="D133:D196" si="140">IFERROR(EXP(-1.0587+0.8836*LN(C133)+0.284),0)</f>
        <v>20.335061229480619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717.93380598195461</v>
      </c>
      <c r="H133" s="70">
        <f t="shared" si="110"/>
        <v>455.31714830801172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1.7053025658242404E-13</v>
      </c>
      <c r="O133" s="14">
        <f>N133*VLOOKUP('Données projet'!$B$9,Paramètres!$A$1:$I$89,3,0)*VLOOKUP('Données projet'!$B$9,Paramètres!$A$1:$I$89,5,0)</f>
        <v>1.5429577615577727E-13</v>
      </c>
      <c r="P133" s="14">
        <f t="shared" ref="P133:P196" si="141">EXP(-1.0587+0.8836*LN(O133)+0.284)</f>
        <v>2.2038482767263348E-12</v>
      </c>
      <c r="Q133" s="22">
        <f t="shared" si="108"/>
        <v>4.107100892103012E-12</v>
      </c>
      <c r="R133" s="62">
        <f t="shared" si="109"/>
        <v>293.33333333333741</v>
      </c>
      <c r="S133" s="62">
        <f ca="1">AVERAGE(OFFSET($R$3,0,0,'Données projet'!$E$9+1,1))-AVERAGE(OFFSET($H$3,0,0,'Données projet'!$E$9+1,1))</f>
        <v>263.85754879271406</v>
      </c>
      <c r="T133" s="62">
        <f t="shared" ref="T133:T196" si="142">$T$3</f>
        <v>157.75772798974242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-5.1431925385259088E-14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313.28865457002252</v>
      </c>
      <c r="AO133" s="62">
        <f t="shared" ref="AO133:AO196" si="144">$AO$3</f>
        <v>438.23149076517115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9.1108298487133532E-2</v>
      </c>
      <c r="AV133" s="23">
        <f>EXP(-LN(2)/25)*AV132+(1-EXP(-LN(2)/25))/(LN(2)/25)*Calculateur!AQ133*Calculateur!AS133*VLOOKUP('Données projet'!$B$10,Paramètres!$A$1:$I$89,3,0)*0.475*44/12</f>
        <v>7.1919779254728353E-2</v>
      </c>
      <c r="AW133" s="23">
        <f>EXP(-LN(2)/2)*AW132+(1-EXP(-LN(2)/2))/(LN(2)/2)*AQ133*AT133*VLOOKUP('Données projet'!$B$10,Paramètres!$A$1:$I$89,3,0)*0.475*44/12</f>
        <v>4.1703239420363194E-15</v>
      </c>
      <c r="AX133" s="23">
        <f t="shared" si="114"/>
        <v>0.16302807774186606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73.228999999999843</v>
      </c>
      <c r="D134" s="12">
        <f t="shared" si="140"/>
        <v>20.473215374663191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723.31534675178489</v>
      </c>
      <c r="H134" s="70">
        <f t="shared" si="110"/>
        <v>456.53135844420478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1.7053025658242404E-13</v>
      </c>
      <c r="O134" s="14">
        <f>N134*VLOOKUP('Données projet'!$B$9,Paramètres!$A$1:$I$89,3,0)*VLOOKUP('Données projet'!$B$9,Paramètres!$A$1:$I$89,5,0)</f>
        <v>1.5429577615577727E-13</v>
      </c>
      <c r="P134" s="14">
        <f t="shared" si="141"/>
        <v>2.2038482767263348E-12</v>
      </c>
      <c r="Q134" s="22">
        <f t="shared" si="108"/>
        <v>4.107100892103012E-12</v>
      </c>
      <c r="R134" s="62">
        <f t="shared" si="109"/>
        <v>293.33333333333741</v>
      </c>
      <c r="S134" s="62">
        <f ca="1">AVERAGE(OFFSET($R$3,0,0,'Données projet'!$E$9+1,1))-AVERAGE(OFFSET($H$3,0,0,'Données projet'!$E$9+1,1))</f>
        <v>263.85754879271406</v>
      </c>
      <c r="T134" s="62">
        <f t="shared" si="142"/>
        <v>157.75772798974242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-5.1431925385259088E-14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313.28865457002252</v>
      </c>
      <c r="AO134" s="62">
        <f t="shared" si="144"/>
        <v>438.23149076517115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8.9321720324375783E-2</v>
      </c>
      <c r="AV134" s="23">
        <f>EXP(-LN(2)/25)*AV133+(1-EXP(-LN(2)/25))/(LN(2)/25)*Calculateur!AQ134*Calculateur!AS134*VLOOKUP('Données projet'!$B$10,Paramètres!$A$1:$I$89,3,0)*0.475*44/12</f>
        <v>6.9953129108910994E-2</v>
      </c>
      <c r="AW134" s="23">
        <f>EXP(-LN(2)/2)*AW133+(1-EXP(-LN(2)/2))/(LN(2)/2)*AQ134*AT134*VLOOKUP('Données projet'!$B$10,Paramètres!$A$1:$I$89,3,0)*0.475*44/12</f>
        <v>2.948864339158496E-15</v>
      </c>
      <c r="AX134" s="23">
        <f t="shared" si="114"/>
        <v>0.15927484943328973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73.78799999999984</v>
      </c>
      <c r="D135" s="12">
        <f t="shared" si="140"/>
        <v>20.611246816293903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728.69594033630256</v>
      </c>
      <c r="H135" s="70">
        <f t="shared" si="110"/>
        <v>457.74535487171158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1.7053025658242404E-13</v>
      </c>
      <c r="O135" s="14">
        <f>N135*VLOOKUP('Données projet'!$B$9,Paramètres!$A$1:$I$89,3,0)*VLOOKUP('Données projet'!$B$9,Paramètres!$A$1:$I$89,5,0)</f>
        <v>1.5429577615577727E-13</v>
      </c>
      <c r="P135" s="14">
        <f t="shared" si="141"/>
        <v>2.2038482767263348E-12</v>
      </c>
      <c r="Q135" s="22">
        <f t="shared" si="108"/>
        <v>4.107100892103012E-12</v>
      </c>
      <c r="R135" s="62">
        <f t="shared" si="109"/>
        <v>293.33333333333741</v>
      </c>
      <c r="S135" s="62">
        <f ca="1">AVERAGE(OFFSET($R$3,0,0,'Données projet'!$E$9+1,1))-AVERAGE(OFFSET($H$3,0,0,'Données projet'!$E$9+1,1))</f>
        <v>263.85754879271406</v>
      </c>
      <c r="T135" s="62">
        <f t="shared" si="142"/>
        <v>157.75772798974242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-5.1431925385259088E-14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313.28865457002252</v>
      </c>
      <c r="AO135" s="62">
        <f t="shared" si="144"/>
        <v>438.23149076517115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8.757017586968463E-2</v>
      </c>
      <c r="AV135" s="23">
        <f>EXP(-LN(2)/25)*AV134+(1-EXP(-LN(2)/25))/(LN(2)/25)*Calculateur!AQ135*Calculateur!AS135*VLOOKUP('Données projet'!$B$10,Paramètres!$A$1:$I$89,3,0)*0.475*44/12</f>
        <v>6.8040257114752645E-2</v>
      </c>
      <c r="AW135" s="23">
        <f>EXP(-LN(2)/2)*AW134+(1-EXP(-LN(2)/2))/(LN(2)/2)*AQ135*AT135*VLOOKUP('Données projet'!$B$10,Paramètres!$A$1:$I$89,3,0)*0.475*44/12</f>
        <v>2.0851619710181597E-15</v>
      </c>
      <c r="AX135" s="23">
        <f t="shared" si="114"/>
        <v>0.15561043298443936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74.346999999999838</v>
      </c>
      <c r="D136" s="12">
        <f t="shared" si="140"/>
        <v>20.749156591709802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734.07559474302195</v>
      </c>
      <c r="H136" s="70">
        <f t="shared" si="110"/>
        <v>458.9591393972276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1.7053025658242404E-13</v>
      </c>
      <c r="O136" s="14">
        <f>N136*VLOOKUP('Données projet'!$B$9,Paramètres!$A$1:$I$89,3,0)*VLOOKUP('Données projet'!$B$9,Paramètres!$A$1:$I$89,5,0)</f>
        <v>1.5429577615577727E-13</v>
      </c>
      <c r="P136" s="14">
        <f t="shared" si="141"/>
        <v>2.2038482767263348E-12</v>
      </c>
      <c r="Q136" s="22">
        <f t="shared" si="108"/>
        <v>4.107100892103012E-12</v>
      </c>
      <c r="R136" s="62">
        <f t="shared" si="109"/>
        <v>293.33333333333741</v>
      </c>
      <c r="S136" s="62">
        <f ca="1">AVERAGE(OFFSET($R$3,0,0,'Données projet'!$E$9+1,1))-AVERAGE(OFFSET($H$3,0,0,'Données projet'!$E$9+1,1))</f>
        <v>263.85754879271406</v>
      </c>
      <c r="T136" s="62">
        <f t="shared" si="142"/>
        <v>157.75772798974242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-5.1431925385259088E-14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313.28865457002252</v>
      </c>
      <c r="AO136" s="62">
        <f t="shared" si="144"/>
        <v>438.23149076517115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8.5852978133413346E-2</v>
      </c>
      <c r="AV136" s="23">
        <f>EXP(-LN(2)/25)*AV135+(1-EXP(-LN(2)/25))/(LN(2)/25)*Calculateur!AQ136*Calculateur!AS136*VLOOKUP('Données projet'!$B$10,Paramètres!$A$1:$I$89,3,0)*0.475*44/12</f>
        <v>6.6179692705868126E-2</v>
      </c>
      <c r="AW136" s="23">
        <f>EXP(-LN(2)/2)*AW135+(1-EXP(-LN(2)/2))/(LN(2)/2)*AQ136*AT136*VLOOKUP('Données projet'!$B$10,Paramètres!$A$1:$I$89,3,0)*0.475*44/12</f>
        <v>1.474432169579248E-15</v>
      </c>
      <c r="AX136" s="23">
        <f t="shared" si="114"/>
        <v>0.15203267083928293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74.905999999999835</v>
      </c>
      <c r="D137" s="12">
        <f t="shared" si="140"/>
        <v>20.886945721747846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739.45431785208746</v>
      </c>
      <c r="H137" s="70">
        <f t="shared" si="110"/>
        <v>460.17271379871056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1.7053025658242404E-13</v>
      </c>
      <c r="O137" s="14">
        <f>N137*VLOOKUP('Données projet'!$B$9,Paramètres!$A$1:$I$89,3,0)*VLOOKUP('Données projet'!$B$9,Paramètres!$A$1:$I$89,5,0)</f>
        <v>1.5429577615577727E-13</v>
      </c>
      <c r="P137" s="14">
        <f t="shared" si="141"/>
        <v>2.2038482767263348E-12</v>
      </c>
      <c r="Q137" s="22">
        <f t="shared" si="108"/>
        <v>4.107100892103012E-12</v>
      </c>
      <c r="R137" s="62">
        <f t="shared" si="109"/>
        <v>293.33333333333741</v>
      </c>
      <c r="S137" s="62">
        <f ca="1">AVERAGE(OFFSET($R$3,0,0,'Données projet'!$E$9+1,1))-AVERAGE(OFFSET($H$3,0,0,'Données projet'!$E$9+1,1))</f>
        <v>263.85754879271406</v>
      </c>
      <c r="T137" s="62">
        <f t="shared" si="142"/>
        <v>157.75772798974242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-5.1431925385259088E-14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313.28865457002252</v>
      </c>
      <c r="AO137" s="62">
        <f t="shared" si="144"/>
        <v>438.23149076517115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8.4169453597363136E-2</v>
      </c>
      <c r="AV137" s="23">
        <f>EXP(-LN(2)/25)*AV136+(1-EXP(-LN(2)/25))/(LN(2)/25)*Calculateur!AQ137*Calculateur!AS137*VLOOKUP('Données projet'!$B$10,Paramètres!$A$1:$I$89,3,0)*0.475*44/12</f>
        <v>6.4370005528587376E-2</v>
      </c>
      <c r="AW137" s="23">
        <f>EXP(-LN(2)/2)*AW136+(1-EXP(-LN(2)/2))/(LN(2)/2)*AQ137*AT137*VLOOKUP('Données projet'!$B$10,Paramètres!$A$1:$I$89,3,0)*0.475*44/12</f>
        <v>1.0425809855090798E-15</v>
      </c>
      <c r="AX137" s="23">
        <f t="shared" si="114"/>
        <v>0.14853945912595157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75.464999999999833</v>
      </c>
      <c r="D138" s="12">
        <f t="shared" si="140"/>
        <v>21.02461521112831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744.83211741923481</v>
      </c>
      <c r="H138" s="70">
        <f t="shared" si="110"/>
        <v>461.3860798260481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1.7053025658242404E-13</v>
      </c>
      <c r="O138" s="14">
        <f>N138*VLOOKUP('Données projet'!$B$9,Paramètres!$A$1:$I$89,3,0)*VLOOKUP('Données projet'!$B$9,Paramètres!$A$1:$I$89,5,0)</f>
        <v>1.5429577615577727E-13</v>
      </c>
      <c r="P138" s="14">
        <f t="shared" si="141"/>
        <v>2.2038482767263348E-12</v>
      </c>
      <c r="Q138" s="22">
        <f t="shared" si="108"/>
        <v>4.107100892103012E-12</v>
      </c>
      <c r="R138" s="62">
        <f t="shared" si="109"/>
        <v>293.33333333333741</v>
      </c>
      <c r="S138" s="62">
        <f ca="1">AVERAGE(OFFSET($R$3,0,0,'Données projet'!$E$9+1,1))-AVERAGE(OFFSET($H$3,0,0,'Données projet'!$E$9+1,1))</f>
        <v>263.85754879271406</v>
      </c>
      <c r="T138" s="62">
        <f t="shared" si="142"/>
        <v>157.75772798974242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-5.1431925385259088E-14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313.28865457002252</v>
      </c>
      <c r="AO138" s="62">
        <f t="shared" si="144"/>
        <v>438.23149076517115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8.2518941950616306E-2</v>
      </c>
      <c r="AV138" s="23">
        <f>EXP(-LN(2)/25)*AV137+(1-EXP(-LN(2)/25))/(LN(2)/25)*Calculateur!AQ138*Calculateur!AS138*VLOOKUP('Données projet'!$B$10,Paramètres!$A$1:$I$89,3,0)*0.475*44/12</f>
        <v>6.2609804342336678E-2</v>
      </c>
      <c r="AW138" s="23">
        <f>EXP(-LN(2)/2)*AW137+(1-EXP(-LN(2)/2))/(LN(2)/2)*AQ138*AT138*VLOOKUP('Données projet'!$B$10,Paramètres!$A$1:$I$89,3,0)*0.475*44/12</f>
        <v>7.37216084789624E-16</v>
      </c>
      <c r="AX138" s="23">
        <f t="shared" si="114"/>
        <v>0.14512874629295372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76.02399999999983</v>
      </c>
      <c r="D139" s="12">
        <f t="shared" si="140"/>
        <v>21.162166048826901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750.20900107866248</v>
      </c>
      <c r="H139" s="70">
        <f t="shared" si="110"/>
        <v>462.59923920170655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1.7053025658242404E-13</v>
      </c>
      <c r="O139" s="14">
        <f>N139*VLOOKUP('Données projet'!$B$9,Paramètres!$A$1:$I$89,3,0)*VLOOKUP('Données projet'!$B$9,Paramètres!$A$1:$I$89,5,0)</f>
        <v>1.5429577615577727E-13</v>
      </c>
      <c r="P139" s="14">
        <f t="shared" si="141"/>
        <v>2.2038482767263348E-12</v>
      </c>
      <c r="Q139" s="22">
        <f t="shared" si="108"/>
        <v>4.107100892103012E-12</v>
      </c>
      <c r="R139" s="62">
        <f t="shared" si="109"/>
        <v>293.33333333333741</v>
      </c>
      <c r="S139" s="62">
        <f ca="1">AVERAGE(OFFSET($R$3,0,0,'Données projet'!$E$9+1,1))-AVERAGE(OFFSET($H$3,0,0,'Données projet'!$E$9+1,1))</f>
        <v>263.85754879271406</v>
      </c>
      <c r="T139" s="62">
        <f t="shared" si="142"/>
        <v>157.75772798974242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-5.1431925385259088E-14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313.28865457002252</v>
      </c>
      <c r="AO139" s="62">
        <f t="shared" si="144"/>
        <v>438.23149076517115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8.0900795830549474E-2</v>
      </c>
      <c r="AV139" s="23">
        <f>EXP(-LN(2)/25)*AV138+(1-EXP(-LN(2)/25))/(LN(2)/25)*Calculateur!AQ139*Calculateur!AS139*VLOOKUP('Données projet'!$B$10,Paramètres!$A$1:$I$89,3,0)*0.475*44/12</f>
        <v>6.0897735950088967E-2</v>
      </c>
      <c r="AW139" s="23">
        <f>EXP(-LN(2)/2)*AW138+(1-EXP(-LN(2)/2))/(LN(2)/2)*AQ139*AT139*VLOOKUP('Données projet'!$B$10,Paramètres!$A$1:$I$89,3,0)*0.475*44/12</f>
        <v>5.2129049275453992E-16</v>
      </c>
      <c r="AX139" s="23">
        <f t="shared" si="114"/>
        <v>0.14179853178063898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76.582999999999828</v>
      </c>
      <c r="D140" s="12">
        <f t="shared" si="140"/>
        <v>21.299599208435229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755.58497634581454</v>
      </c>
      <c r="H140" s="70">
        <f t="shared" si="110"/>
        <v>463.81219362135766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1.7053025658242404E-13</v>
      </c>
      <c r="O140" s="14">
        <f>N140*VLOOKUP('Données projet'!$B$9,Paramètres!$A$1:$I$89,3,0)*VLOOKUP('Données projet'!$B$9,Paramètres!$A$1:$I$89,5,0)</f>
        <v>1.5429577615577727E-13</v>
      </c>
      <c r="P140" s="14">
        <f t="shared" si="141"/>
        <v>2.2038482767263348E-12</v>
      </c>
      <c r="Q140" s="22">
        <f t="shared" si="108"/>
        <v>4.107100892103012E-12</v>
      </c>
      <c r="R140" s="62">
        <f t="shared" si="109"/>
        <v>293.33333333333741</v>
      </c>
      <c r="S140" s="62">
        <f ca="1">AVERAGE(OFFSET($R$3,0,0,'Données projet'!$E$9+1,1))-AVERAGE(OFFSET($H$3,0,0,'Données projet'!$E$9+1,1))</f>
        <v>263.85754879271406</v>
      </c>
      <c r="T140" s="62">
        <f t="shared" si="142"/>
        <v>157.75772798974242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-5.1431925385259088E-14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313.28865457002252</v>
      </c>
      <c r="AO140" s="62">
        <f t="shared" si="144"/>
        <v>438.23149076517115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7.931438056892548E-2</v>
      </c>
      <c r="AV140" s="23">
        <f>EXP(-LN(2)/25)*AV139+(1-EXP(-LN(2)/25))/(LN(2)/25)*Calculateur!AQ140*Calculateur!AS140*VLOOKUP('Données projet'!$B$10,Paramètres!$A$1:$I$89,3,0)*0.475*44/12</f>
        <v>5.9232484158061031E-2</v>
      </c>
      <c r="AW140" s="23">
        <f>EXP(-LN(2)/2)*AW139+(1-EXP(-LN(2)/2))/(LN(2)/2)*AQ140*AT140*VLOOKUP('Données projet'!$B$10,Paramètres!$A$1:$I$89,3,0)*0.475*44/12</f>
        <v>3.68608042394812E-16</v>
      </c>
      <c r="AX140" s="23">
        <f t="shared" si="114"/>
        <v>0.13854686472698688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77.141999999999825</v>
      </c>
      <c r="D141" s="12">
        <f t="shared" si="140"/>
        <v>21.43691564851072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760.96005062008135</v>
      </c>
      <c r="H141" s="70">
        <f t="shared" si="110"/>
        <v>465.02494475448918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1.7053025658242404E-13</v>
      </c>
      <c r="O141" s="14">
        <f>N141*VLOOKUP('Données projet'!$B$9,Paramètres!$A$1:$I$89,3,0)*VLOOKUP('Données projet'!$B$9,Paramètres!$A$1:$I$89,5,0)</f>
        <v>1.5429577615577727E-13</v>
      </c>
      <c r="P141" s="14">
        <f t="shared" si="141"/>
        <v>2.2038482767263348E-12</v>
      </c>
      <c r="Q141" s="22">
        <f t="shared" si="108"/>
        <v>4.107100892103012E-12</v>
      </c>
      <c r="R141" s="62">
        <f t="shared" si="109"/>
        <v>293.33333333333741</v>
      </c>
      <c r="S141" s="62">
        <f ca="1">AVERAGE(OFFSET($R$3,0,0,'Données projet'!$E$9+1,1))-AVERAGE(OFFSET($H$3,0,0,'Données projet'!$E$9+1,1))</f>
        <v>263.85754879271406</v>
      </c>
      <c r="T141" s="62">
        <f t="shared" si="142"/>
        <v>157.75772798974242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-5.1431925385259088E-14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313.28865457002252</v>
      </c>
      <c r="AO141" s="62">
        <f t="shared" si="144"/>
        <v>438.23149076517115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7.7759073942964163E-2</v>
      </c>
      <c r="AV141" s="23">
        <f>EXP(-LN(2)/25)*AV140+(1-EXP(-LN(2)/25))/(LN(2)/25)*Calculateur!AQ141*Calculateur!AS141*VLOOKUP('Données projet'!$B$10,Paramètres!$A$1:$I$89,3,0)*0.475*44/12</f>
        <v>5.7612768763857888E-2</v>
      </c>
      <c r="AW141" s="23">
        <f>EXP(-LN(2)/2)*AW140+(1-EXP(-LN(2)/2))/(LN(2)/2)*AQ141*AT141*VLOOKUP('Données projet'!$B$10,Paramètres!$A$1:$I$89,3,0)*0.475*44/12</f>
        <v>2.6064524637726996E-16</v>
      </c>
      <c r="AX141" s="23">
        <f t="shared" si="114"/>
        <v>0.13537184270682232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77.700999999999823</v>
      </c>
      <c r="D142" s="12">
        <f t="shared" si="140"/>
        <v>21.574116312915926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766.33423118741973</v>
      </c>
      <c r="H142" s="70">
        <f t="shared" si="110"/>
        <v>466.23749424499488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1.7053025658242404E-13</v>
      </c>
      <c r="O142" s="14">
        <f>N142*VLOOKUP('Données projet'!$B$9,Paramètres!$A$1:$I$89,3,0)*VLOOKUP('Données projet'!$B$9,Paramètres!$A$1:$I$89,5,0)</f>
        <v>1.5429577615577727E-13</v>
      </c>
      <c r="P142" s="14">
        <f t="shared" si="141"/>
        <v>2.2038482767263348E-12</v>
      </c>
      <c r="Q142" s="22">
        <f t="shared" si="108"/>
        <v>4.107100892103012E-12</v>
      </c>
      <c r="R142" s="62">
        <f t="shared" si="109"/>
        <v>293.33333333333741</v>
      </c>
      <c r="S142" s="62">
        <f ca="1">AVERAGE(OFFSET($R$3,0,0,'Données projet'!$E$9+1,1))-AVERAGE(OFFSET($H$3,0,0,'Données projet'!$E$9+1,1))</f>
        <v>263.85754879271406</v>
      </c>
      <c r="T142" s="62">
        <f t="shared" si="142"/>
        <v>157.75772798974242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-5.1431925385259088E-14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313.28865457002252</v>
      </c>
      <c r="AO142" s="62">
        <f t="shared" si="144"/>
        <v>438.23149076517115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7.6234265931294579E-2</v>
      </c>
      <c r="AV142" s="23">
        <f>EXP(-LN(2)/25)*AV141+(1-EXP(-LN(2)/25))/(LN(2)/25)*Calculateur!AQ142*Calculateur!AS142*VLOOKUP('Données projet'!$B$10,Paramètres!$A$1:$I$89,3,0)*0.475*44/12</f>
        <v>5.603734457228636E-2</v>
      </c>
      <c r="AW142" s="23">
        <f>EXP(-LN(2)/2)*AW141+(1-EXP(-LN(2)/2))/(LN(2)/2)*AQ142*AT142*VLOOKUP('Données projet'!$B$10,Paramètres!$A$1:$I$89,3,0)*0.475*44/12</f>
        <v>1.84304021197406E-16</v>
      </c>
      <c r="AX142" s="23">
        <f t="shared" si="114"/>
        <v>0.13227161050358113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78.25999999999982</v>
      </c>
      <c r="D143" s="12">
        <f t="shared" si="140"/>
        <v>21.7112021311479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771.70752522289467</v>
      </c>
      <c r="H143" s="70">
        <f t="shared" si="110"/>
        <v>467.44984371174894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1.7053025658242404E-13</v>
      </c>
      <c r="O143" s="14">
        <f>N143*VLOOKUP('Données projet'!$B$9,Paramètres!$A$1:$I$89,3,0)*VLOOKUP('Données projet'!$B$9,Paramètres!$A$1:$I$89,5,0)</f>
        <v>1.5429577615577727E-13</v>
      </c>
      <c r="P143" s="14">
        <f t="shared" si="141"/>
        <v>2.2038482767263348E-12</v>
      </c>
      <c r="Q143" s="22">
        <f t="shared" si="108"/>
        <v>4.107100892103012E-12</v>
      </c>
      <c r="R143" s="62">
        <f t="shared" si="109"/>
        <v>293.33333333333741</v>
      </c>
      <c r="S143" s="62">
        <f ca="1">AVERAGE(OFFSET($R$3,0,0,'Données projet'!$E$9+1,1))-AVERAGE(OFFSET($H$3,0,0,'Données projet'!$E$9+1,1))</f>
        <v>263.85754879271406</v>
      </c>
      <c r="T143" s="62">
        <f t="shared" si="142"/>
        <v>157.75772798974242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-5.1431925385259088E-14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313.28865457002252</v>
      </c>
      <c r="AO143" s="62">
        <f t="shared" si="144"/>
        <v>438.23149076517115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7.4739358474692777E-2</v>
      </c>
      <c r="AV143" s="23">
        <f>EXP(-LN(2)/25)*AV142+(1-EXP(-LN(2)/25))/(LN(2)/25)*Calculateur!AQ143*Calculateur!AS143*VLOOKUP('Données projet'!$B$10,Paramètres!$A$1:$I$89,3,0)*0.475*44/12</f>
        <v>5.4505000438081312E-2</v>
      </c>
      <c r="AW143" s="23">
        <f>EXP(-LN(2)/2)*AW142+(1-EXP(-LN(2)/2))/(LN(2)/2)*AQ143*AT143*VLOOKUP('Données projet'!$B$10,Paramètres!$A$1:$I$89,3,0)*0.475*44/12</f>
        <v>1.3032262318863498E-16</v>
      </c>
      <c r="AX143" s="23">
        <f t="shared" si="114"/>
        <v>0.12924435891277422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78.818999999999818</v>
      </c>
      <c r="D144" s="12">
        <f t="shared" si="140"/>
        <v>21.848174018657858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777.07993979314699</v>
      </c>
      <c r="H144" s="70">
        <f t="shared" si="110"/>
        <v>468.66199474916209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1.7053025658242404E-13</v>
      </c>
      <c r="O144" s="14">
        <f>N144*VLOOKUP('Données projet'!$B$9,Paramètres!$A$1:$I$89,3,0)*VLOOKUP('Données projet'!$B$9,Paramètres!$A$1:$I$89,5,0)</f>
        <v>1.5429577615577727E-13</v>
      </c>
      <c r="P144" s="14">
        <f t="shared" si="141"/>
        <v>2.2038482767263348E-12</v>
      </c>
      <c r="Q144" s="22">
        <f t="shared" si="108"/>
        <v>4.107100892103012E-12</v>
      </c>
      <c r="R144" s="62">
        <f t="shared" si="109"/>
        <v>293.33333333333741</v>
      </c>
      <c r="S144" s="62">
        <f ca="1">AVERAGE(OFFSET($R$3,0,0,'Données projet'!$E$9+1,1))-AVERAGE(OFFSET($H$3,0,0,'Données projet'!$E$9+1,1))</f>
        <v>263.85754879271406</v>
      </c>
      <c r="T144" s="62">
        <f t="shared" si="142"/>
        <v>157.75772798974242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-5.1431925385259088E-14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313.28865457002252</v>
      </c>
      <c r="AO144" s="62">
        <f t="shared" si="144"/>
        <v>438.23149076517115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7.3273765241511427E-2</v>
      </c>
      <c r="AV144" s="23">
        <f>EXP(-LN(2)/25)*AV143+(1-EXP(-LN(2)/25))/(LN(2)/25)*Calculateur!AQ144*Calculateur!AS144*VLOOKUP('Données projet'!$B$10,Paramètres!$A$1:$I$89,3,0)*0.475*44/12</f>
        <v>5.301455833480858E-2</v>
      </c>
      <c r="AW144" s="23">
        <f>EXP(-LN(2)/2)*AW143+(1-EXP(-LN(2)/2))/(LN(2)/2)*AQ144*AT144*VLOOKUP('Données projet'!$B$10,Paramètres!$A$1:$I$89,3,0)*0.475*44/12</f>
        <v>9.2152010598703E-17</v>
      </c>
      <c r="AX144" s="23">
        <f t="shared" si="114"/>
        <v>0.12628832357632008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79.377999999999815</v>
      </c>
      <c r="D145" s="12">
        <f t="shared" si="140"/>
        <v>21.985032877161469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782.45148185878895</v>
      </c>
      <c r="H145" s="70">
        <f t="shared" si="110"/>
        <v>469.87394892772255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1.7053025658242404E-13</v>
      </c>
      <c r="O145" s="14">
        <f>N145*VLOOKUP('Données projet'!$B$9,Paramètres!$A$1:$I$89,3,0)*VLOOKUP('Données projet'!$B$9,Paramètres!$A$1:$I$89,5,0)</f>
        <v>1.5429577615577727E-13</v>
      </c>
      <c r="P145" s="14">
        <f t="shared" si="141"/>
        <v>2.2038482767263348E-12</v>
      </c>
      <c r="Q145" s="22">
        <f t="shared" si="108"/>
        <v>4.107100892103012E-12</v>
      </c>
      <c r="R145" s="62">
        <f t="shared" si="109"/>
        <v>293.33333333333741</v>
      </c>
      <c r="S145" s="62">
        <f ca="1">AVERAGE(OFFSET($R$3,0,0,'Données projet'!$E$9+1,1))-AVERAGE(OFFSET($H$3,0,0,'Données projet'!$E$9+1,1))</f>
        <v>263.85754879271406</v>
      </c>
      <c r="T145" s="62">
        <f t="shared" si="142"/>
        <v>157.75772798974242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-5.1431925385259088E-14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313.28865457002252</v>
      </c>
      <c r="AO145" s="62">
        <f t="shared" si="144"/>
        <v>438.23149076517115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7.1836911397709161E-2</v>
      </c>
      <c r="AV145" s="23">
        <f>EXP(-LN(2)/25)*AV144+(1-EXP(-LN(2)/25))/(LN(2)/25)*Calculateur!AQ145*Calculateur!AS145*VLOOKUP('Données projet'!$B$10,Paramètres!$A$1:$I$89,3,0)*0.475*44/12</f>
        <v>5.1564872449228784E-2</v>
      </c>
      <c r="AW145" s="23">
        <f>EXP(-LN(2)/2)*AW144+(1-EXP(-LN(2)/2))/(LN(2)/2)*AQ145*AT145*VLOOKUP('Données projet'!$B$10,Paramètres!$A$1:$I$89,3,0)*0.475*44/12</f>
        <v>6.516131159431749E-17</v>
      </c>
      <c r="AX145" s="23">
        <f t="shared" si="114"/>
        <v>0.12340178384693802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79.936999999999813</v>
      </c>
      <c r="D146" s="12">
        <f t="shared" si="140"/>
        <v>22.121779594940222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787.82215827673008</v>
      </c>
      <c r="H146" s="70">
        <f t="shared" si="110"/>
        <v>471.08570779452054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1.7053025658242404E-13</v>
      </c>
      <c r="O146" s="14">
        <f>N146*VLOOKUP('Données projet'!$B$9,Paramètres!$A$1:$I$89,3,0)*VLOOKUP('Données projet'!$B$9,Paramètres!$A$1:$I$89,5,0)</f>
        <v>1.5429577615577727E-13</v>
      </c>
      <c r="P146" s="14">
        <f t="shared" si="141"/>
        <v>2.2038482767263348E-12</v>
      </c>
      <c r="Q146" s="22">
        <f t="shared" si="108"/>
        <v>4.107100892103012E-12</v>
      </c>
      <c r="R146" s="62">
        <f t="shared" si="109"/>
        <v>293.33333333333741</v>
      </c>
      <c r="S146" s="62">
        <f ca="1">AVERAGE(OFFSET($R$3,0,0,'Données projet'!$E$9+1,1))-AVERAGE(OFFSET($H$3,0,0,'Données projet'!$E$9+1,1))</f>
        <v>263.85754879271406</v>
      </c>
      <c r="T146" s="62">
        <f t="shared" si="142"/>
        <v>157.75772798974242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-5.1431925385259088E-14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313.28865457002252</v>
      </c>
      <c r="AO146" s="62">
        <f t="shared" si="144"/>
        <v>438.23149076517115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7.0428233381389552E-2</v>
      </c>
      <c r="AV146" s="23">
        <f>EXP(-LN(2)/25)*AV145+(1-EXP(-LN(2)/25))/(LN(2)/25)*Calculateur!AQ146*Calculateur!AS146*VLOOKUP('Données projet'!$B$10,Paramètres!$A$1:$I$89,3,0)*0.475*44/12</f>
        <v>5.0154828300425836E-2</v>
      </c>
      <c r="AW146" s="23">
        <f>EXP(-LN(2)/2)*AW145+(1-EXP(-LN(2)/2))/(LN(2)/2)*AQ146*AT146*VLOOKUP('Données projet'!$B$10,Paramètres!$A$1:$I$89,3,0)*0.475*44/12</f>
        <v>4.60760052993515E-17</v>
      </c>
      <c r="AX146" s="23">
        <f t="shared" si="114"/>
        <v>0.12058306168181543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80.49599999999981</v>
      </c>
      <c r="D147" s="12">
        <f t="shared" si="140"/>
        <v>22.258415047134058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793.1919758024369</v>
      </c>
      <c r="H147" s="70">
        <f t="shared" si="110"/>
        <v>472.29727287375817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1.7053025658242404E-13</v>
      </c>
      <c r="O147" s="14">
        <f>N147*VLOOKUP('Données projet'!$B$9,Paramètres!$A$1:$I$89,3,0)*VLOOKUP('Données projet'!$B$9,Paramètres!$A$1:$I$89,5,0)</f>
        <v>1.5429577615577727E-13</v>
      </c>
      <c r="P147" s="14">
        <f t="shared" si="141"/>
        <v>2.2038482767263348E-12</v>
      </c>
      <c r="Q147" s="22">
        <f t="shared" si="108"/>
        <v>4.107100892103012E-12</v>
      </c>
      <c r="R147" s="62">
        <f t="shared" si="109"/>
        <v>293.33333333333741</v>
      </c>
      <c r="S147" s="62">
        <f ca="1">AVERAGE(OFFSET($R$3,0,0,'Données projet'!$E$9+1,1))-AVERAGE(OFFSET($H$3,0,0,'Données projet'!$E$9+1,1))</f>
        <v>263.85754879271406</v>
      </c>
      <c r="T147" s="62">
        <f t="shared" si="142"/>
        <v>157.75772798974242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-5.1431925385259088E-14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313.28865457002252</v>
      </c>
      <c r="AO147" s="62">
        <f t="shared" si="144"/>
        <v>438.23149076517115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6.9047178681761218E-2</v>
      </c>
      <c r="AV147" s="23">
        <f>EXP(-LN(2)/25)*AV146+(1-EXP(-LN(2)/25))/(LN(2)/25)*Calculateur!AQ147*Calculateur!AS147*VLOOKUP('Données projet'!$B$10,Paramètres!$A$1:$I$89,3,0)*0.475*44/12</f>
        <v>4.8783341883022899E-2</v>
      </c>
      <c r="AW147" s="23">
        <f>EXP(-LN(2)/2)*AW146+(1-EXP(-LN(2)/2))/(LN(2)/2)*AQ147*AT147*VLOOKUP('Données projet'!$B$10,Paramètres!$A$1:$I$89,3,0)*0.475*44/12</f>
        <v>3.2580655797158745E-17</v>
      </c>
      <c r="AX147" s="23">
        <f t="shared" si="114"/>
        <v>0.11783052056478414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81.054999999999808</v>
      </c>
      <c r="D148" s="12">
        <f t="shared" si="140"/>
        <v>22.394940096025689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798.56094109212665</v>
      </c>
      <c r="H148" s="70">
        <f t="shared" si="110"/>
        <v>473.50864566724437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1.7053025658242404E-13</v>
      </c>
      <c r="O148" s="14">
        <f>N148*VLOOKUP('Données projet'!$B$9,Paramètres!$A$1:$I$89,3,0)*VLOOKUP('Données projet'!$B$9,Paramètres!$A$1:$I$89,5,0)</f>
        <v>1.5429577615577727E-13</v>
      </c>
      <c r="P148" s="14">
        <f t="shared" si="141"/>
        <v>2.2038482767263348E-12</v>
      </c>
      <c r="Q148" s="22">
        <f t="shared" si="108"/>
        <v>4.107100892103012E-12</v>
      </c>
      <c r="R148" s="62">
        <f t="shared" si="109"/>
        <v>293.33333333333741</v>
      </c>
      <c r="S148" s="62">
        <f ca="1">AVERAGE(OFFSET($R$3,0,0,'Données projet'!$E$9+1,1))-AVERAGE(OFFSET($H$3,0,0,'Données projet'!$E$9+1,1))</f>
        <v>263.85754879271406</v>
      </c>
      <c r="T148" s="62">
        <f t="shared" si="142"/>
        <v>157.75772798974242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-5.1431925385259088E-14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313.28865457002252</v>
      </c>
      <c r="AO148" s="62">
        <f t="shared" si="144"/>
        <v>438.23149076517115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6.7693205622432404E-2</v>
      </c>
      <c r="AV148" s="23">
        <f>EXP(-LN(2)/25)*AV147+(1-EXP(-LN(2)/25))/(LN(2)/25)*Calculateur!AQ148*Calculateur!AS148*VLOOKUP('Données projet'!$B$10,Paramètres!$A$1:$I$89,3,0)*0.475*44/12</f>
        <v>4.7449358833827185E-2</v>
      </c>
      <c r="AW148" s="23">
        <f>EXP(-LN(2)/2)*AW147+(1-EXP(-LN(2)/2))/(LN(2)/2)*AQ148*AT148*VLOOKUP('Données projet'!$B$10,Paramètres!$A$1:$I$89,3,0)*0.475*44/12</f>
        <v>2.303800264967575E-17</v>
      </c>
      <c r="AX148" s="23">
        <f t="shared" si="114"/>
        <v>0.11514256445625962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81.613999999999805</v>
      </c>
      <c r="D149" s="12">
        <f t="shared" si="140"/>
        <v>22.531355591316824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803.92906070490028</v>
      </c>
      <c r="H149" s="70">
        <f t="shared" si="110"/>
        <v>474.71982765487644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1.7053025658242404E-13</v>
      </c>
      <c r="O149" s="14">
        <f>N149*VLOOKUP('Données projet'!$B$9,Paramètres!$A$1:$I$89,3,0)*VLOOKUP('Données projet'!$B$9,Paramètres!$A$1:$I$89,5,0)</f>
        <v>1.5429577615577727E-13</v>
      </c>
      <c r="P149" s="14">
        <f t="shared" si="141"/>
        <v>2.2038482767263348E-12</v>
      </c>
      <c r="Q149" s="22">
        <f t="shared" si="108"/>
        <v>4.107100892103012E-12</v>
      </c>
      <c r="R149" s="62">
        <f t="shared" si="109"/>
        <v>293.33333333333741</v>
      </c>
      <c r="S149" s="62">
        <f ca="1">AVERAGE(OFFSET($R$3,0,0,'Données projet'!$E$9+1,1))-AVERAGE(OFFSET($H$3,0,0,'Données projet'!$E$9+1,1))</f>
        <v>263.85754879271406</v>
      </c>
      <c r="T149" s="62">
        <f t="shared" si="142"/>
        <v>157.75772798974242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-5.1431925385259088E-14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313.28865457002252</v>
      </c>
      <c r="AO149" s="62">
        <f t="shared" si="144"/>
        <v>438.23149076517115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6.6365783148954999E-2</v>
      </c>
      <c r="AV149" s="23">
        <f>EXP(-LN(2)/25)*AV148+(1-EXP(-LN(2)/25))/(LN(2)/25)*Calculateur!AQ149*Calculateur!AS149*VLOOKUP('Données projet'!$B$10,Paramètres!$A$1:$I$89,3,0)*0.475*44/12</f>
        <v>4.6151853621262846E-2</v>
      </c>
      <c r="AW149" s="23">
        <f>EXP(-LN(2)/2)*AW148+(1-EXP(-LN(2)/2))/(LN(2)/2)*AQ149*AT149*VLOOKUP('Données projet'!$B$10,Paramètres!$A$1:$I$89,3,0)*0.475*44/12</f>
        <v>1.6290327898579373E-17</v>
      </c>
      <c r="AX149" s="23">
        <f t="shared" si="114"/>
        <v>0.11251763677021785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82.172999999999803</v>
      </c>
      <c r="D150" s="12">
        <f t="shared" si="140"/>
        <v>22.667662370396606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809.29634110481447</v>
      </c>
      <c r="H150" s="70">
        <f t="shared" si="110"/>
        <v>475.93082029510708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1.7053025658242404E-13</v>
      </c>
      <c r="O150" s="14">
        <f>N150*VLOOKUP('Données projet'!$B$9,Paramètres!$A$1:$I$89,3,0)*VLOOKUP('Données projet'!$B$9,Paramètres!$A$1:$I$89,5,0)</f>
        <v>1.5429577615577727E-13</v>
      </c>
      <c r="P150" s="14">
        <f t="shared" si="141"/>
        <v>2.2038482767263348E-12</v>
      </c>
      <c r="Q150" s="22">
        <f t="shared" si="108"/>
        <v>4.107100892103012E-12</v>
      </c>
      <c r="R150" s="62">
        <f t="shared" si="109"/>
        <v>293.33333333333741</v>
      </c>
      <c r="S150" s="62">
        <f ca="1">AVERAGE(OFFSET($R$3,0,0,'Données projet'!$E$9+1,1))-AVERAGE(OFFSET($H$3,0,0,'Données projet'!$E$9+1,1))</f>
        <v>263.85754879271406</v>
      </c>
      <c r="T150" s="62">
        <f t="shared" si="142"/>
        <v>157.75772798974242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-5.1431925385259088E-14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313.28865457002252</v>
      </c>
      <c r="AO150" s="62">
        <f t="shared" si="144"/>
        <v>438.23149076517115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6.5064390620534734E-2</v>
      </c>
      <c r="AV150" s="23">
        <f>EXP(-LN(2)/25)*AV149+(1-EXP(-LN(2)/25))/(LN(2)/25)*Calculateur!AQ150*Calculateur!AS150*VLOOKUP('Données projet'!$B$10,Paramètres!$A$1:$I$89,3,0)*0.475*44/12</f>
        <v>4.4889828756968911E-2</v>
      </c>
      <c r="AW150" s="23">
        <f>EXP(-LN(2)/2)*AW149+(1-EXP(-LN(2)/2))/(LN(2)/2)*AQ150*AT150*VLOOKUP('Données projet'!$B$10,Paramètres!$A$1:$I$89,3,0)*0.475*44/12</f>
        <v>1.1519001324837875E-17</v>
      </c>
      <c r="AX150" s="23">
        <f t="shared" si="114"/>
        <v>0.10995421937750366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82.7319999999998</v>
      </c>
      <c r="D151" s="12">
        <f t="shared" si="140"/>
        <v>22.803861258602545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814.66278866289542</v>
      </c>
      <c r="H151" s="70">
        <f t="shared" si="110"/>
        <v>477.14162502539909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1.7053025658242404E-13</v>
      </c>
      <c r="O151" s="14">
        <f>N151*VLOOKUP('Données projet'!$B$9,Paramètres!$A$1:$I$89,3,0)*VLOOKUP('Données projet'!$B$9,Paramètres!$A$1:$I$89,5,0)</f>
        <v>1.5429577615577727E-13</v>
      </c>
      <c r="P151" s="14">
        <f t="shared" si="141"/>
        <v>2.2038482767263348E-12</v>
      </c>
      <c r="Q151" s="22">
        <f t="shared" si="108"/>
        <v>4.107100892103012E-12</v>
      </c>
      <c r="R151" s="62">
        <f t="shared" si="109"/>
        <v>293.33333333333741</v>
      </c>
      <c r="S151" s="62">
        <f ca="1">AVERAGE(OFFSET($R$3,0,0,'Données projet'!$E$9+1,1))-AVERAGE(OFFSET($H$3,0,0,'Données projet'!$E$9+1,1))</f>
        <v>263.85754879271406</v>
      </c>
      <c r="T151" s="62">
        <f t="shared" si="142"/>
        <v>157.75772798974242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-5.1431925385259088E-14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313.28865457002252</v>
      </c>
      <c r="AO151" s="62">
        <f t="shared" si="144"/>
        <v>438.23149076517115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6.3788517605825726E-2</v>
      </c>
      <c r="AV151" s="23">
        <f>EXP(-LN(2)/25)*AV150+(1-EXP(-LN(2)/25))/(LN(2)/25)*Calculateur!AQ151*Calculateur!AS151*VLOOKUP('Données projet'!$B$10,Paramètres!$A$1:$I$89,3,0)*0.475*44/12</f>
        <v>4.3662314028956102E-2</v>
      </c>
      <c r="AW151" s="23">
        <f>EXP(-LN(2)/2)*AW150+(1-EXP(-LN(2)/2))/(LN(2)/2)*AQ151*AT151*VLOOKUP('Données projet'!$B$10,Paramètres!$A$1:$I$89,3,0)*0.475*44/12</f>
        <v>8.1451639492896863E-18</v>
      </c>
      <c r="AX151" s="23">
        <f t="shared" si="114"/>
        <v>0.10745083163478185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83.290999999999798</v>
      </c>
      <c r="D152" s="12">
        <f t="shared" si="140"/>
        <v>22.939953069474232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820.02840965909775</v>
      </c>
      <c r="H152" s="70">
        <f t="shared" si="110"/>
        <v>478.35224326266723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1.7053025658242404E-13</v>
      </c>
      <c r="O152" s="14">
        <f>N152*VLOOKUP('Données projet'!$B$9,Paramètres!$A$1:$I$89,3,0)*VLOOKUP('Données projet'!$B$9,Paramètres!$A$1:$I$89,5,0)</f>
        <v>1.5429577615577727E-13</v>
      </c>
      <c r="P152" s="14">
        <f t="shared" si="141"/>
        <v>2.2038482767263348E-12</v>
      </c>
      <c r="Q152" s="22">
        <f t="shared" si="108"/>
        <v>4.107100892103012E-12</v>
      </c>
      <c r="R152" s="62">
        <f t="shared" si="109"/>
        <v>293.33333333333741</v>
      </c>
      <c r="S152" s="62">
        <f ca="1">AVERAGE(OFFSET($R$3,0,0,'Données projet'!$E$9+1,1))-AVERAGE(OFFSET($H$3,0,0,'Données projet'!$E$9+1,1))</f>
        <v>263.85754879271406</v>
      </c>
      <c r="T152" s="62">
        <f t="shared" si="142"/>
        <v>157.75772798974242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-5.1431925385259088E-14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313.28865457002252</v>
      </c>
      <c r="AO152" s="62">
        <f t="shared" si="144"/>
        <v>438.23149076517115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6.2537663682729464E-2</v>
      </c>
      <c r="AV152" s="23">
        <f>EXP(-LN(2)/25)*AV151+(1-EXP(-LN(2)/25))/(LN(2)/25)*Calculateur!AQ152*Calculateur!AS152*VLOOKUP('Données projet'!$B$10,Paramètres!$A$1:$I$89,3,0)*0.475*44/12</f>
        <v>4.2468365755732991E-2</v>
      </c>
      <c r="AW152" s="23">
        <f>EXP(-LN(2)/2)*AW151+(1-EXP(-LN(2)/2))/(LN(2)/2)*AQ152*AT152*VLOOKUP('Données projet'!$B$10,Paramètres!$A$1:$I$89,3,0)*0.475*44/12</f>
        <v>5.7595006624189375E-18</v>
      </c>
      <c r="AX152" s="23">
        <f t="shared" si="114"/>
        <v>0.10500602943846246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83.849999999999795</v>
      </c>
      <c r="D153" s="12">
        <f t="shared" si="140"/>
        <v>23.075938604999934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825.39321028420852</v>
      </c>
      <c r="H153" s="70">
        <f t="shared" si="110"/>
        <v>479.56267640370783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1.7053025658242404E-13</v>
      </c>
      <c r="O153" s="14">
        <f>N153*VLOOKUP('Données projet'!$B$9,Paramètres!$A$1:$I$89,3,0)*VLOOKUP('Données projet'!$B$9,Paramètres!$A$1:$I$89,5,0)</f>
        <v>1.5429577615577727E-13</v>
      </c>
      <c r="P153" s="14">
        <f t="shared" si="141"/>
        <v>2.2038482767263348E-12</v>
      </c>
      <c r="Q153" s="22">
        <f t="shared" si="108"/>
        <v>4.107100892103012E-12</v>
      </c>
      <c r="R153" s="62">
        <f t="shared" si="109"/>
        <v>293.33333333333741</v>
      </c>
      <c r="S153" s="62">
        <f ca="1">AVERAGE(OFFSET($R$3,0,0,'Données projet'!$E$9+1,1))-AVERAGE(OFFSET($H$3,0,0,'Données projet'!$E$9+1,1))</f>
        <v>263.85754879271406</v>
      </c>
      <c r="T153" s="62">
        <f t="shared" si="142"/>
        <v>157.75772798974242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-5.1431925385259088E-14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313.28865457002252</v>
      </c>
      <c r="AO153" s="62">
        <f t="shared" si="144"/>
        <v>438.23149076517115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6.131133824211956E-2</v>
      </c>
      <c r="AV153" s="23">
        <f>EXP(-LN(2)/25)*AV152+(1-EXP(-LN(2)/25))/(LN(2)/25)*Calculateur!AQ153*Calculateur!AS153*VLOOKUP('Données projet'!$B$10,Paramètres!$A$1:$I$89,3,0)*0.475*44/12</f>
        <v>4.1307066060828179E-2</v>
      </c>
      <c r="AW153" s="23">
        <f>EXP(-LN(2)/2)*AW152+(1-EXP(-LN(2)/2))/(LN(2)/2)*AQ153*AT153*VLOOKUP('Données projet'!$B$10,Paramètres!$A$1:$I$89,3,0)*0.475*44/12</f>
        <v>4.0725819746448431E-18</v>
      </c>
      <c r="AX153" s="23">
        <f t="shared" si="114"/>
        <v>0.10261840430294775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84.408999999999793</v>
      </c>
      <c r="D154" s="12">
        <f t="shared" si="140"/>
        <v>23.211818655856568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830.75719664169821</v>
      </c>
      <c r="H154" s="70">
        <f t="shared" si="110"/>
        <v>480.77292582561648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1.7053025658242404E-13</v>
      </c>
      <c r="O154" s="14">
        <f>N154*VLOOKUP('Données projet'!$B$9,Paramètres!$A$1:$I$89,3,0)*VLOOKUP('Données projet'!$B$9,Paramètres!$A$1:$I$89,5,0)</f>
        <v>1.5429577615577727E-13</v>
      </c>
      <c r="P154" s="14">
        <f t="shared" si="141"/>
        <v>2.2038482767263348E-12</v>
      </c>
      <c r="Q154" s="22">
        <f t="shared" ref="Q154:Q203" si="162">(O154+P154)*0.475*44/12</f>
        <v>4.107100892103012E-12</v>
      </c>
      <c r="R154" s="62">
        <f t="shared" si="109"/>
        <v>293.33333333333741</v>
      </c>
      <c r="S154" s="62">
        <f ca="1">AVERAGE(OFFSET($R$3,0,0,'Données projet'!$E$9+1,1))-AVERAGE(OFFSET($H$3,0,0,'Données projet'!$E$9+1,1))</f>
        <v>263.85754879271406</v>
      </c>
      <c r="T154" s="62">
        <f t="shared" si="142"/>
        <v>157.75772798974242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-5.1431925385259088E-14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313.28865457002252</v>
      </c>
      <c r="AO154" s="62">
        <f t="shared" si="144"/>
        <v>438.23149076517115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6.0109060295415351E-2</v>
      </c>
      <c r="AV154" s="23">
        <f>EXP(-LN(2)/25)*AV153+(1-EXP(-LN(2)/25))/(LN(2)/25)*Calculateur!AQ154*Calculateur!AS154*VLOOKUP('Données projet'!$B$10,Paramètres!$A$1:$I$89,3,0)*0.475*44/12</f>
        <v>4.0177522167150634E-2</v>
      </c>
      <c r="AW154" s="23">
        <f>EXP(-LN(2)/2)*AW153+(1-EXP(-LN(2)/2))/(LN(2)/2)*AQ154*AT154*VLOOKUP('Données projet'!$B$10,Paramètres!$A$1:$I$89,3,0)*0.475*44/12</f>
        <v>2.8797503312094688E-18</v>
      </c>
      <c r="AX154" s="23">
        <f t="shared" ref="AX154:AX203" si="166">SUM(AU154:AW154)</f>
        <v>0.10028658246256598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84.96799999999979</v>
      </c>
      <c r="D155" s="12">
        <f t="shared" si="140"/>
        <v>23.347594001643007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836.12037474952342</v>
      </c>
      <c r="H155" s="70">
        <f t="shared" si="110"/>
        <v>481.98299288619449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1.7053025658242404E-13</v>
      </c>
      <c r="O155" s="14">
        <f>N155*VLOOKUP('Données projet'!$B$9,Paramètres!$A$1:$I$89,3,0)*VLOOKUP('Données projet'!$B$9,Paramètres!$A$1:$I$89,5,0)</f>
        <v>1.5429577615577727E-13</v>
      </c>
      <c r="P155" s="14">
        <f t="shared" si="141"/>
        <v>2.2038482767263348E-12</v>
      </c>
      <c r="Q155" s="22">
        <f t="shared" si="162"/>
        <v>4.107100892103012E-12</v>
      </c>
      <c r="R155" s="62">
        <f t="shared" si="109"/>
        <v>293.33333333333741</v>
      </c>
      <c r="S155" s="62">
        <f ca="1">AVERAGE(OFFSET($R$3,0,0,'Données projet'!$E$9+1,1))-AVERAGE(OFFSET($H$3,0,0,'Données projet'!$E$9+1,1))</f>
        <v>263.85754879271406</v>
      </c>
      <c r="T155" s="62">
        <f t="shared" si="142"/>
        <v>157.75772798974242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-5.1431925385259088E-14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313.28865457002252</v>
      </c>
      <c r="AO155" s="62">
        <f t="shared" si="144"/>
        <v>438.23149076517115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5.8930358285928873E-2</v>
      </c>
      <c r="AV155" s="23">
        <f>EXP(-LN(2)/25)*AV154+(1-EXP(-LN(2)/25))/(LN(2)/25)*Calculateur!AQ155*Calculateur!AS155*VLOOKUP('Données projet'!$B$10,Paramètres!$A$1:$I$89,3,0)*0.475*44/12</f>
        <v>3.9078865710645838E-2</v>
      </c>
      <c r="AW155" s="23">
        <f>EXP(-LN(2)/2)*AW154+(1-EXP(-LN(2)/2))/(LN(2)/2)*AQ155*AT155*VLOOKUP('Données projet'!$B$10,Paramètres!$A$1:$I$89,3,0)*0.475*44/12</f>
        <v>2.0362909873224216E-18</v>
      </c>
      <c r="AX155" s="23">
        <f t="shared" si="166"/>
        <v>9.8009223996574718E-2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85.526999999999788</v>
      </c>
      <c r="D156" s="12">
        <f t="shared" si="140"/>
        <v>23.483265411107197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841.48275054187854</v>
      </c>
      <c r="H156" s="70">
        <f t="shared" si="110"/>
        <v>483.19287892434465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1.7053025658242404E-13</v>
      </c>
      <c r="O156" s="14">
        <f>N156*VLOOKUP('Données projet'!$B$9,Paramètres!$A$1:$I$89,3,0)*VLOOKUP('Données projet'!$B$9,Paramètres!$A$1:$I$89,5,0)</f>
        <v>1.5429577615577727E-13</v>
      </c>
      <c r="P156" s="14">
        <f t="shared" si="141"/>
        <v>2.2038482767263348E-12</v>
      </c>
      <c r="Q156" s="22">
        <f t="shared" si="162"/>
        <v>4.107100892103012E-12</v>
      </c>
      <c r="R156" s="62">
        <f t="shared" si="109"/>
        <v>293.33333333333741</v>
      </c>
      <c r="S156" s="62">
        <f ca="1">AVERAGE(OFFSET($R$3,0,0,'Données projet'!$E$9+1,1))-AVERAGE(OFFSET($H$3,0,0,'Données projet'!$E$9+1,1))</f>
        <v>263.85754879271406</v>
      </c>
      <c r="T156" s="62">
        <f t="shared" si="142"/>
        <v>157.75772798974242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-5.1431925385259088E-14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313.28865457002252</v>
      </c>
      <c r="AO156" s="62">
        <f t="shared" si="144"/>
        <v>438.23149076517115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5.7774769903911193E-2</v>
      </c>
      <c r="AV156" s="23">
        <f>EXP(-LN(2)/25)*AV155+(1-EXP(-LN(2)/25))/(LN(2)/25)*Calculateur!AQ156*Calculateur!AS156*VLOOKUP('Données projet'!$B$10,Paramètres!$A$1:$I$89,3,0)*0.475*44/12</f>
        <v>3.8010252072719998E-2</v>
      </c>
      <c r="AW156" s="23">
        <f>EXP(-LN(2)/2)*AW155+(1-EXP(-LN(2)/2))/(LN(2)/2)*AQ156*AT156*VLOOKUP('Données projet'!$B$10,Paramètres!$A$1:$I$89,3,0)*0.475*44/12</f>
        <v>1.4398751656047344E-18</v>
      </c>
      <c r="AX156" s="23">
        <f t="shared" si="166"/>
        <v>9.5785021976631191E-2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86.085999999999785</v>
      </c>
      <c r="D157" s="12">
        <f t="shared" si="140"/>
        <v>23.618833642367036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846.84432987090179</v>
      </c>
      <c r="H157" s="70">
        <f t="shared" si="110"/>
        <v>484.40258526045551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1.7053025658242404E-13</v>
      </c>
      <c r="O157" s="14">
        <f>N157*VLOOKUP('Données projet'!$B$9,Paramètres!$A$1:$I$89,3,0)*VLOOKUP('Données projet'!$B$9,Paramètres!$A$1:$I$89,5,0)</f>
        <v>1.5429577615577727E-13</v>
      </c>
      <c r="P157" s="14">
        <f t="shared" si="141"/>
        <v>2.2038482767263348E-12</v>
      </c>
      <c r="Q157" s="22">
        <f t="shared" si="162"/>
        <v>4.107100892103012E-12</v>
      </c>
      <c r="R157" s="62">
        <f t="shared" si="109"/>
        <v>293.33333333333741</v>
      </c>
      <c r="S157" s="62">
        <f ca="1">AVERAGE(OFFSET($R$3,0,0,'Données projet'!$E$9+1,1))-AVERAGE(OFFSET($H$3,0,0,'Données projet'!$E$9+1,1))</f>
        <v>263.85754879271406</v>
      </c>
      <c r="T157" s="62">
        <f t="shared" si="142"/>
        <v>157.75772798974242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-5.1431925385259088E-14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313.28865457002252</v>
      </c>
      <c r="AO157" s="62">
        <f t="shared" si="144"/>
        <v>438.23149076517115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5.664184190522556E-2</v>
      </c>
      <c r="AV157" s="23">
        <f>EXP(-LN(2)/25)*AV156+(1-EXP(-LN(2)/25))/(LN(2)/25)*Calculateur!AQ157*Calculateur!AS157*VLOOKUP('Données projet'!$B$10,Paramètres!$A$1:$I$89,3,0)*0.475*44/12</f>
        <v>3.6970859730919188E-2</v>
      </c>
      <c r="AW157" s="23">
        <f>EXP(-LN(2)/2)*AW156+(1-EXP(-LN(2)/2))/(LN(2)/2)*AQ157*AT157*VLOOKUP('Données projet'!$B$10,Paramètres!$A$1:$I$89,3,0)*0.475*44/12</f>
        <v>1.0181454936612108E-18</v>
      </c>
      <c r="AX157" s="23">
        <f t="shared" si="166"/>
        <v>9.3612701636144741E-2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86.644999999999783</v>
      </c>
      <c r="D158" s="12">
        <f t="shared" si="140"/>
        <v>23.75429944312544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852.20511850833509</v>
      </c>
      <c r="H158" s="70">
        <f t="shared" si="110"/>
        <v>485.61211319677642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1.7053025658242404E-13</v>
      </c>
      <c r="O158" s="14">
        <f>N158*VLOOKUP('Données projet'!$B$9,Paramètres!$A$1:$I$89,3,0)*VLOOKUP('Données projet'!$B$9,Paramètres!$A$1:$I$89,5,0)</f>
        <v>1.5429577615577727E-13</v>
      </c>
      <c r="P158" s="14">
        <f t="shared" si="141"/>
        <v>2.2038482767263348E-12</v>
      </c>
      <c r="Q158" s="22">
        <f t="shared" si="162"/>
        <v>4.107100892103012E-12</v>
      </c>
      <c r="R158" s="62">
        <f t="shared" si="109"/>
        <v>293.33333333333741</v>
      </c>
      <c r="S158" s="62">
        <f ca="1">AVERAGE(OFFSET($R$3,0,0,'Données projet'!$E$9+1,1))-AVERAGE(OFFSET($H$3,0,0,'Données projet'!$E$9+1,1))</f>
        <v>263.85754879271406</v>
      </c>
      <c r="T158" s="62">
        <f t="shared" si="142"/>
        <v>157.75772798974242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-5.1431925385259088E-14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313.28865457002252</v>
      </c>
      <c r="AO158" s="62">
        <f t="shared" si="144"/>
        <v>438.23149076517115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5.5531129933576305E-2</v>
      </c>
      <c r="AV158" s="23">
        <f>EXP(-LN(2)/25)*AV157+(1-EXP(-LN(2)/25))/(LN(2)/25)*Calculateur!AQ158*Calculateur!AS158*VLOOKUP('Données projet'!$B$10,Paramètres!$A$1:$I$89,3,0)*0.475*44/12</f>
        <v>3.595988962736419E-2</v>
      </c>
      <c r="AW158" s="23">
        <f>EXP(-LN(2)/2)*AW157+(1-EXP(-LN(2)/2))/(LN(2)/2)*AQ158*AT158*VLOOKUP('Données projet'!$B$10,Paramètres!$A$1:$I$89,3,0)*0.475*44/12</f>
        <v>7.1993758280236719E-19</v>
      </c>
      <c r="AX158" s="23">
        <f t="shared" si="166"/>
        <v>9.1491019560940495E-2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87.20399999999978</v>
      </c>
      <c r="D159" s="12">
        <f t="shared" si="140"/>
        <v>23.889663550879664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857.5651221471395</v>
      </c>
      <c r="H159" s="70">
        <f t="shared" si="110"/>
        <v>486.82146401778164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1.7053025658242404E-13</v>
      </c>
      <c r="O159" s="14">
        <f>N159*VLOOKUP('Données projet'!$B$9,Paramètres!$A$1:$I$89,3,0)*VLOOKUP('Données projet'!$B$9,Paramètres!$A$1:$I$89,5,0)</f>
        <v>1.5429577615577727E-13</v>
      </c>
      <c r="P159" s="14">
        <f t="shared" si="141"/>
        <v>2.2038482767263348E-12</v>
      </c>
      <c r="Q159" s="22">
        <f t="shared" si="162"/>
        <v>4.107100892103012E-12</v>
      </c>
      <c r="R159" s="62">
        <f t="shared" si="109"/>
        <v>293.33333333333741</v>
      </c>
      <c r="S159" s="62">
        <f ca="1">AVERAGE(OFFSET($R$3,0,0,'Données projet'!$E$9+1,1))-AVERAGE(OFFSET($H$3,0,0,'Données projet'!$E$9+1,1))</f>
        <v>263.85754879271406</v>
      </c>
      <c r="T159" s="62">
        <f t="shared" si="142"/>
        <v>157.75772798974242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-5.1431925385259088E-14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313.28865457002252</v>
      </c>
      <c r="AO159" s="62">
        <f t="shared" si="144"/>
        <v>438.23149076517115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5.4442198346223686E-2</v>
      </c>
      <c r="AV159" s="23">
        <f>EXP(-LN(2)/25)*AV158+(1-EXP(-LN(2)/25))/(LN(2)/25)*Calculateur!AQ159*Calculateur!AS159*VLOOKUP('Données projet'!$B$10,Paramètres!$A$1:$I$89,3,0)*0.475*44/12</f>
        <v>3.4976564554455511E-2</v>
      </c>
      <c r="AW159" s="23">
        <f>EXP(-LN(2)/2)*AW158+(1-EXP(-LN(2)/2))/(LN(2)/2)*AQ159*AT159*VLOOKUP('Données projet'!$B$10,Paramètres!$A$1:$I$89,3,0)*0.475*44/12</f>
        <v>5.0907274683060539E-19</v>
      </c>
      <c r="AX159" s="23">
        <f t="shared" si="166"/>
        <v>8.9418762900679197E-2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87.762999999999778</v>
      </c>
      <c r="D160" s="12">
        <f t="shared" si="140"/>
        <v>24.024926693125117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862.92434640306931</v>
      </c>
      <c r="H160" s="70">
        <f t="shared" si="110"/>
        <v>488.03063899052586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1.7053025658242404E-13</v>
      </c>
      <c r="O160" s="14">
        <f>N160*VLOOKUP('Données projet'!$B$9,Paramètres!$A$1:$I$89,3,0)*VLOOKUP('Données projet'!$B$9,Paramètres!$A$1:$I$89,5,0)</f>
        <v>1.5429577615577727E-13</v>
      </c>
      <c r="P160" s="14">
        <f t="shared" si="141"/>
        <v>2.2038482767263348E-12</v>
      </c>
      <c r="Q160" s="22">
        <f t="shared" si="162"/>
        <v>4.107100892103012E-12</v>
      </c>
      <c r="R160" s="62">
        <f t="shared" si="109"/>
        <v>293.33333333333741</v>
      </c>
      <c r="S160" s="62">
        <f ca="1">AVERAGE(OFFSET($R$3,0,0,'Données projet'!$E$9+1,1))-AVERAGE(OFFSET($H$3,0,0,'Données projet'!$E$9+1,1))</f>
        <v>263.85754879271406</v>
      </c>
      <c r="T160" s="62">
        <f t="shared" si="142"/>
        <v>157.75772798974242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-5.1431925385259088E-14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313.28865457002252</v>
      </c>
      <c r="AO160" s="62">
        <f t="shared" si="144"/>
        <v>438.23149076517115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5.3374620043116362E-2</v>
      </c>
      <c r="AV160" s="23">
        <f>EXP(-LN(2)/25)*AV159+(1-EXP(-LN(2)/25))/(LN(2)/25)*Calculateur!AQ160*Calculateur!AS160*VLOOKUP('Données projet'!$B$10,Paramètres!$A$1:$I$89,3,0)*0.475*44/12</f>
        <v>3.4020128557376336E-2</v>
      </c>
      <c r="AW160" s="23">
        <f>EXP(-LN(2)/2)*AW159+(1-EXP(-LN(2)/2))/(LN(2)/2)*AQ160*AT160*VLOOKUP('Données projet'!$B$10,Paramètres!$A$1:$I$89,3,0)*0.475*44/12</f>
        <v>3.5996879140118359E-19</v>
      </c>
      <c r="AX160" s="23">
        <f t="shared" si="166"/>
        <v>8.7394748600492705E-2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88.321999999999775</v>
      </c>
      <c r="D161" s="12">
        <f t="shared" si="140"/>
        <v>24.160089587553845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868.28279681620336</v>
      </c>
      <c r="H161" s="70">
        <f t="shared" si="110"/>
        <v>489.23963936498916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1.7053025658242404E-13</v>
      </c>
      <c r="O161" s="14">
        <f>N161*VLOOKUP('Données projet'!$B$9,Paramètres!$A$1:$I$89,3,0)*VLOOKUP('Données projet'!$B$9,Paramètres!$A$1:$I$89,5,0)</f>
        <v>1.5429577615577727E-13</v>
      </c>
      <c r="P161" s="14">
        <f t="shared" si="141"/>
        <v>2.2038482767263348E-12</v>
      </c>
      <c r="Q161" s="22">
        <f t="shared" si="162"/>
        <v>4.107100892103012E-12</v>
      </c>
      <c r="R161" s="62">
        <f t="shared" si="109"/>
        <v>293.33333333333741</v>
      </c>
      <c r="S161" s="62">
        <f ca="1">AVERAGE(OFFSET($R$3,0,0,'Données projet'!$E$9+1,1))-AVERAGE(OFFSET($H$3,0,0,'Données projet'!$E$9+1,1))</f>
        <v>263.85754879271406</v>
      </c>
      <c r="T161" s="62">
        <f t="shared" si="142"/>
        <v>157.75772798974242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-5.1431925385259088E-14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313.28865457002252</v>
      </c>
      <c r="AO161" s="62">
        <f t="shared" si="144"/>
        <v>438.23149076517115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5.232797629937451E-2</v>
      </c>
      <c r="AV161" s="23">
        <f>EXP(-LN(2)/25)*AV160+(1-EXP(-LN(2)/25))/(LN(2)/25)*Calculateur!AQ161*Calculateur!AS161*VLOOKUP('Données projet'!$B$10,Paramètres!$A$1:$I$89,3,0)*0.475*44/12</f>
        <v>3.3089846352934077E-2</v>
      </c>
      <c r="AW161" s="23">
        <f>EXP(-LN(2)/2)*AW160+(1-EXP(-LN(2)/2))/(LN(2)/2)*AQ161*AT161*VLOOKUP('Données projet'!$B$10,Paramètres!$A$1:$I$89,3,0)*0.475*44/12</f>
        <v>2.545363734153027E-19</v>
      </c>
      <c r="AX161" s="23">
        <f t="shared" si="166"/>
        <v>8.5417822652308587E-2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88.880999999999773</v>
      </c>
      <c r="D162" s="12">
        <f t="shared" si="140"/>
        <v>24.295152942247746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873.64047885243701</v>
      </c>
      <c r="H162" s="70">
        <f t="shared" si="110"/>
        <v>490.44846637441435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1.7053025658242404E-13</v>
      </c>
      <c r="O162" s="14">
        <f>N162*VLOOKUP('Données projet'!$B$9,Paramètres!$A$1:$I$89,3,0)*VLOOKUP('Données projet'!$B$9,Paramètres!$A$1:$I$89,5,0)</f>
        <v>1.5429577615577727E-13</v>
      </c>
      <c r="P162" s="14">
        <f t="shared" si="141"/>
        <v>2.2038482767263348E-12</v>
      </c>
      <c r="Q162" s="22">
        <f t="shared" si="162"/>
        <v>4.107100892103012E-12</v>
      </c>
      <c r="R162" s="62">
        <f t="shared" si="109"/>
        <v>293.33333333333741</v>
      </c>
      <c r="S162" s="62">
        <f ca="1">AVERAGE(OFFSET($R$3,0,0,'Données projet'!$E$9+1,1))-AVERAGE(OFFSET($H$3,0,0,'Données projet'!$E$9+1,1))</f>
        <v>263.85754879271406</v>
      </c>
      <c r="T162" s="62">
        <f t="shared" si="142"/>
        <v>157.75772798974242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-5.1431925385259088E-14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313.28865457002252</v>
      </c>
      <c r="AO162" s="62">
        <f t="shared" si="144"/>
        <v>438.23149076517115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5.1301856601057787E-2</v>
      </c>
      <c r="AV162" s="23">
        <f>EXP(-LN(2)/25)*AV161+(1-EXP(-LN(2)/25))/(LN(2)/25)*Calculateur!AQ162*Calculateur!AS162*VLOOKUP('Données projet'!$B$10,Paramètres!$A$1:$I$89,3,0)*0.475*44/12</f>
        <v>3.2185002764293702E-2</v>
      </c>
      <c r="AW162" s="23">
        <f>EXP(-LN(2)/2)*AW161+(1-EXP(-LN(2)/2))/(LN(2)/2)*AQ162*AT162*VLOOKUP('Données projet'!$B$10,Paramètres!$A$1:$I$89,3,0)*0.475*44/12</f>
        <v>1.799843957005918E-19</v>
      </c>
      <c r="AX162" s="23">
        <f t="shared" si="166"/>
        <v>8.3486859365351496E-2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89.43999999999977</v>
      </c>
      <c r="D163" s="12">
        <f t="shared" si="140"/>
        <v>24.430117455866995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878.99739790493641</v>
      </c>
      <c r="H163" s="70">
        <f t="shared" si="110"/>
        <v>491.65712123563458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1.7053025658242404E-13</v>
      </c>
      <c r="O163" s="14">
        <f>N163*VLOOKUP('Données projet'!$B$9,Paramètres!$A$1:$I$89,3,0)*VLOOKUP('Données projet'!$B$9,Paramètres!$A$1:$I$89,5,0)</f>
        <v>1.5429577615577727E-13</v>
      </c>
      <c r="P163" s="14">
        <f t="shared" si="141"/>
        <v>2.2038482767263348E-12</v>
      </c>
      <c r="Q163" s="22">
        <f t="shared" si="162"/>
        <v>4.107100892103012E-12</v>
      </c>
      <c r="R163" s="62">
        <f t="shared" si="109"/>
        <v>293.33333333333741</v>
      </c>
      <c r="S163" s="62">
        <f ca="1">AVERAGE(OFFSET($R$3,0,0,'Données projet'!$E$9+1,1))-AVERAGE(OFFSET($H$3,0,0,'Données projet'!$E$9+1,1))</f>
        <v>263.85754879271406</v>
      </c>
      <c r="T163" s="62">
        <f t="shared" si="142"/>
        <v>157.75772798974242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-5.1431925385259088E-14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313.28865457002252</v>
      </c>
      <c r="AO163" s="62">
        <f t="shared" si="144"/>
        <v>438.23149076517115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5.0295858484153834E-2</v>
      </c>
      <c r="AV163" s="23">
        <f>EXP(-LN(2)/25)*AV162+(1-EXP(-LN(2)/25))/(LN(2)/25)*Calculateur!AQ163*Calculateur!AS163*VLOOKUP('Données projet'!$B$10,Paramètres!$A$1:$I$89,3,0)*0.475*44/12</f>
        <v>3.1304902171168353E-2</v>
      </c>
      <c r="AW163" s="23">
        <f>EXP(-LN(2)/2)*AW162+(1-EXP(-LN(2)/2))/(LN(2)/2)*AQ163*AT163*VLOOKUP('Données projet'!$B$10,Paramètres!$A$1:$I$89,3,0)*0.475*44/12</f>
        <v>1.2726818670765135E-19</v>
      </c>
      <c r="AX163" s="23">
        <f t="shared" si="166"/>
        <v>8.160076065532218E-2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89.998999999999768</v>
      </c>
      <c r="D164" s="12">
        <f t="shared" si="140"/>
        <v>24.564983817833372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884.35355929555408</v>
      </c>
      <c r="H164" s="70">
        <f t="shared" si="110"/>
        <v>492.86560514939265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1.7053025658242404E-13</v>
      </c>
      <c r="O164" s="14">
        <f>N164*VLOOKUP('Données projet'!$B$9,Paramètres!$A$1:$I$89,3,0)*VLOOKUP('Données projet'!$B$9,Paramètres!$A$1:$I$89,5,0)</f>
        <v>1.5429577615577727E-13</v>
      </c>
      <c r="P164" s="14">
        <f t="shared" si="141"/>
        <v>2.2038482767263348E-12</v>
      </c>
      <c r="Q164" s="22">
        <f t="shared" si="162"/>
        <v>4.107100892103012E-12</v>
      </c>
      <c r="R164" s="62">
        <f t="shared" si="109"/>
        <v>293.33333333333741</v>
      </c>
      <c r="S164" s="62">
        <f ca="1">AVERAGE(OFFSET($R$3,0,0,'Données projet'!$E$9+1,1))-AVERAGE(OFFSET($H$3,0,0,'Données projet'!$E$9+1,1))</f>
        <v>263.85754879271406</v>
      </c>
      <c r="T164" s="62">
        <f t="shared" si="142"/>
        <v>157.75772798974242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-5.1431925385259088E-14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313.28865457002252</v>
      </c>
      <c r="AO164" s="62">
        <f t="shared" si="144"/>
        <v>438.23149076517115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4.9309587376724105E-2</v>
      </c>
      <c r="AV164" s="23">
        <f>EXP(-LN(2)/25)*AV163+(1-EXP(-LN(2)/25))/(LN(2)/25)*Calculateur!AQ164*Calculateur!AS164*VLOOKUP('Données projet'!$B$10,Paramètres!$A$1:$I$89,3,0)*0.475*44/12</f>
        <v>3.0448867975044498E-2</v>
      </c>
      <c r="AW164" s="23">
        <f>EXP(-LN(2)/2)*AW163+(1-EXP(-LN(2)/2))/(LN(2)/2)*AQ164*AT164*VLOOKUP('Données projet'!$B$10,Paramètres!$A$1:$I$89,3,0)*0.475*44/12</f>
        <v>8.9992197850295899E-20</v>
      </c>
      <c r="AX164" s="23">
        <f t="shared" si="166"/>
        <v>7.9758455351768606E-2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90.557999999999765</v>
      </c>
      <c r="D165" s="12">
        <f t="shared" si="140"/>
        <v>24.699752708509081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889.70896827620857</v>
      </c>
      <c r="H165" s="70">
        <f t="shared" si="110"/>
        <v>494.0739193006529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1.7053025658242404E-13</v>
      </c>
      <c r="O165" s="14">
        <f>N165*VLOOKUP('Données projet'!$B$9,Paramètres!$A$1:$I$89,3,0)*VLOOKUP('Données projet'!$B$9,Paramètres!$A$1:$I$89,5,0)</f>
        <v>1.5429577615577727E-13</v>
      </c>
      <c r="P165" s="14">
        <f t="shared" si="141"/>
        <v>2.2038482767263348E-12</v>
      </c>
      <c r="Q165" s="22">
        <f t="shared" si="162"/>
        <v>4.107100892103012E-12</v>
      </c>
      <c r="R165" s="62">
        <f t="shared" si="109"/>
        <v>293.33333333333741</v>
      </c>
      <c r="S165" s="62">
        <f ca="1">AVERAGE(OFFSET($R$3,0,0,'Données projet'!$E$9+1,1))-AVERAGE(OFFSET($H$3,0,0,'Données projet'!$E$9+1,1))</f>
        <v>263.85754879271406</v>
      </c>
      <c r="T165" s="62">
        <f t="shared" si="142"/>
        <v>157.75772798974242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-5.1431925385259088E-14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313.28865457002252</v>
      </c>
      <c r="AO165" s="62">
        <f t="shared" si="144"/>
        <v>438.23149076517115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4.83426564441451E-2</v>
      </c>
      <c r="AV165" s="23">
        <f>EXP(-LN(2)/25)*AV164+(1-EXP(-LN(2)/25))/(LN(2)/25)*Calculateur!AQ165*Calculateur!AS165*VLOOKUP('Données projet'!$B$10,Paramètres!$A$1:$I$89,3,0)*0.475*44/12</f>
        <v>2.961624207903053E-2</v>
      </c>
      <c r="AW165" s="23">
        <f>EXP(-LN(2)/2)*AW164+(1-EXP(-LN(2)/2))/(LN(2)/2)*AQ165*AT165*VLOOKUP('Données projet'!$B$10,Paramètres!$A$1:$I$89,3,0)*0.475*44/12</f>
        <v>6.3634093353825674E-20</v>
      </c>
      <c r="AX165" s="23">
        <f t="shared" si="166"/>
        <v>7.7958898523175627E-2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91.116999999999763</v>
      </c>
      <c r="D166" s="12">
        <f t="shared" si="140"/>
        <v>24.834424799371007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895.06363003023068</v>
      </c>
      <c r="H166" s="70">
        <f t="shared" si="110"/>
        <v>495.28206485890405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1.7053025658242404E-13</v>
      </c>
      <c r="O166" s="14">
        <f>N166*VLOOKUP('Données projet'!$B$9,Paramètres!$A$1:$I$89,3,0)*VLOOKUP('Données projet'!$B$9,Paramètres!$A$1:$I$89,5,0)</f>
        <v>1.5429577615577727E-13</v>
      </c>
      <c r="P166" s="14">
        <f t="shared" si="141"/>
        <v>2.2038482767263348E-12</v>
      </c>
      <c r="Q166" s="22">
        <f t="shared" si="162"/>
        <v>4.107100892103012E-12</v>
      </c>
      <c r="R166" s="62">
        <f t="shared" si="109"/>
        <v>293.33333333333741</v>
      </c>
      <c r="S166" s="62">
        <f ca="1">AVERAGE(OFFSET($R$3,0,0,'Données projet'!$E$9+1,1))-AVERAGE(OFFSET($H$3,0,0,'Données projet'!$E$9+1,1))</f>
        <v>263.85754879271406</v>
      </c>
      <c r="T166" s="62">
        <f t="shared" si="142"/>
        <v>157.75772798974242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-5.1431925385259088E-14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313.28865457002252</v>
      </c>
      <c r="AO166" s="62">
        <f t="shared" si="144"/>
        <v>438.23149076517115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4.7394686437384335E-2</v>
      </c>
      <c r="AV166" s="23">
        <f>EXP(-LN(2)/25)*AV165+(1-EXP(-LN(2)/25))/(LN(2)/25)*Calculateur!AQ166*Calculateur!AS166*VLOOKUP('Données projet'!$B$10,Paramètres!$A$1:$I$89,3,0)*0.475*44/12</f>
        <v>2.8806384381928958E-2</v>
      </c>
      <c r="AW166" s="23">
        <f>EXP(-LN(2)/2)*AW165+(1-EXP(-LN(2)/2))/(LN(2)/2)*AQ166*AT166*VLOOKUP('Données projet'!$B$10,Paramètres!$A$1:$I$89,3,0)*0.475*44/12</f>
        <v>4.4996098925147949E-20</v>
      </c>
      <c r="AX166" s="23">
        <f t="shared" si="166"/>
        <v>7.6201070819313294E-2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91.67599999999976</v>
      </c>
      <c r="D167" s="12">
        <f t="shared" si="140"/>
        <v>24.969000753180424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900.4175496736716</v>
      </c>
      <c r="H167" s="70">
        <f t="shared" si="110"/>
        <v>496.49004297845545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1.7053025658242404E-13</v>
      </c>
      <c r="O167" s="14">
        <f>N167*VLOOKUP('Données projet'!$B$9,Paramètres!$A$1:$I$89,3,0)*VLOOKUP('Données projet'!$B$9,Paramètres!$A$1:$I$89,5,0)</f>
        <v>1.5429577615577727E-13</v>
      </c>
      <c r="P167" s="14">
        <f t="shared" si="141"/>
        <v>2.2038482767263348E-12</v>
      </c>
      <c r="Q167" s="22">
        <f t="shared" si="162"/>
        <v>4.107100892103012E-12</v>
      </c>
      <c r="R167" s="62">
        <f t="shared" si="109"/>
        <v>293.33333333333741</v>
      </c>
      <c r="S167" s="62">
        <f ca="1">AVERAGE(OFFSET($R$3,0,0,'Données projet'!$E$9+1,1))-AVERAGE(OFFSET($H$3,0,0,'Données projet'!$E$9+1,1))</f>
        <v>263.85754879271406</v>
      </c>
      <c r="T167" s="62">
        <f t="shared" si="142"/>
        <v>157.75772798974242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-5.1431925385259088E-14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313.28865457002252</v>
      </c>
      <c r="AO167" s="62">
        <f t="shared" si="144"/>
        <v>438.23149076517115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4.6465305544251538E-2</v>
      </c>
      <c r="AV167" s="23">
        <f>EXP(-LN(2)/25)*AV166+(1-EXP(-LN(2)/25))/(LN(2)/25)*Calculateur!AQ167*Calculateur!AS167*VLOOKUP('Données projet'!$B$10,Paramètres!$A$1:$I$89,3,0)*0.475*44/12</f>
        <v>2.8018672286143194E-2</v>
      </c>
      <c r="AW167" s="23">
        <f>EXP(-LN(2)/2)*AW166+(1-EXP(-LN(2)/2))/(LN(2)/2)*AQ167*AT167*VLOOKUP('Données projet'!$B$10,Paramètres!$A$1:$I$89,3,0)*0.475*44/12</f>
        <v>3.1817046676912837E-20</v>
      </c>
      <c r="AX167" s="23">
        <f t="shared" si="166"/>
        <v>7.4483977830394732E-2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92.234999999999758</v>
      </c>
      <c r="D168" s="12">
        <f t="shared" si="140"/>
        <v>25.103481224148709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905.77073225658467</v>
      </c>
      <c r="H168" s="70">
        <f t="shared" si="110"/>
        <v>497.69785479872519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1.7053025658242404E-13</v>
      </c>
      <c r="O168" s="14">
        <f>N168*VLOOKUP('Données projet'!$B$9,Paramètres!$A$1:$I$89,3,0)*VLOOKUP('Données projet'!$B$9,Paramètres!$A$1:$I$89,5,0)</f>
        <v>1.5429577615577727E-13</v>
      </c>
      <c r="P168" s="14">
        <f t="shared" si="141"/>
        <v>2.2038482767263348E-12</v>
      </c>
      <c r="Q168" s="22">
        <f t="shared" si="162"/>
        <v>4.107100892103012E-12</v>
      </c>
      <c r="R168" s="62">
        <f t="shared" si="109"/>
        <v>293.33333333333741</v>
      </c>
      <c r="S168" s="62">
        <f ca="1">AVERAGE(OFFSET($R$3,0,0,'Données projet'!$E$9+1,1))-AVERAGE(OFFSET($H$3,0,0,'Données projet'!$E$9+1,1))</f>
        <v>263.85754879271406</v>
      </c>
      <c r="T168" s="62">
        <f t="shared" si="142"/>
        <v>157.75772798974242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-5.1431925385259088E-14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313.28865457002252</v>
      </c>
      <c r="AO168" s="62">
        <f t="shared" si="144"/>
        <v>438.23149076517115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4.5554149243566704E-2</v>
      </c>
      <c r="AV168" s="23">
        <f>EXP(-LN(2)/25)*AV167+(1-EXP(-LN(2)/25))/(LN(2)/25)*Calculateur!AQ168*Calculateur!AS168*VLOOKUP('Données projet'!$B$10,Paramètres!$A$1:$I$89,3,0)*0.475*44/12</f>
        <v>2.725250021904067E-2</v>
      </c>
      <c r="AW168" s="23">
        <f>EXP(-LN(2)/2)*AW167+(1-EXP(-LN(2)/2))/(LN(2)/2)*AQ168*AT168*VLOOKUP('Données projet'!$B$10,Paramètres!$A$1:$I$89,3,0)*0.475*44/12</f>
        <v>2.2498049462573975E-20</v>
      </c>
      <c r="AX168" s="23">
        <f t="shared" si="166"/>
        <v>7.280664946260737E-2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92.793999999999755</v>
      </c>
      <c r="D169" s="12">
        <f t="shared" si="140"/>
        <v>25.237866858098624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911.12318276426822</v>
      </c>
      <c r="H169" s="70">
        <f t="shared" si="110"/>
        <v>498.90550144452129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1.7053025658242404E-13</v>
      </c>
      <c r="O169" s="14">
        <f>N169*VLOOKUP('Données projet'!$B$9,Paramètres!$A$1:$I$89,3,0)*VLOOKUP('Données projet'!$B$9,Paramètres!$A$1:$I$89,5,0)</f>
        <v>1.5429577615577727E-13</v>
      </c>
      <c r="P169" s="14">
        <f t="shared" si="141"/>
        <v>2.2038482767263348E-12</v>
      </c>
      <c r="Q169" s="22">
        <f t="shared" si="162"/>
        <v>4.107100892103012E-12</v>
      </c>
      <c r="R169" s="62">
        <f t="shared" si="109"/>
        <v>293.33333333333741</v>
      </c>
      <c r="S169" s="62">
        <f ca="1">AVERAGE(OFFSET($R$3,0,0,'Données projet'!$E$9+1,1))-AVERAGE(OFFSET($H$3,0,0,'Données projet'!$E$9+1,1))</f>
        <v>263.85754879271406</v>
      </c>
      <c r="T169" s="62">
        <f t="shared" si="142"/>
        <v>157.75772798974242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-5.1431925385259088E-14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313.28865457002252</v>
      </c>
      <c r="AO169" s="62">
        <f t="shared" si="144"/>
        <v>438.23149076517115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4.4660860162187829E-2</v>
      </c>
      <c r="AV169" s="23">
        <f>EXP(-LN(2)/25)*AV168+(1-EXP(-LN(2)/25))/(LN(2)/25)*Calculateur!AQ169*Calculateur!AS169*VLOOKUP('Données projet'!$B$10,Paramètres!$A$1:$I$89,3,0)*0.475*44/12</f>
        <v>2.6507279167404304E-2</v>
      </c>
      <c r="AW169" s="23">
        <f>EXP(-LN(2)/2)*AW168+(1-EXP(-LN(2)/2))/(LN(2)/2)*AQ169*AT169*VLOOKUP('Données projet'!$B$10,Paramètres!$A$1:$I$89,3,0)*0.475*44/12</f>
        <v>1.5908523338456418E-20</v>
      </c>
      <c r="AX169" s="23">
        <f t="shared" si="166"/>
        <v>7.1168139329592137E-2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93.352999999999753</v>
      </c>
      <c r="D170" s="12">
        <f t="shared" si="140"/>
        <v>25.372158292621872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916.47490611848286</v>
      </c>
      <c r="H170" s="70">
        <f t="shared" si="110"/>
        <v>500.11298402631598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1.7053025658242404E-13</v>
      </c>
      <c r="O170" s="14">
        <f>N170*VLOOKUP('Données projet'!$B$9,Paramètres!$A$1:$I$89,3,0)*VLOOKUP('Données projet'!$B$9,Paramètres!$A$1:$I$89,5,0)</f>
        <v>1.5429577615577727E-13</v>
      </c>
      <c r="P170" s="14">
        <f t="shared" si="141"/>
        <v>2.2038482767263348E-12</v>
      </c>
      <c r="Q170" s="22">
        <f t="shared" si="162"/>
        <v>4.107100892103012E-12</v>
      </c>
      <c r="R170" s="62">
        <f t="shared" si="109"/>
        <v>293.33333333333741</v>
      </c>
      <c r="S170" s="62">
        <f ca="1">AVERAGE(OFFSET($R$3,0,0,'Données projet'!$E$9+1,1))-AVERAGE(OFFSET($H$3,0,0,'Données projet'!$E$9+1,1))</f>
        <v>263.85754879271406</v>
      </c>
      <c r="T170" s="62">
        <f t="shared" si="142"/>
        <v>157.75772798974242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-5.1431925385259088E-14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313.28865457002252</v>
      </c>
      <c r="AO170" s="62">
        <f t="shared" si="144"/>
        <v>438.23149076517115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4.3785087934842253E-2</v>
      </c>
      <c r="AV170" s="23">
        <f>EXP(-LN(2)/25)*AV169+(1-EXP(-LN(2)/25))/(LN(2)/25)*Calculateur!AQ170*Calculateur!AS170*VLOOKUP('Données projet'!$B$10,Paramètres!$A$1:$I$89,3,0)*0.475*44/12</f>
        <v>2.5782436224614406E-2</v>
      </c>
      <c r="AW170" s="23">
        <f>EXP(-LN(2)/2)*AW169+(1-EXP(-LN(2)/2))/(LN(2)/2)*AQ170*AT170*VLOOKUP('Données projet'!$B$10,Paramètres!$A$1:$I$89,3,0)*0.475*44/12</f>
        <v>1.1249024731286987E-20</v>
      </c>
      <c r="AX170" s="23">
        <f t="shared" si="166"/>
        <v>6.9567524159456662E-2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93.91199999999975</v>
      </c>
      <c r="D171" s="12">
        <f t="shared" si="140"/>
        <v>25.506356157232599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921.8259071786357</v>
      </c>
      <c r="H171" s="70">
        <f t="shared" si="110"/>
        <v>501.32030364051298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1.7053025658242404E-13</v>
      </c>
      <c r="O171" s="14">
        <f>N171*VLOOKUP('Données projet'!$B$9,Paramètres!$A$1:$I$89,3,0)*VLOOKUP('Données projet'!$B$9,Paramètres!$A$1:$I$89,5,0)</f>
        <v>1.5429577615577727E-13</v>
      </c>
      <c r="P171" s="14">
        <f t="shared" si="141"/>
        <v>2.2038482767263348E-12</v>
      </c>
      <c r="Q171" s="22">
        <f t="shared" si="162"/>
        <v>4.107100892103012E-12</v>
      </c>
      <c r="R171" s="62">
        <f t="shared" si="109"/>
        <v>293.33333333333741</v>
      </c>
      <c r="S171" s="62">
        <f ca="1">AVERAGE(OFFSET($R$3,0,0,'Données projet'!$E$9+1,1))-AVERAGE(OFFSET($H$3,0,0,'Données projet'!$E$9+1,1))</f>
        <v>263.85754879271406</v>
      </c>
      <c r="T171" s="62">
        <f t="shared" si="142"/>
        <v>157.75772798974242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-5.1431925385259088E-14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313.28865457002252</v>
      </c>
      <c r="AO171" s="62">
        <f t="shared" si="144"/>
        <v>438.23149076517115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4.2926489066706611E-2</v>
      </c>
      <c r="AV171" s="23">
        <f>EXP(-LN(2)/25)*AV170+(1-EXP(-LN(2)/25))/(LN(2)/25)*Calculateur!AQ171*Calculateur!AS171*VLOOKUP('Données projet'!$B$10,Paramètres!$A$1:$I$89,3,0)*0.475*44/12</f>
        <v>2.5077414150212932E-2</v>
      </c>
      <c r="AW171" s="23">
        <f>EXP(-LN(2)/2)*AW170+(1-EXP(-LN(2)/2))/(LN(2)/2)*AQ171*AT171*VLOOKUP('Données projet'!$B$10,Paramètres!$A$1:$I$89,3,0)*0.475*44/12</f>
        <v>7.9542616692282092E-21</v>
      </c>
      <c r="AX171" s="23">
        <f t="shared" si="166"/>
        <v>6.8003903216919542E-2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94.470999999999748</v>
      </c>
      <c r="D172" s="12">
        <f t="shared" si="140"/>
        <v>25.640461073517091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927.17619074293691</v>
      </c>
      <c r="H172" s="70">
        <f t="shared" si="110"/>
        <v>502.52746136970848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1.7053025658242404E-13</v>
      </c>
      <c r="O172" s="14">
        <f>N172*VLOOKUP('Données projet'!$B$9,Paramètres!$A$1:$I$89,3,0)*VLOOKUP('Données projet'!$B$9,Paramètres!$A$1:$I$89,5,0)</f>
        <v>1.5429577615577727E-13</v>
      </c>
      <c r="P172" s="14">
        <f t="shared" si="141"/>
        <v>2.2038482767263348E-12</v>
      </c>
      <c r="Q172" s="22">
        <f t="shared" si="162"/>
        <v>4.107100892103012E-12</v>
      </c>
      <c r="R172" s="62">
        <f t="shared" si="109"/>
        <v>293.33333333333741</v>
      </c>
      <c r="S172" s="62">
        <f ca="1">AVERAGE(OFFSET($R$3,0,0,'Données projet'!$E$9+1,1))-AVERAGE(OFFSET($H$3,0,0,'Données projet'!$E$9+1,1))</f>
        <v>263.85754879271406</v>
      </c>
      <c r="T172" s="62">
        <f t="shared" si="142"/>
        <v>157.75772798974242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-5.1431925385259088E-14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313.28865457002252</v>
      </c>
      <c r="AO172" s="62">
        <f t="shared" si="144"/>
        <v>438.23149076517115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4.2084726798681513E-2</v>
      </c>
      <c r="AV172" s="23">
        <f>EXP(-LN(2)/25)*AV171+(1-EXP(-LN(2)/25))/(LN(2)/25)*Calculateur!AQ172*Calculateur!AS172*VLOOKUP('Données projet'!$B$10,Paramètres!$A$1:$I$89,3,0)*0.475*44/12</f>
        <v>2.4391670941511463E-2</v>
      </c>
      <c r="AW172" s="23">
        <f>EXP(-LN(2)/2)*AW171+(1-EXP(-LN(2)/2))/(LN(2)/2)*AQ172*AT172*VLOOKUP('Données projet'!$B$10,Paramètres!$A$1:$I$89,3,0)*0.475*44/12</f>
        <v>5.6245123656434937E-21</v>
      </c>
      <c r="AX172" s="23">
        <f t="shared" si="166"/>
        <v>6.6476397740192983E-2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95.029999999999745</v>
      </c>
      <c r="D173" s="12">
        <f t="shared" si="140"/>
        <v>25.774473655280115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932.52576154952885</v>
      </c>
      <c r="H173" s="70">
        <f t="shared" si="110"/>
        <v>503.73445828294575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1.7053025658242404E-13</v>
      </c>
      <c r="O173" s="14">
        <f>N173*VLOOKUP('Données projet'!$B$9,Paramètres!$A$1:$I$89,3,0)*VLOOKUP('Données projet'!$B$9,Paramètres!$A$1:$I$89,5,0)</f>
        <v>1.5429577615577727E-13</v>
      </c>
      <c r="P173" s="14">
        <f t="shared" si="141"/>
        <v>2.2038482767263348E-12</v>
      </c>
      <c r="Q173" s="22">
        <f t="shared" si="162"/>
        <v>4.107100892103012E-12</v>
      </c>
      <c r="R173" s="62">
        <f t="shared" si="109"/>
        <v>293.33333333333741</v>
      </c>
      <c r="S173" s="62">
        <f ca="1">AVERAGE(OFFSET($R$3,0,0,'Données projet'!$E$9+1,1))-AVERAGE(OFFSET($H$3,0,0,'Données projet'!$E$9+1,1))</f>
        <v>263.85754879271406</v>
      </c>
      <c r="T173" s="62">
        <f t="shared" si="142"/>
        <v>157.75772798974242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-5.1431925385259088E-14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313.28865457002252</v>
      </c>
      <c r="AO173" s="62">
        <f t="shared" si="144"/>
        <v>438.23149076517115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4.1259470975308098E-2</v>
      </c>
      <c r="AV173" s="23">
        <f>EXP(-LN(2)/25)*AV172+(1-EXP(-LN(2)/25))/(LN(2)/25)*Calculateur!AQ173*Calculateur!AS173*VLOOKUP('Données projet'!$B$10,Paramètres!$A$1:$I$89,3,0)*0.475*44/12</f>
        <v>2.3724679416913606E-2</v>
      </c>
      <c r="AW173" s="23">
        <f>EXP(-LN(2)/2)*AW172+(1-EXP(-LN(2)/2))/(LN(2)/2)*AQ173*AT173*VLOOKUP('Données projet'!$B$10,Paramètres!$A$1:$I$89,3,0)*0.475*44/12</f>
        <v>3.9771308346141046E-21</v>
      </c>
      <c r="AX173" s="23">
        <f t="shared" si="166"/>
        <v>6.4984150392221704E-2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95.588999999999743</v>
      </c>
      <c r="D174" s="12">
        <f t="shared" si="140"/>
        <v>25.908394508687365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937.87462427758476</v>
      </c>
      <c r="H174" s="70">
        <f t="shared" si="110"/>
        <v>504.94129543596335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1.7053025658242404E-13</v>
      </c>
      <c r="O174" s="14">
        <f>N174*VLOOKUP('Données projet'!$B$9,Paramètres!$A$1:$I$89,3,0)*VLOOKUP('Données projet'!$B$9,Paramètres!$A$1:$I$89,5,0)</f>
        <v>1.5429577615577727E-13</v>
      </c>
      <c r="P174" s="14">
        <f t="shared" si="141"/>
        <v>2.2038482767263348E-12</v>
      </c>
      <c r="Q174" s="22">
        <f t="shared" si="162"/>
        <v>4.107100892103012E-12</v>
      </c>
      <c r="R174" s="62">
        <f t="shared" si="109"/>
        <v>293.33333333333741</v>
      </c>
      <c r="S174" s="62">
        <f ca="1">AVERAGE(OFFSET($R$3,0,0,'Données projet'!$E$9+1,1))-AVERAGE(OFFSET($H$3,0,0,'Données projet'!$E$9+1,1))</f>
        <v>263.85754879271406</v>
      </c>
      <c r="T174" s="62">
        <f t="shared" si="142"/>
        <v>157.75772798974242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-5.1431925385259088E-14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313.28865457002252</v>
      </c>
      <c r="AO174" s="62">
        <f t="shared" si="144"/>
        <v>438.23149076517115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4.0450397915274688E-2</v>
      </c>
      <c r="AV174" s="23">
        <f>EXP(-LN(2)/25)*AV173+(1-EXP(-LN(2)/25))/(LN(2)/25)*Calculateur!AQ174*Calculateur!AS174*VLOOKUP('Données projet'!$B$10,Paramètres!$A$1:$I$89,3,0)*0.475*44/12</f>
        <v>2.3075926810631437E-2</v>
      </c>
      <c r="AW174" s="23">
        <f>EXP(-LN(2)/2)*AW173+(1-EXP(-LN(2)/2))/(LN(2)/2)*AQ174*AT174*VLOOKUP('Données projet'!$B$10,Paramètres!$A$1:$I$89,3,0)*0.475*44/12</f>
        <v>2.8122561828217468E-21</v>
      </c>
      <c r="AX174" s="23">
        <f t="shared" si="166"/>
        <v>6.3526324725906122E-2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96.14799999999974</v>
      </c>
      <c r="D175" s="12">
        <f t="shared" si="140"/>
        <v>26.042224232404703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943.22278354838511</v>
      </c>
      <c r="H175" s="70">
        <f t="shared" si="110"/>
        <v>506.14797387143773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1.7053025658242404E-13</v>
      </c>
      <c r="O175" s="14">
        <f>N175*VLOOKUP('Données projet'!$B$9,Paramètres!$A$1:$I$89,3,0)*VLOOKUP('Données projet'!$B$9,Paramètres!$A$1:$I$89,5,0)</f>
        <v>1.5429577615577727E-13</v>
      </c>
      <c r="P175" s="14">
        <f t="shared" si="141"/>
        <v>2.2038482767263348E-12</v>
      </c>
      <c r="Q175" s="22">
        <f t="shared" si="162"/>
        <v>4.107100892103012E-12</v>
      </c>
      <c r="R175" s="62">
        <f t="shared" si="109"/>
        <v>293.33333333333741</v>
      </c>
      <c r="S175" s="62">
        <f ca="1">AVERAGE(OFFSET($R$3,0,0,'Données projet'!$E$9+1,1))-AVERAGE(OFFSET($H$3,0,0,'Données projet'!$E$9+1,1))</f>
        <v>263.85754879271406</v>
      </c>
      <c r="T175" s="62">
        <f t="shared" si="142"/>
        <v>157.75772798974242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-5.1431925385259088E-14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313.28865457002252</v>
      </c>
      <c r="AO175" s="62">
        <f t="shared" si="144"/>
        <v>438.23149076517115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3.9657190284462691E-2</v>
      </c>
      <c r="AV175" s="23">
        <f>EXP(-LN(2)/25)*AV174+(1-EXP(-LN(2)/25))/(LN(2)/25)*Calculateur!AQ175*Calculateur!AS175*VLOOKUP('Données projet'!$B$10,Paramètres!$A$1:$I$89,3,0)*0.475*44/12</f>
        <v>2.2444914378484469E-2</v>
      </c>
      <c r="AW175" s="23">
        <f>EXP(-LN(2)/2)*AW174+(1-EXP(-LN(2)/2))/(LN(2)/2)*AQ175*AT175*VLOOKUP('Données projet'!$B$10,Paramètres!$A$1:$I$89,3,0)*0.475*44/12</f>
        <v>1.9885654173070523E-21</v>
      </c>
      <c r="AX175" s="23">
        <f t="shared" si="166"/>
        <v>6.2102104662947161E-2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96.706999999999738</v>
      </c>
      <c r="D176" s="12">
        <f t="shared" si="140"/>
        <v>26.175963417733936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948.57024392636515</v>
      </c>
      <c r="H176" s="70">
        <f t="shared" si="110"/>
        <v>507.35449461921945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1.7053025658242404E-13</v>
      </c>
      <c r="O176" s="14">
        <f>N176*VLOOKUP('Données projet'!$B$9,Paramètres!$A$1:$I$89,3,0)*VLOOKUP('Données projet'!$B$9,Paramètres!$A$1:$I$89,5,0)</f>
        <v>1.5429577615577727E-13</v>
      </c>
      <c r="P176" s="14">
        <f t="shared" si="141"/>
        <v>2.2038482767263348E-12</v>
      </c>
      <c r="Q176" s="22">
        <f t="shared" si="162"/>
        <v>4.107100892103012E-12</v>
      </c>
      <c r="R176" s="62">
        <f t="shared" si="109"/>
        <v>293.33333333333741</v>
      </c>
      <c r="S176" s="62">
        <f ca="1">AVERAGE(OFFSET($R$3,0,0,'Données projet'!$E$9+1,1))-AVERAGE(OFFSET($H$3,0,0,'Données projet'!$E$9+1,1))</f>
        <v>263.85754879271406</v>
      </c>
      <c r="T176" s="62">
        <f t="shared" si="142"/>
        <v>157.75772798974242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-5.1431925385259088E-14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313.28865457002252</v>
      </c>
      <c r="AO176" s="62">
        <f t="shared" si="144"/>
        <v>438.23149076517115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3.8879536971482033E-2</v>
      </c>
      <c r="AV176" s="23">
        <f>EXP(-LN(2)/25)*AV175+(1-EXP(-LN(2)/25))/(LN(2)/25)*Calculateur!AQ176*Calculateur!AS176*VLOOKUP('Données projet'!$B$10,Paramètres!$A$1:$I$89,3,0)*0.475*44/12</f>
        <v>2.1831157014478061E-2</v>
      </c>
      <c r="AW176" s="23">
        <f>EXP(-LN(2)/2)*AW175+(1-EXP(-LN(2)/2))/(LN(2)/2)*AQ176*AT176*VLOOKUP('Données projet'!$B$10,Paramètres!$A$1:$I$89,3,0)*0.475*44/12</f>
        <v>1.4061280914108734E-21</v>
      </c>
      <c r="AX176" s="23">
        <f t="shared" si="166"/>
        <v>6.0710693985960094E-2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97.265999999999735</v>
      </c>
      <c r="D177" s="12">
        <f t="shared" si="140"/>
        <v>26.30961264874556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953.91700992013909</v>
      </c>
      <c r="H177" s="70">
        <f t="shared" si="110"/>
        <v>508.56085869656471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1.7053025658242404E-13</v>
      </c>
      <c r="O177" s="14">
        <f>N177*VLOOKUP('Données projet'!$B$9,Paramètres!$A$1:$I$89,3,0)*VLOOKUP('Données projet'!$B$9,Paramètres!$A$1:$I$89,5,0)</f>
        <v>1.5429577615577727E-13</v>
      </c>
      <c r="P177" s="14">
        <f t="shared" si="141"/>
        <v>2.2038482767263348E-12</v>
      </c>
      <c r="Q177" s="22">
        <f t="shared" si="162"/>
        <v>4.107100892103012E-12</v>
      </c>
      <c r="R177" s="62">
        <f t="shared" si="109"/>
        <v>293.33333333333741</v>
      </c>
      <c r="S177" s="62">
        <f ca="1">AVERAGE(OFFSET($R$3,0,0,'Données projet'!$E$9+1,1))-AVERAGE(OFFSET($H$3,0,0,'Données projet'!$E$9+1,1))</f>
        <v>263.85754879271406</v>
      </c>
      <c r="T177" s="62">
        <f t="shared" si="142"/>
        <v>157.75772798974242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-5.1431925385259088E-14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313.28865457002252</v>
      </c>
      <c r="AO177" s="62">
        <f t="shared" si="144"/>
        <v>438.23149076517115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3.8117132965647241E-2</v>
      </c>
      <c r="AV177" s="23">
        <f>EXP(-LN(2)/25)*AV176+(1-EXP(-LN(2)/25))/(LN(2)/25)*Calculateur!AQ177*Calculateur!AS177*VLOOKUP('Données projet'!$B$10,Paramètres!$A$1:$I$89,3,0)*0.475*44/12</f>
        <v>2.1234182877866506E-2</v>
      </c>
      <c r="AW177" s="23">
        <f>EXP(-LN(2)/2)*AW176+(1-EXP(-LN(2)/2))/(LN(2)/2)*AQ177*AT177*VLOOKUP('Données projet'!$B$10,Paramètres!$A$1:$I$89,3,0)*0.475*44/12</f>
        <v>9.9428270865352615E-22</v>
      </c>
      <c r="AX177" s="23">
        <f t="shared" si="166"/>
        <v>5.9351315843513747E-2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97.824999999999733</v>
      </c>
      <c r="D178" s="12">
        <f t="shared" si="140"/>
        <v>26.443172502408078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959.26308598349897</v>
      </c>
      <c r="H178" s="70">
        <f t="shared" si="110"/>
        <v>509.76706710836027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1.7053025658242404E-13</v>
      </c>
      <c r="O178" s="14">
        <f>N178*VLOOKUP('Données projet'!$B$9,Paramètres!$A$1:$I$89,3,0)*VLOOKUP('Données projet'!$B$9,Paramètres!$A$1:$I$89,5,0)</f>
        <v>1.5429577615577727E-13</v>
      </c>
      <c r="P178" s="14">
        <f t="shared" si="141"/>
        <v>2.2038482767263348E-12</v>
      </c>
      <c r="Q178" s="22">
        <f t="shared" si="162"/>
        <v>4.107100892103012E-12</v>
      </c>
      <c r="R178" s="62">
        <f t="shared" si="109"/>
        <v>293.33333333333741</v>
      </c>
      <c r="S178" s="62">
        <f ca="1">AVERAGE(OFFSET($R$3,0,0,'Données projet'!$E$9+1,1))-AVERAGE(OFFSET($H$3,0,0,'Données projet'!$E$9+1,1))</f>
        <v>263.85754879271406</v>
      </c>
      <c r="T178" s="62">
        <f t="shared" si="142"/>
        <v>157.75772798974242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-5.1431925385259088E-14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313.28865457002252</v>
      </c>
      <c r="AO178" s="62">
        <f t="shared" si="144"/>
        <v>438.23149076517115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3.7369679237346347E-2</v>
      </c>
      <c r="AV178" s="23">
        <f>EXP(-LN(2)/25)*AV177+(1-EXP(-LN(2)/25))/(LN(2)/25)*Calculateur!AQ178*Calculateur!AS178*VLOOKUP('Données projet'!$B$10,Paramètres!$A$1:$I$89,3,0)*0.475*44/12</f>
        <v>2.06535330304141E-2</v>
      </c>
      <c r="AW178" s="23">
        <f>EXP(-LN(2)/2)*AW177+(1-EXP(-LN(2)/2))/(LN(2)/2)*AQ178*AT178*VLOOKUP('Données projet'!$B$10,Paramètres!$A$1:$I$89,3,0)*0.475*44/12</f>
        <v>7.0306404570543671E-22</v>
      </c>
      <c r="AX178" s="23">
        <f t="shared" si="166"/>
        <v>5.8023212267760443E-2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98.38399999999973</v>
      </c>
      <c r="D179" s="12">
        <f t="shared" si="140"/>
        <v>26.576643548714546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964.60847651639085</v>
      </c>
      <c r="H179" s="70">
        <f t="shared" si="110"/>
        <v>510.97312084734403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1.7053025658242404E-13</v>
      </c>
      <c r="O179" s="14">
        <f>N179*VLOOKUP('Données projet'!$B$9,Paramètres!$A$1:$I$89,3,0)*VLOOKUP('Données projet'!$B$9,Paramètres!$A$1:$I$89,5,0)</f>
        <v>1.5429577615577727E-13</v>
      </c>
      <c r="P179" s="14">
        <f t="shared" si="141"/>
        <v>2.2038482767263348E-12</v>
      </c>
      <c r="Q179" s="22">
        <f t="shared" si="162"/>
        <v>4.107100892103012E-12</v>
      </c>
      <c r="R179" s="62">
        <f t="shared" si="109"/>
        <v>293.33333333333741</v>
      </c>
      <c r="S179" s="62">
        <f ca="1">AVERAGE(OFFSET($R$3,0,0,'Données projet'!$E$9+1,1))-AVERAGE(OFFSET($H$3,0,0,'Données projet'!$E$9+1,1))</f>
        <v>263.85754879271406</v>
      </c>
      <c r="T179" s="62">
        <f t="shared" si="142"/>
        <v>157.75772798974242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-5.1431925385259088E-14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313.28865457002252</v>
      </c>
      <c r="AO179" s="62">
        <f t="shared" si="144"/>
        <v>438.23149076517115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3.6636882620755672E-2</v>
      </c>
      <c r="AV179" s="23">
        <f>EXP(-LN(2)/25)*AV178+(1-EXP(-LN(2)/25))/(LN(2)/25)*Calculateur!AQ179*Calculateur!AS179*VLOOKUP('Données projet'!$B$10,Paramètres!$A$1:$I$89,3,0)*0.475*44/12</f>
        <v>2.0088761083575327E-2</v>
      </c>
      <c r="AW179" s="23">
        <f>EXP(-LN(2)/2)*AW178+(1-EXP(-LN(2)/2))/(LN(2)/2)*AQ179*AT179*VLOOKUP('Données projet'!$B$10,Paramètres!$A$1:$I$89,3,0)*0.475*44/12</f>
        <v>4.9714135432676308E-22</v>
      </c>
      <c r="AX179" s="23">
        <f t="shared" si="166"/>
        <v>5.6725643704331002E-2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98.942999999999728</v>
      </c>
      <c r="D180" s="12">
        <f t="shared" si="140"/>
        <v>26.71002635080605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969.95318586586916</v>
      </c>
      <c r="H180" s="70">
        <f t="shared" si="110"/>
        <v>512.17902089432005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1.7053025658242404E-13</v>
      </c>
      <c r="O180" s="14">
        <f>N180*VLOOKUP('Données projet'!$B$9,Paramètres!$A$1:$I$89,3,0)*VLOOKUP('Données projet'!$B$9,Paramètres!$A$1:$I$89,5,0)</f>
        <v>1.5429577615577727E-13</v>
      </c>
      <c r="P180" s="14">
        <f t="shared" si="141"/>
        <v>2.2038482767263348E-12</v>
      </c>
      <c r="Q180" s="22">
        <f t="shared" si="162"/>
        <v>4.107100892103012E-12</v>
      </c>
      <c r="R180" s="62">
        <f t="shared" si="109"/>
        <v>293.33333333333741</v>
      </c>
      <c r="S180" s="62">
        <f ca="1">AVERAGE(OFFSET($R$3,0,0,'Données projet'!$E$9+1,1))-AVERAGE(OFFSET($H$3,0,0,'Données projet'!$E$9+1,1))</f>
        <v>263.85754879271406</v>
      </c>
      <c r="T180" s="62">
        <f t="shared" si="142"/>
        <v>157.75772798974242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-5.1431925385259088E-14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313.28865457002252</v>
      </c>
      <c r="AO180" s="62">
        <f t="shared" si="144"/>
        <v>438.23149076517115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3.5918455698854539E-2</v>
      </c>
      <c r="AV180" s="23">
        <f>EXP(-LN(2)/25)*AV179+(1-EXP(-LN(2)/25))/(LN(2)/25)*Calculateur!AQ180*Calculateur!AS180*VLOOKUP('Données projet'!$B$10,Paramètres!$A$1:$I$89,3,0)*0.475*44/12</f>
        <v>1.9539432855322929E-2</v>
      </c>
      <c r="AW180" s="23">
        <f>EXP(-LN(2)/2)*AW179+(1-EXP(-LN(2)/2))/(LN(2)/2)*AQ180*AT180*VLOOKUP('Données projet'!$B$10,Paramètres!$A$1:$I$89,3,0)*0.475*44/12</f>
        <v>3.5153202285271835E-22</v>
      </c>
      <c r="AX180" s="23">
        <f t="shared" si="166"/>
        <v>5.5457888554177465E-2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99.501999999999725</v>
      </c>
      <c r="D181" s="12">
        <f t="shared" si="140"/>
        <v>26.843321465092171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975.29721832702523</v>
      </c>
      <c r="H181" s="70">
        <f t="shared" si="110"/>
        <v>513.38476821836844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1.7053025658242404E-13</v>
      </c>
      <c r="O181" s="14">
        <f>N181*VLOOKUP('Données projet'!$B$9,Paramètres!$A$1:$I$89,3,0)*VLOOKUP('Données projet'!$B$9,Paramètres!$A$1:$I$89,5,0)</f>
        <v>1.5429577615577727E-13</v>
      </c>
      <c r="P181" s="14">
        <f t="shared" si="141"/>
        <v>2.2038482767263348E-12</v>
      </c>
      <c r="Q181" s="22">
        <f t="shared" si="162"/>
        <v>4.107100892103012E-12</v>
      </c>
      <c r="R181" s="62">
        <f t="shared" si="109"/>
        <v>293.33333333333741</v>
      </c>
      <c r="S181" s="62">
        <f ca="1">AVERAGE(OFFSET($R$3,0,0,'Données projet'!$E$9+1,1))-AVERAGE(OFFSET($H$3,0,0,'Données projet'!$E$9+1,1))</f>
        <v>263.85754879271406</v>
      </c>
      <c r="T181" s="62">
        <f t="shared" si="142"/>
        <v>157.75772798974242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-5.1431925385259088E-14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313.28865457002252</v>
      </c>
      <c r="AO181" s="62">
        <f t="shared" si="144"/>
        <v>438.23149076517115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3.5214116690694734E-2</v>
      </c>
      <c r="AV181" s="23">
        <f>EXP(-LN(2)/25)*AV180+(1-EXP(-LN(2)/25))/(LN(2)/25)*Calculateur!AQ181*Calculateur!AS181*VLOOKUP('Données projet'!$B$10,Paramètres!$A$1:$I$89,3,0)*0.475*44/12</f>
        <v>1.9005126036360009E-2</v>
      </c>
      <c r="AW181" s="23">
        <f>EXP(-LN(2)/2)*AW180+(1-EXP(-LN(2)/2))/(LN(2)/2)*AQ181*AT181*VLOOKUP('Données projet'!$B$10,Paramètres!$A$1:$I$89,3,0)*0.475*44/12</f>
        <v>2.4857067716338154E-22</v>
      </c>
      <c r="AX181" s="23">
        <f t="shared" si="166"/>
        <v>5.4219242727054744E-2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100.06099999999972</v>
      </c>
      <c r="D182" s="12">
        <f t="shared" si="140"/>
        <v>26.976529441368999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980.64057814389889</v>
      </c>
      <c r="H182" s="70">
        <f t="shared" si="110"/>
        <v>514.59036377705047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1.7053025658242404E-13</v>
      </c>
      <c r="O182" s="14">
        <f>N182*VLOOKUP('Données projet'!$B$9,Paramètres!$A$1:$I$89,3,0)*VLOOKUP('Données projet'!$B$9,Paramètres!$A$1:$I$89,5,0)</f>
        <v>1.5429577615577727E-13</v>
      </c>
      <c r="P182" s="14">
        <f t="shared" si="141"/>
        <v>2.2038482767263348E-12</v>
      </c>
      <c r="Q182" s="22">
        <f t="shared" si="162"/>
        <v>4.107100892103012E-12</v>
      </c>
      <c r="R182" s="62">
        <f t="shared" si="109"/>
        <v>293.33333333333741</v>
      </c>
      <c r="S182" s="62">
        <f ca="1">AVERAGE(OFFSET($R$3,0,0,'Données projet'!$E$9+1,1))-AVERAGE(OFFSET($H$3,0,0,'Données projet'!$E$9+1,1))</f>
        <v>263.85754879271406</v>
      </c>
      <c r="T182" s="62">
        <f t="shared" si="142"/>
        <v>157.75772798974242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-5.1431925385259088E-14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313.28865457002252</v>
      </c>
      <c r="AO182" s="62">
        <f t="shared" si="144"/>
        <v>438.23149076517115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3.4523589340880567E-2</v>
      </c>
      <c r="AV182" s="23">
        <f>EXP(-LN(2)/25)*AV181+(1-EXP(-LN(2)/25))/(LN(2)/25)*Calculateur!AQ182*Calculateur!AS182*VLOOKUP('Données projet'!$B$10,Paramètres!$A$1:$I$89,3,0)*0.475*44/12</f>
        <v>1.8485429865459604E-2</v>
      </c>
      <c r="AW182" s="23">
        <f>EXP(-LN(2)/2)*AW181+(1-EXP(-LN(2)/2))/(LN(2)/2)*AQ182*AT182*VLOOKUP('Données projet'!$B$10,Paramètres!$A$1:$I$89,3,0)*0.475*44/12</f>
        <v>1.7576601142635918E-22</v>
      </c>
      <c r="AX182" s="23">
        <f t="shared" si="166"/>
        <v>5.3009019206340172E-2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100.61999999999972</v>
      </c>
      <c r="D183" s="12">
        <f t="shared" si="140"/>
        <v>27.109650822934078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985.98326951036631</v>
      </c>
      <c r="H183" s="70">
        <f t="shared" si="110"/>
        <v>515.79580851660967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1.7053025658242404E-13</v>
      </c>
      <c r="O183" s="14">
        <f>N183*VLOOKUP('Données projet'!$B$9,Paramètres!$A$1:$I$89,3,0)*VLOOKUP('Données projet'!$B$9,Paramètres!$A$1:$I$89,5,0)</f>
        <v>1.5429577615577727E-13</v>
      </c>
      <c r="P183" s="14">
        <f t="shared" si="141"/>
        <v>2.2038482767263348E-12</v>
      </c>
      <c r="Q183" s="22">
        <f t="shared" si="162"/>
        <v>4.107100892103012E-12</v>
      </c>
      <c r="R183" s="62">
        <f t="shared" si="109"/>
        <v>293.33333333333741</v>
      </c>
      <c r="S183" s="62">
        <f ca="1">AVERAGE(OFFSET($R$3,0,0,'Données projet'!$E$9+1,1))-AVERAGE(OFFSET($H$3,0,0,'Données projet'!$E$9+1,1))</f>
        <v>263.85754879271406</v>
      </c>
      <c r="T183" s="62">
        <f t="shared" si="142"/>
        <v>157.75772798974242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-5.1431925385259088E-14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313.28865457002252</v>
      </c>
      <c r="AO183" s="62">
        <f t="shared" si="144"/>
        <v>438.23149076517115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3.384660281121616E-2</v>
      </c>
      <c r="AV183" s="23">
        <f>EXP(-LN(2)/25)*AV182+(1-EXP(-LN(2)/25))/(LN(2)/25)*Calculateur!AQ183*Calculateur!AS183*VLOOKUP('Données projet'!$B$10,Paramètres!$A$1:$I$89,3,0)*0.475*44/12</f>
        <v>1.7979944813682106E-2</v>
      </c>
      <c r="AW183" s="23">
        <f>EXP(-LN(2)/2)*AW182+(1-EXP(-LN(2)/2))/(LN(2)/2)*AQ183*AT183*VLOOKUP('Données projet'!$B$10,Paramètres!$A$1:$I$89,3,0)*0.475*44/12</f>
        <v>1.2428533858169077E-22</v>
      </c>
      <c r="AX183" s="23">
        <f t="shared" si="166"/>
        <v>5.1826547624898266E-2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101.17899999999972</v>
      </c>
      <c r="D184" s="12">
        <f t="shared" si="140"/>
        <v>27.242686146698961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991.32529657100747</v>
      </c>
      <c r="H184" s="70">
        <f t="shared" si="110"/>
        <v>517.00110337216688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1.7053025658242404E-13</v>
      </c>
      <c r="O184" s="14">
        <f>N184*VLOOKUP('Données projet'!$B$9,Paramètres!$A$1:$I$89,3,0)*VLOOKUP('Données projet'!$B$9,Paramètres!$A$1:$I$89,5,0)</f>
        <v>1.5429577615577727E-13</v>
      </c>
      <c r="P184" s="14">
        <f t="shared" si="141"/>
        <v>2.2038482767263348E-12</v>
      </c>
      <c r="Q184" s="22">
        <f t="shared" si="162"/>
        <v>4.107100892103012E-12</v>
      </c>
      <c r="R184" s="62">
        <f t="shared" si="109"/>
        <v>293.33333333333741</v>
      </c>
      <c r="S184" s="62">
        <f ca="1">AVERAGE(OFFSET($R$3,0,0,'Données projet'!$E$9+1,1))-AVERAGE(OFFSET($H$3,0,0,'Données projet'!$E$9+1,1))</f>
        <v>263.85754879271406</v>
      </c>
      <c r="T184" s="62">
        <f t="shared" si="142"/>
        <v>157.75772798974242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-5.1431925385259088E-14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313.28865457002252</v>
      </c>
      <c r="AO184" s="62">
        <f t="shared" si="144"/>
        <v>438.23149076517115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3.3182891574477465E-2</v>
      </c>
      <c r="AV184" s="23">
        <f>EXP(-LN(2)/25)*AV183+(1-EXP(-LN(2)/25))/(LN(2)/25)*Calculateur!AQ184*Calculateur!AS184*VLOOKUP('Données projet'!$B$10,Paramètres!$A$1:$I$89,3,0)*0.475*44/12</f>
        <v>1.7488282277227766E-2</v>
      </c>
      <c r="AW184" s="23">
        <f>EXP(-LN(2)/2)*AW183+(1-EXP(-LN(2)/2))/(LN(2)/2)*AQ184*AT184*VLOOKUP('Données projet'!$B$10,Paramètres!$A$1:$I$89,3,0)*0.475*44/12</f>
        <v>8.7883005713179588E-23</v>
      </c>
      <c r="AX184" s="23">
        <f t="shared" si="166"/>
        <v>5.0671173851705234E-2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101.73799999999972</v>
      </c>
      <c r="D185" s="12">
        <f t="shared" si="140"/>
        <v>27.37563594329918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996.66666342195651</v>
      </c>
      <c r="H185" s="70">
        <f t="shared" si="110"/>
        <v>518.2062492679122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1.7053025658242404E-13</v>
      </c>
      <c r="O185" s="14">
        <f>N185*VLOOKUP('Données projet'!$B$9,Paramètres!$A$1:$I$89,3,0)*VLOOKUP('Données projet'!$B$9,Paramètres!$A$1:$I$89,5,0)</f>
        <v>1.5429577615577727E-13</v>
      </c>
      <c r="P185" s="14">
        <f t="shared" si="141"/>
        <v>2.2038482767263348E-12</v>
      </c>
      <c r="Q185" s="22">
        <f t="shared" si="162"/>
        <v>4.107100892103012E-12</v>
      </c>
      <c r="R185" s="62">
        <f t="shared" si="109"/>
        <v>293.33333333333741</v>
      </c>
      <c r="S185" s="62">
        <f ca="1">AVERAGE(OFFSET($R$3,0,0,'Données projet'!$E$9+1,1))-AVERAGE(OFFSET($H$3,0,0,'Données projet'!$E$9+1,1))</f>
        <v>263.85754879271406</v>
      </c>
      <c r="T185" s="62">
        <f t="shared" si="142"/>
        <v>157.75772798974242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-5.1431925385259088E-14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313.28865457002252</v>
      </c>
      <c r="AO185" s="62">
        <f t="shared" si="144"/>
        <v>438.23149076517115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3.2532195310267333E-2</v>
      </c>
      <c r="AV185" s="23">
        <f>EXP(-LN(2)/25)*AV184+(1-EXP(-LN(2)/25))/(LN(2)/25)*Calculateur!AQ185*Calculateur!AS185*VLOOKUP('Données projet'!$B$10,Paramètres!$A$1:$I$89,3,0)*0.475*44/12</f>
        <v>1.7010064278688179E-2</v>
      </c>
      <c r="AW185" s="23">
        <f>EXP(-LN(2)/2)*AW184+(1-EXP(-LN(2)/2))/(LN(2)/2)*AQ185*AT185*VLOOKUP('Données projet'!$B$10,Paramètres!$A$1:$I$89,3,0)*0.475*44/12</f>
        <v>6.2142669290845385E-23</v>
      </c>
      <c r="AX185" s="23">
        <f t="shared" si="166"/>
        <v>4.9542259588955515E-2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102.29699999999971</v>
      </c>
      <c r="D186" s="12">
        <f t="shared" si="140"/>
        <v>27.508500737201498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1002.0073741117286</v>
      </c>
      <c r="H186" s="70">
        <f t="shared" si="110"/>
        <v>519.41124711729208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1.7053025658242404E-13</v>
      </c>
      <c r="O186" s="14">
        <f>N186*VLOOKUP('Données projet'!$B$9,Paramètres!$A$1:$I$89,3,0)*VLOOKUP('Données projet'!$B$9,Paramètres!$A$1:$I$89,5,0)</f>
        <v>1.5429577615577727E-13</v>
      </c>
      <c r="P186" s="14">
        <f t="shared" si="141"/>
        <v>2.2038482767263348E-12</v>
      </c>
      <c r="Q186" s="22">
        <f t="shared" si="162"/>
        <v>4.107100892103012E-12</v>
      </c>
      <c r="R186" s="62">
        <f t="shared" si="109"/>
        <v>293.33333333333741</v>
      </c>
      <c r="S186" s="62">
        <f ca="1">AVERAGE(OFFSET($R$3,0,0,'Données projet'!$E$9+1,1))-AVERAGE(OFFSET($H$3,0,0,'Données projet'!$E$9+1,1))</f>
        <v>263.85754879271406</v>
      </c>
      <c r="T186" s="62">
        <f t="shared" si="142"/>
        <v>157.75772798974242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-5.1431925385259088E-14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313.28865457002252</v>
      </c>
      <c r="AO186" s="62">
        <f t="shared" si="144"/>
        <v>438.23149076517115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3.1894258802912828E-2</v>
      </c>
      <c r="AV186" s="23">
        <f>EXP(-LN(2)/25)*AV185+(1-EXP(-LN(2)/25))/(LN(2)/25)*Calculateur!AQ186*Calculateur!AS186*VLOOKUP('Données projet'!$B$10,Paramètres!$A$1:$I$89,3,0)*0.475*44/12</f>
        <v>1.6544923176467045E-2</v>
      </c>
      <c r="AW186" s="23">
        <f>EXP(-LN(2)/2)*AW185+(1-EXP(-LN(2)/2))/(LN(2)/2)*AQ186*AT186*VLOOKUP('Données projet'!$B$10,Paramètres!$A$1:$I$89,3,0)*0.475*44/12</f>
        <v>4.3941502856589794E-23</v>
      </c>
      <c r="AX186" s="23">
        <f t="shared" si="166"/>
        <v>4.8439181979379874E-2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102.85599999999971</v>
      </c>
      <c r="D187" s="12">
        <f t="shared" si="140"/>
        <v>27.641281046809159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1007.3474326420334</v>
      </c>
      <c r="H187" s="70">
        <f t="shared" si="110"/>
        <v>520.61609782319215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1.7053025658242404E-13</v>
      </c>
      <c r="O187" s="14">
        <f>N187*VLOOKUP('Données projet'!$B$9,Paramètres!$A$1:$I$89,3,0)*VLOOKUP('Données projet'!$B$9,Paramètres!$A$1:$I$89,5,0)</f>
        <v>1.5429577615577727E-13</v>
      </c>
      <c r="P187" s="14">
        <f t="shared" si="141"/>
        <v>2.2038482767263348E-12</v>
      </c>
      <c r="Q187" s="22">
        <f t="shared" si="162"/>
        <v>4.107100892103012E-12</v>
      </c>
      <c r="R187" s="62">
        <f t="shared" si="109"/>
        <v>293.33333333333741</v>
      </c>
      <c r="S187" s="62">
        <f ca="1">AVERAGE(OFFSET($R$3,0,0,'Données projet'!$E$9+1,1))-AVERAGE(OFFSET($H$3,0,0,'Données projet'!$E$9+1,1))</f>
        <v>263.85754879271406</v>
      </c>
      <c r="T187" s="62">
        <f t="shared" si="142"/>
        <v>157.75772798974242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-5.1431925385259088E-14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313.28865457002252</v>
      </c>
      <c r="AO187" s="62">
        <f t="shared" si="144"/>
        <v>438.23149076517115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3.1268831841364697E-2</v>
      </c>
      <c r="AV187" s="23">
        <f>EXP(-LN(2)/25)*AV186+(1-EXP(-LN(2)/25))/(LN(2)/25)*Calculateur!AQ187*Calculateur!AS187*VLOOKUP('Données projet'!$B$10,Paramètres!$A$1:$I$89,3,0)*0.475*44/12</f>
        <v>1.6092501382146858E-2</v>
      </c>
      <c r="AW187" s="23">
        <f>EXP(-LN(2)/2)*AW186+(1-EXP(-LN(2)/2))/(LN(2)/2)*AQ187*AT187*VLOOKUP('Données projet'!$B$10,Paramètres!$A$1:$I$89,3,0)*0.475*44/12</f>
        <v>3.1071334645422692E-23</v>
      </c>
      <c r="AX187" s="23">
        <f t="shared" si="166"/>
        <v>4.7361333223511555E-2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103.41499999999971</v>
      </c>
      <c r="D188" s="12">
        <f t="shared" si="140"/>
        <v>27.773977384564393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1012.6868429685651</v>
      </c>
      <c r="H188" s="70">
        <f t="shared" si="110"/>
        <v>521.82080227811582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1.7053025658242404E-13</v>
      </c>
      <c r="O188" s="14">
        <f>N188*VLOOKUP('Données projet'!$B$9,Paramètres!$A$1:$I$89,3,0)*VLOOKUP('Données projet'!$B$9,Paramètres!$A$1:$I$89,5,0)</f>
        <v>1.5429577615577727E-13</v>
      </c>
      <c r="P188" s="14">
        <f t="shared" si="141"/>
        <v>2.2038482767263348E-12</v>
      </c>
      <c r="Q188" s="22">
        <f t="shared" si="162"/>
        <v>4.107100892103012E-12</v>
      </c>
      <c r="R188" s="62">
        <f t="shared" si="109"/>
        <v>293.33333333333741</v>
      </c>
      <c r="S188" s="62">
        <f ca="1">AVERAGE(OFFSET($R$3,0,0,'Données projet'!$E$9+1,1))-AVERAGE(OFFSET($H$3,0,0,'Données projet'!$E$9+1,1))</f>
        <v>263.85754879271406</v>
      </c>
      <c r="T188" s="62">
        <f t="shared" si="142"/>
        <v>157.75772798974242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-5.1431925385259088E-14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313.28865457002252</v>
      </c>
      <c r="AO188" s="62">
        <f t="shared" si="144"/>
        <v>438.23149076517115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3.0655669121059746E-2</v>
      </c>
      <c r="AV188" s="23">
        <f>EXP(-LN(2)/25)*AV187+(1-EXP(-LN(2)/25))/(LN(2)/25)*Calculateur!AQ188*Calculateur!AS188*VLOOKUP('Données projet'!$B$10,Paramètres!$A$1:$I$89,3,0)*0.475*44/12</f>
        <v>1.5652451085584183E-2</v>
      </c>
      <c r="AW188" s="23">
        <f>EXP(-LN(2)/2)*AW187+(1-EXP(-LN(2)/2))/(LN(2)/2)*AQ188*AT188*VLOOKUP('Données projet'!$B$10,Paramètres!$A$1:$I$89,3,0)*0.475*44/12</f>
        <v>2.1970751428294897E-23</v>
      </c>
      <c r="AX188" s="23">
        <f t="shared" si="166"/>
        <v>4.6308120206643932E-2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103.97399999999971</v>
      </c>
      <c r="D189" s="12">
        <f t="shared" si="140"/>
        <v>27.906590257048816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1018.025609001778</v>
      </c>
      <c r="H189" s="70">
        <f t="shared" si="110"/>
        <v>523.02536136435947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1.7053025658242404E-13</v>
      </c>
      <c r="O189" s="14">
        <f>N189*VLOOKUP('Données projet'!$B$9,Paramètres!$A$1:$I$89,3,0)*VLOOKUP('Données projet'!$B$9,Paramètres!$A$1:$I$89,5,0)</f>
        <v>1.5429577615577727E-13</v>
      </c>
      <c r="P189" s="14">
        <f t="shared" si="141"/>
        <v>2.2038482767263348E-12</v>
      </c>
      <c r="Q189" s="22">
        <f t="shared" si="162"/>
        <v>4.107100892103012E-12</v>
      </c>
      <c r="R189" s="62">
        <f t="shared" si="109"/>
        <v>293.33333333333741</v>
      </c>
      <c r="S189" s="62">
        <f ca="1">AVERAGE(OFFSET($R$3,0,0,'Données projet'!$E$9+1,1))-AVERAGE(OFFSET($H$3,0,0,'Données projet'!$E$9+1,1))</f>
        <v>263.85754879271406</v>
      </c>
      <c r="T189" s="62">
        <f t="shared" si="142"/>
        <v>157.75772798974242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-5.1431925385259088E-14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313.28865457002252</v>
      </c>
      <c r="AO189" s="62">
        <f t="shared" si="144"/>
        <v>438.23149076517115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3.0054530147707644E-2</v>
      </c>
      <c r="AV189" s="23">
        <f>EXP(-LN(2)/25)*AV188+(1-EXP(-LN(2)/25))/(LN(2)/25)*Calculateur!AQ189*Calculateur!AS189*VLOOKUP('Données projet'!$B$10,Paramètres!$A$1:$I$89,3,0)*0.475*44/12</f>
        <v>1.5224433987522256E-2</v>
      </c>
      <c r="AW189" s="23">
        <f>EXP(-LN(2)/2)*AW188+(1-EXP(-LN(2)/2))/(LN(2)/2)*AQ189*AT189*VLOOKUP('Données projet'!$B$10,Paramètres!$A$1:$I$89,3,0)*0.475*44/12</f>
        <v>1.5535667322711346E-23</v>
      </c>
      <c r="AX189" s="23">
        <f t="shared" si="166"/>
        <v>4.5278964135229902E-2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104.5329999999997</v>
      </c>
      <c r="D190" s="12">
        <f t="shared" si="140"/>
        <v>28.039120165081656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1023.3637346076456</v>
      </c>
      <c r="H190" s="70">
        <f t="shared" si="110"/>
        <v>524.22977595418331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1.7053025658242404E-13</v>
      </c>
      <c r="O190" s="14">
        <f>N190*VLOOKUP('Données projet'!$B$9,Paramètres!$A$1:$I$89,3,0)*VLOOKUP('Données projet'!$B$9,Paramètres!$A$1:$I$89,5,0)</f>
        <v>1.5429577615577727E-13</v>
      </c>
      <c r="P190" s="14">
        <f t="shared" si="141"/>
        <v>2.2038482767263348E-12</v>
      </c>
      <c r="Q190" s="22">
        <f t="shared" si="162"/>
        <v>4.107100892103012E-12</v>
      </c>
      <c r="R190" s="62">
        <f t="shared" si="109"/>
        <v>293.33333333333741</v>
      </c>
      <c r="S190" s="62">
        <f ca="1">AVERAGE(OFFSET($R$3,0,0,'Données projet'!$E$9+1,1))-AVERAGE(OFFSET($H$3,0,0,'Données projet'!$E$9+1,1))</f>
        <v>263.85754879271406</v>
      </c>
      <c r="T190" s="62">
        <f t="shared" si="142"/>
        <v>157.75772798974242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-5.1431925385259088E-14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313.28865457002252</v>
      </c>
      <c r="AO190" s="62">
        <f t="shared" si="144"/>
        <v>438.23149076517115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2.9465179142964405E-2</v>
      </c>
      <c r="AV190" s="23">
        <f>EXP(-LN(2)/25)*AV189+(1-EXP(-LN(2)/25))/(LN(2)/25)*Calculateur!AQ190*Calculateur!AS190*VLOOKUP('Données projet'!$B$10,Paramètres!$A$1:$I$89,3,0)*0.475*44/12</f>
        <v>1.4808121039515272E-2</v>
      </c>
      <c r="AW190" s="23">
        <f>EXP(-LN(2)/2)*AW189+(1-EXP(-LN(2)/2))/(LN(2)/2)*AQ190*AT190*VLOOKUP('Données projet'!$B$10,Paramètres!$A$1:$I$89,3,0)*0.475*44/12</f>
        <v>1.0985375714147449E-23</v>
      </c>
      <c r="AX190" s="23">
        <f t="shared" si="166"/>
        <v>4.4273300182479679E-2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105.0919999999997</v>
      </c>
      <c r="D191" s="12">
        <f t="shared" si="140"/>
        <v>28.171567603815788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1028.7012236084001</v>
      </c>
      <c r="H191" s="70">
        <f t="shared" si="110"/>
        <v>525.43404690997863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1.7053025658242404E-13</v>
      </c>
      <c r="O191" s="14">
        <f>N191*VLOOKUP('Données projet'!$B$9,Paramètres!$A$1:$I$89,3,0)*VLOOKUP('Données projet'!$B$9,Paramètres!$A$1:$I$89,5,0)</f>
        <v>1.5429577615577727E-13</v>
      </c>
      <c r="P191" s="14">
        <f t="shared" si="141"/>
        <v>2.2038482767263348E-12</v>
      </c>
      <c r="Q191" s="22">
        <f t="shared" si="162"/>
        <v>4.107100892103012E-12</v>
      </c>
      <c r="R191" s="62">
        <f t="shared" si="109"/>
        <v>293.33333333333741</v>
      </c>
      <c r="S191" s="62">
        <f ca="1">AVERAGE(OFFSET($R$3,0,0,'Données projet'!$E$9+1,1))-AVERAGE(OFFSET($H$3,0,0,'Données projet'!$E$9+1,1))</f>
        <v>263.85754879271406</v>
      </c>
      <c r="T191" s="62">
        <f t="shared" si="142"/>
        <v>157.75772798974242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-5.1431925385259088E-14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313.28865457002252</v>
      </c>
      <c r="AO191" s="62">
        <f t="shared" si="144"/>
        <v>438.23149076517115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2.8887384951955565E-2</v>
      </c>
      <c r="AV191" s="23">
        <f>EXP(-LN(2)/25)*AV190+(1-EXP(-LN(2)/25))/(LN(2)/25)*Calculateur!AQ191*Calculateur!AS191*VLOOKUP('Données projet'!$B$10,Paramètres!$A$1:$I$89,3,0)*0.475*44/12</f>
        <v>1.4403192190964486E-2</v>
      </c>
      <c r="AW191" s="23">
        <f>EXP(-LN(2)/2)*AW190+(1-EXP(-LN(2)/2))/(LN(2)/2)*AQ191*AT191*VLOOKUP('Données projet'!$B$10,Paramètres!$A$1:$I$89,3,0)*0.475*44/12</f>
        <v>7.7678336613556731E-24</v>
      </c>
      <c r="AX191" s="23">
        <f t="shared" si="166"/>
        <v>4.3290577142920048E-2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105.6509999999997</v>
      </c>
      <c r="D192" s="12">
        <f t="shared" si="140"/>
        <v>28.303933062831472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1034.0380797832584</v>
      </c>
      <c r="H192" s="70">
        <f t="shared" si="110"/>
        <v>526.63817508443094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1.7053025658242404E-13</v>
      </c>
      <c r="O192" s="14">
        <f>N192*VLOOKUP('Données projet'!$B$9,Paramètres!$A$1:$I$89,3,0)*VLOOKUP('Données projet'!$B$9,Paramètres!$A$1:$I$89,5,0)</f>
        <v>1.5429577615577727E-13</v>
      </c>
      <c r="P192" s="14">
        <f t="shared" si="141"/>
        <v>2.2038482767263348E-12</v>
      </c>
      <c r="Q192" s="22">
        <f t="shared" si="162"/>
        <v>4.107100892103012E-12</v>
      </c>
      <c r="R192" s="62">
        <f t="shared" si="109"/>
        <v>293.33333333333741</v>
      </c>
      <c r="S192" s="62">
        <f ca="1">AVERAGE(OFFSET($R$3,0,0,'Données projet'!$E$9+1,1))-AVERAGE(OFFSET($H$3,0,0,'Données projet'!$E$9+1,1))</f>
        <v>263.85754879271406</v>
      </c>
      <c r="T192" s="62">
        <f t="shared" si="142"/>
        <v>157.75772798974242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-5.1431925385259088E-14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313.28865457002252</v>
      </c>
      <c r="AO192" s="62">
        <f t="shared" si="144"/>
        <v>438.23149076517115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2.8320920952612749E-2</v>
      </c>
      <c r="AV192" s="23">
        <f>EXP(-LN(2)/25)*AV191+(1-EXP(-LN(2)/25))/(LN(2)/25)*Calculateur!AQ192*Calculateur!AS192*VLOOKUP('Données projet'!$B$10,Paramètres!$A$1:$I$89,3,0)*0.475*44/12</f>
        <v>1.4009336143071604E-2</v>
      </c>
      <c r="AW192" s="23">
        <f>EXP(-LN(2)/2)*AW191+(1-EXP(-LN(2)/2))/(LN(2)/2)*AQ192*AT192*VLOOKUP('Données projet'!$B$10,Paramètres!$A$1:$I$89,3,0)*0.475*44/12</f>
        <v>5.4926878570737243E-24</v>
      </c>
      <c r="AX192" s="23">
        <f t="shared" si="166"/>
        <v>4.2330257095684352E-2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106.2099999999997</v>
      </c>
      <c r="D193" s="12">
        <f t="shared" si="140"/>
        <v>28.436217026228405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1039.3743068691292</v>
      </c>
      <c r="H193" s="70">
        <f t="shared" si="110"/>
        <v>527.84216132068059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1.7053025658242404E-13</v>
      </c>
      <c r="O193" s="14">
        <f>N193*VLOOKUP('Données projet'!$B$9,Paramètres!$A$1:$I$89,3,0)*VLOOKUP('Données projet'!$B$9,Paramètres!$A$1:$I$89,5,0)</f>
        <v>1.5429577615577727E-13</v>
      </c>
      <c r="P193" s="14">
        <f t="shared" si="141"/>
        <v>2.2038482767263348E-12</v>
      </c>
      <c r="Q193" s="22">
        <f t="shared" si="162"/>
        <v>4.107100892103012E-12</v>
      </c>
      <c r="R193" s="62">
        <f t="shared" si="109"/>
        <v>293.33333333333741</v>
      </c>
      <c r="S193" s="62">
        <f ca="1">AVERAGE(OFFSET($R$3,0,0,'Données projet'!$E$9+1,1))-AVERAGE(OFFSET($H$3,0,0,'Données projet'!$E$9+1,1))</f>
        <v>263.85754879271406</v>
      </c>
      <c r="T193" s="62">
        <f t="shared" si="142"/>
        <v>157.75772798974242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-5.1431925385259088E-14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313.28865457002252</v>
      </c>
      <c r="AO193" s="62">
        <f t="shared" si="144"/>
        <v>438.23149076517115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2.7765564966788121E-2</v>
      </c>
      <c r="AV193" s="23">
        <f>EXP(-LN(2)/25)*AV192+(1-EXP(-LN(2)/25))/(LN(2)/25)*Calculateur!AQ193*Calculateur!AS193*VLOOKUP('Données projet'!$B$10,Paramètres!$A$1:$I$89,3,0)*0.475*44/12</f>
        <v>1.3626250109520342E-2</v>
      </c>
      <c r="AW193" s="23">
        <f>EXP(-LN(2)/2)*AW192+(1-EXP(-LN(2)/2))/(LN(2)/2)*AQ193*AT193*VLOOKUP('Données projet'!$B$10,Paramètres!$A$1:$I$89,3,0)*0.475*44/12</f>
        <v>3.8839168306778365E-24</v>
      </c>
      <c r="AX193" s="23">
        <f t="shared" si="166"/>
        <v>4.1391815076308465E-2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106.76899999999969</v>
      </c>
      <c r="D194" s="12">
        <f t="shared" si="140"/>
        <v>28.568419972715443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1044.7099085613097</v>
      </c>
      <c r="H194" s="70">
        <f t="shared" si="110"/>
        <v>529.04600645247888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1.7053025658242404E-13</v>
      </c>
      <c r="O194" s="14">
        <f>N194*VLOOKUP('Données projet'!$B$9,Paramètres!$A$1:$I$89,3,0)*VLOOKUP('Données projet'!$B$9,Paramètres!$A$1:$I$89,5,0)</f>
        <v>1.5429577615577727E-13</v>
      </c>
      <c r="P194" s="14">
        <f t="shared" si="141"/>
        <v>2.2038482767263348E-12</v>
      </c>
      <c r="Q194" s="22">
        <f t="shared" si="162"/>
        <v>4.107100892103012E-12</v>
      </c>
      <c r="R194" s="62">
        <f t="shared" si="109"/>
        <v>293.33333333333741</v>
      </c>
      <c r="S194" s="62">
        <f ca="1">AVERAGE(OFFSET($R$3,0,0,'Données projet'!$E$9+1,1))-AVERAGE(OFFSET($H$3,0,0,'Données projet'!$E$9+1,1))</f>
        <v>263.85754879271406</v>
      </c>
      <c r="T194" s="62">
        <f t="shared" si="142"/>
        <v>157.75772798974242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-5.1431925385259088E-14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313.28865457002252</v>
      </c>
      <c r="AO194" s="62">
        <f t="shared" si="144"/>
        <v>438.23149076517115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2.7221099173111812E-2</v>
      </c>
      <c r="AV194" s="23">
        <f>EXP(-LN(2)/25)*AV193+(1-EXP(-LN(2)/25))/(LN(2)/25)*Calculateur!AQ194*Calculateur!AS194*VLOOKUP('Données projet'!$B$10,Paramètres!$A$1:$I$89,3,0)*0.475*44/12</f>
        <v>1.3253639583702159E-2</v>
      </c>
      <c r="AW194" s="23">
        <f>EXP(-LN(2)/2)*AW193+(1-EXP(-LN(2)/2))/(LN(2)/2)*AQ194*AT194*VLOOKUP('Données projet'!$B$10,Paramètres!$A$1:$I$89,3,0)*0.475*44/12</f>
        <v>2.7463439285368621E-24</v>
      </c>
      <c r="AX194" s="23">
        <f t="shared" si="166"/>
        <v>4.0474738756813969E-2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107.32799999999969</v>
      </c>
      <c r="D195" s="12">
        <f t="shared" si="140"/>
        <v>28.700542375698632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1050.0448885141625</v>
      </c>
      <c r="H195" s="70">
        <f t="shared" si="110"/>
        <v>530.24971130434119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1.7053025658242404E-13</v>
      </c>
      <c r="O195" s="14">
        <f>N195*VLOOKUP('Données projet'!$B$9,Paramètres!$A$1:$I$89,3,0)*VLOOKUP('Données projet'!$B$9,Paramètres!$A$1:$I$89,5,0)</f>
        <v>1.5429577615577727E-13</v>
      </c>
      <c r="P195" s="14">
        <f t="shared" si="141"/>
        <v>2.2038482767263348E-12</v>
      </c>
      <c r="Q195" s="22">
        <f t="shared" si="162"/>
        <v>4.107100892103012E-12</v>
      </c>
      <c r="R195" s="62">
        <f t="shared" ref="R195:R203" si="191">Q195+(I195+J195)*44/12</f>
        <v>293.33333333333741</v>
      </c>
      <c r="S195" s="62">
        <f ca="1">AVERAGE(OFFSET($R$3,0,0,'Données projet'!$E$9+1,1))-AVERAGE(OFFSET($H$3,0,0,'Données projet'!$E$9+1,1))</f>
        <v>263.85754879271406</v>
      </c>
      <c r="T195" s="62">
        <f t="shared" si="142"/>
        <v>157.75772798974242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-5.1431925385259088E-14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313.28865457002252</v>
      </c>
      <c r="AO195" s="62">
        <f t="shared" si="144"/>
        <v>438.23149076517115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2.6687310021558153E-2</v>
      </c>
      <c r="AV195" s="23">
        <f>EXP(-LN(2)/25)*AV194+(1-EXP(-LN(2)/25))/(LN(2)/25)*Calculateur!AQ195*Calculateur!AS195*VLOOKUP('Données projet'!$B$10,Paramètres!$A$1:$I$89,3,0)*0.475*44/12</f>
        <v>1.289121811230721E-2</v>
      </c>
      <c r="AW195" s="23">
        <f>EXP(-LN(2)/2)*AW194+(1-EXP(-LN(2)/2))/(LN(2)/2)*AQ195*AT195*VLOOKUP('Données projet'!$B$10,Paramètres!$A$1:$I$89,3,0)*0.475*44/12</f>
        <v>1.9419584153389183E-24</v>
      </c>
      <c r="AX195" s="23">
        <f t="shared" si="166"/>
        <v>3.9578528133865365E-2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107.88699999999969</v>
      </c>
      <c r="D196" s="12">
        <f t="shared" si="140"/>
        <v>28.832584703367186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1055.3792503417794</v>
      </c>
      <c r="H196" s="70">
        <f t="shared" ref="H196:H203" si="192">(B196+E196+F196)*44/12+(C196+D196)*0.475*44/12</f>
        <v>531.45327669169728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1.7053025658242404E-13</v>
      </c>
      <c r="O196" s="14">
        <f>N196*VLOOKUP('Données projet'!$B$9,Paramètres!$A$1:$I$89,3,0)*VLOOKUP('Données projet'!$B$9,Paramètres!$A$1:$I$89,5,0)</f>
        <v>1.5429577615577727E-13</v>
      </c>
      <c r="P196" s="14">
        <f t="shared" si="141"/>
        <v>2.2038482767263348E-12</v>
      </c>
      <c r="Q196" s="22">
        <f t="shared" si="162"/>
        <v>4.107100892103012E-12</v>
      </c>
      <c r="R196" s="62">
        <f t="shared" si="191"/>
        <v>293.33333333333741</v>
      </c>
      <c r="S196" s="62">
        <f ca="1">AVERAGE(OFFSET($R$3,0,0,'Données projet'!$E$9+1,1))-AVERAGE(OFFSET($H$3,0,0,'Données projet'!$E$9+1,1))</f>
        <v>263.85754879271406</v>
      </c>
      <c r="T196" s="62">
        <f t="shared" si="142"/>
        <v>157.75772798974242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-5.1431925385259088E-14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313.28865457002252</v>
      </c>
      <c r="AO196" s="62">
        <f t="shared" si="144"/>
        <v>438.23149076517115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2.6163988149687227E-2</v>
      </c>
      <c r="AV196" s="23">
        <f>EXP(-LN(2)/25)*AV195+(1-EXP(-LN(2)/25))/(LN(2)/25)*Calculateur!AQ196*Calculateur!AS196*VLOOKUP('Données projet'!$B$10,Paramètres!$A$1:$I$89,3,0)*0.475*44/12</f>
        <v>1.2538707075106473E-2</v>
      </c>
      <c r="AW196" s="23">
        <f>EXP(-LN(2)/2)*AW195+(1-EXP(-LN(2)/2))/(LN(2)/2)*AQ196*AT196*VLOOKUP('Données projet'!$B$10,Paramètres!$A$1:$I$89,3,0)*0.475*44/12</f>
        <v>1.3731719642684311E-24</v>
      </c>
      <c r="AX196" s="23">
        <f t="shared" si="166"/>
        <v>3.87026952247937E-2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108.44599999999969</v>
      </c>
      <c r="D197" s="12">
        <f t="shared" ref="D197:D203" si="202">IFERROR(EXP(-1.0587+0.8836*LN(C197)+0.284),0)</f>
        <v>28.964547418777748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1060.7129976186329</v>
      </c>
      <c r="H197" s="70">
        <f t="shared" si="192"/>
        <v>532.65670342103738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1.7053025658242404E-13</v>
      </c>
      <c r="O197" s="14">
        <f>N197*VLOOKUP('Données projet'!$B$9,Paramètres!$A$1:$I$89,3,0)*VLOOKUP('Données projet'!$B$9,Paramètres!$A$1:$I$89,5,0)</f>
        <v>1.5429577615577727E-13</v>
      </c>
      <c r="P197" s="14">
        <f t="shared" ref="P197:P203" si="203">EXP(-1.0587+0.8836*LN(O197)+0.284)</f>
        <v>2.2038482767263348E-12</v>
      </c>
      <c r="Q197" s="22">
        <f t="shared" si="162"/>
        <v>4.107100892103012E-12</v>
      </c>
      <c r="R197" s="62">
        <f t="shared" si="191"/>
        <v>293.33333333333741</v>
      </c>
      <c r="S197" s="62">
        <f ca="1">AVERAGE(OFFSET($R$3,0,0,'Données projet'!$E$9+1,1))-AVERAGE(OFFSET($H$3,0,0,'Données projet'!$E$9+1,1))</f>
        <v>263.85754879271406</v>
      </c>
      <c r="T197" s="62">
        <f t="shared" ref="T197:T203" si="204">$T$3</f>
        <v>157.75772798974242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-5.1431925385259088E-14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313.28865457002252</v>
      </c>
      <c r="AO197" s="62">
        <f t="shared" ref="AO197:AO203" si="205">$AO$3</f>
        <v>438.23149076517115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2.5650928300528866E-2</v>
      </c>
      <c r="AV197" s="23">
        <f>EXP(-LN(2)/25)*AV196+(1-EXP(-LN(2)/25))/(LN(2)/25)*Calculateur!AQ197*Calculateur!AS197*VLOOKUP('Données projet'!$B$10,Paramètres!$A$1:$I$89,3,0)*0.475*44/12</f>
        <v>1.2195835470755739E-2</v>
      </c>
      <c r="AW197" s="23">
        <f>EXP(-LN(2)/2)*AW196+(1-EXP(-LN(2)/2))/(LN(2)/2)*AQ197*AT197*VLOOKUP('Données projet'!$B$10,Paramètres!$A$1:$I$89,3,0)*0.475*44/12</f>
        <v>9.7097920766945914E-25</v>
      </c>
      <c r="AX197" s="23">
        <f t="shared" si="166"/>
        <v>3.7846763771284604E-2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109.00499999999968</v>
      </c>
      <c r="D198" s="12">
        <f t="shared" si="202"/>
        <v>29.096430979936777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1066.0461338802113</v>
      </c>
      <c r="H198" s="70">
        <f t="shared" si="192"/>
        <v>533.85999229005597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1.7053025658242404E-13</v>
      </c>
      <c r="O198" s="14">
        <f>N198*VLOOKUP('Données projet'!$B$9,Paramètres!$A$1:$I$89,3,0)*VLOOKUP('Données projet'!$B$9,Paramètres!$A$1:$I$89,5,0)</f>
        <v>1.5429577615577727E-13</v>
      </c>
      <c r="P198" s="14">
        <f t="shared" si="203"/>
        <v>2.2038482767263348E-12</v>
      </c>
      <c r="Q198" s="22">
        <f t="shared" si="162"/>
        <v>4.107100892103012E-12</v>
      </c>
      <c r="R198" s="62">
        <f t="shared" si="191"/>
        <v>293.33333333333741</v>
      </c>
      <c r="S198" s="62">
        <f ca="1">AVERAGE(OFFSET($R$3,0,0,'Données projet'!$E$9+1,1))-AVERAGE(OFFSET($H$3,0,0,'Données projet'!$E$9+1,1))</f>
        <v>263.85754879271406</v>
      </c>
      <c r="T198" s="62">
        <f t="shared" si="204"/>
        <v>157.75772798974242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-5.1431925385259088E-14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313.28865457002252</v>
      </c>
      <c r="AO198" s="62">
        <f t="shared" si="205"/>
        <v>438.23149076517115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2.5147929242076893E-2</v>
      </c>
      <c r="AV198" s="23">
        <f>EXP(-LN(2)/25)*AV197+(1-EXP(-LN(2)/25))/(LN(2)/25)*Calculateur!AQ198*Calculateur!AS198*VLOOKUP('Données projet'!$B$10,Paramètres!$A$1:$I$89,3,0)*0.475*44/12</f>
        <v>1.186233970845681E-2</v>
      </c>
      <c r="AW198" s="23">
        <f>EXP(-LN(2)/2)*AW197+(1-EXP(-LN(2)/2))/(LN(2)/2)*AQ198*AT198*VLOOKUP('Données projet'!$B$10,Paramètres!$A$1:$I$89,3,0)*0.475*44/12</f>
        <v>6.8658598213421554E-25</v>
      </c>
      <c r="AX198" s="23">
        <f t="shared" si="166"/>
        <v>3.7010268950533706E-2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109.56399999999968</v>
      </c>
      <c r="D199" s="12">
        <f t="shared" si="202"/>
        <v>29.228235839881293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1071.3786626236426</v>
      </c>
      <c r="H199" s="70">
        <f t="shared" si="192"/>
        <v>535.06314408779258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1.7053025658242404E-13</v>
      </c>
      <c r="O199" s="14">
        <f>N199*VLOOKUP('Données projet'!$B$9,Paramètres!$A$1:$I$89,3,0)*VLOOKUP('Données projet'!$B$9,Paramètres!$A$1:$I$89,5,0)</f>
        <v>1.5429577615577727E-13</v>
      </c>
      <c r="P199" s="14">
        <f t="shared" si="203"/>
        <v>2.2038482767263348E-12</v>
      </c>
      <c r="Q199" s="22">
        <f t="shared" si="162"/>
        <v>4.107100892103012E-12</v>
      </c>
      <c r="R199" s="62">
        <f t="shared" si="191"/>
        <v>293.33333333333741</v>
      </c>
      <c r="S199" s="62">
        <f ca="1">AVERAGE(OFFSET($R$3,0,0,'Données projet'!$E$9+1,1))-AVERAGE(OFFSET($H$3,0,0,'Données projet'!$E$9+1,1))</f>
        <v>263.85754879271406</v>
      </c>
      <c r="T199" s="62">
        <f t="shared" si="204"/>
        <v>157.75772798974242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-5.1431925385259088E-14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313.28865457002252</v>
      </c>
      <c r="AO199" s="62">
        <f t="shared" si="205"/>
        <v>438.23149076517115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2.4654793688362028E-2</v>
      </c>
      <c r="AV199" s="23">
        <f>EXP(-LN(2)/25)*AV198+(1-EXP(-LN(2)/25))/(LN(2)/25)*Calculateur!AQ199*Calculateur!AS199*VLOOKUP('Données projet'!$B$10,Paramètres!$A$1:$I$89,3,0)*0.475*44/12</f>
        <v>1.1537963405315725E-2</v>
      </c>
      <c r="AW199" s="23">
        <f>EXP(-LN(2)/2)*AW198+(1-EXP(-LN(2)/2))/(LN(2)/2)*AQ199*AT199*VLOOKUP('Données projet'!$B$10,Paramètres!$A$1:$I$89,3,0)*0.475*44/12</f>
        <v>4.8548960383472957E-25</v>
      </c>
      <c r="AX199" s="23">
        <f t="shared" si="166"/>
        <v>3.6192757093677752E-2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110.12299999999968</v>
      </c>
      <c r="D200" s="12">
        <f t="shared" si="202"/>
        <v>29.359962446757773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1076.7105873083033</v>
      </c>
      <c r="H200" s="70">
        <f t="shared" si="192"/>
        <v>536.26615959476919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1.7053025658242404E-13</v>
      </c>
      <c r="O200" s="14">
        <f>N200*VLOOKUP('Données projet'!$B$9,Paramètres!$A$1:$I$89,3,0)*VLOOKUP('Données projet'!$B$9,Paramètres!$A$1:$I$89,5,0)</f>
        <v>1.5429577615577727E-13</v>
      </c>
      <c r="P200" s="14">
        <f t="shared" si="203"/>
        <v>2.2038482767263348E-12</v>
      </c>
      <c r="Q200" s="22">
        <f t="shared" si="162"/>
        <v>4.107100892103012E-12</v>
      </c>
      <c r="R200" s="62">
        <f t="shared" si="191"/>
        <v>293.33333333333741</v>
      </c>
      <c r="S200" s="62">
        <f ca="1">AVERAGE(OFFSET($R$3,0,0,'Données projet'!$E$9+1,1))-AVERAGE(OFFSET($H$3,0,0,'Données projet'!$E$9+1,1))</f>
        <v>263.85754879271406</v>
      </c>
      <c r="T200" s="62">
        <f t="shared" si="204"/>
        <v>157.75772798974242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-5.1431925385259088E-14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313.28865457002252</v>
      </c>
      <c r="AO200" s="62">
        <f t="shared" si="205"/>
        <v>438.23149076517115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2.4171328222072526E-2</v>
      </c>
      <c r="AV200" s="23">
        <f>EXP(-LN(2)/25)*AV199+(1-EXP(-LN(2)/25))/(LN(2)/25)*Calculateur!AQ200*Calculateur!AS200*VLOOKUP('Données projet'!$B$10,Paramètres!$A$1:$I$89,3,0)*0.475*44/12</f>
        <v>1.1222457189242242E-2</v>
      </c>
      <c r="AW200" s="23">
        <f>EXP(-LN(2)/2)*AW199+(1-EXP(-LN(2)/2))/(LN(2)/2)*AQ200*AT200*VLOOKUP('Données projet'!$B$10,Paramètres!$A$1:$I$89,3,0)*0.475*44/12</f>
        <v>3.4329299106710777E-25</v>
      </c>
      <c r="AX200" s="23">
        <f t="shared" si="166"/>
        <v>3.5393785411314771E-2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110.68199999999968</v>
      </c>
      <c r="D201" s="12">
        <f t="shared" si="202"/>
        <v>29.491611243899612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1082.0419113564158</v>
      </c>
      <c r="H201" s="70">
        <f t="shared" si="192"/>
        <v>537.46903958312464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1.7053025658242404E-13</v>
      </c>
      <c r="O201" s="14">
        <f>N201*VLOOKUP('Données projet'!$B$9,Paramètres!$A$1:$I$89,3,0)*VLOOKUP('Données projet'!$B$9,Paramètres!$A$1:$I$89,5,0)</f>
        <v>1.5429577615577727E-13</v>
      </c>
      <c r="P201" s="14">
        <f t="shared" si="203"/>
        <v>2.2038482767263348E-12</v>
      </c>
      <c r="Q201" s="22">
        <f t="shared" si="162"/>
        <v>4.107100892103012E-12</v>
      </c>
      <c r="R201" s="62">
        <f t="shared" si="191"/>
        <v>293.33333333333741</v>
      </c>
      <c r="S201" s="62">
        <f ca="1">AVERAGE(OFFSET($R$3,0,0,'Données projet'!$E$9+1,1))-AVERAGE(OFFSET($H$3,0,0,'Données projet'!$E$9+1,1))</f>
        <v>263.85754879271406</v>
      </c>
      <c r="T201" s="62">
        <f t="shared" si="204"/>
        <v>157.75772798974242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-5.1431925385259088E-14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313.28865457002252</v>
      </c>
      <c r="AO201" s="62">
        <f t="shared" si="205"/>
        <v>438.23149076517115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2.3697343218692143E-2</v>
      </c>
      <c r="AV201" s="23">
        <f>EXP(-LN(2)/25)*AV200+(1-EXP(-LN(2)/25))/(LN(2)/25)*Calculateur!AQ201*Calculateur!AS201*VLOOKUP('Données projet'!$B$10,Paramètres!$A$1:$I$89,3,0)*0.475*44/12</f>
        <v>1.0915578507239038E-2</v>
      </c>
      <c r="AW201" s="23">
        <f>EXP(-LN(2)/2)*AW200+(1-EXP(-LN(2)/2))/(LN(2)/2)*AQ201*AT201*VLOOKUP('Données projet'!$B$10,Paramètres!$A$1:$I$89,3,0)*0.475*44/12</f>
        <v>2.4274480191736478E-25</v>
      </c>
      <c r="AX201" s="23">
        <f t="shared" si="166"/>
        <v>3.4612921725931181E-2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111.24099999999967</v>
      </c>
      <c r="D202" s="12">
        <f t="shared" si="202"/>
        <v>29.623182669902725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1087.3726381536326</v>
      </c>
      <c r="H202" s="70">
        <f t="shared" si="192"/>
        <v>538.67178481674659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1.7053025658242404E-13</v>
      </c>
      <c r="O202" s="14">
        <f>N202*VLOOKUP('Données projet'!$B$9,Paramètres!$A$1:$I$89,3,0)*VLOOKUP('Données projet'!$B$9,Paramètres!$A$1:$I$89,5,0)</f>
        <v>1.5429577615577727E-13</v>
      </c>
      <c r="P202" s="14">
        <f t="shared" si="203"/>
        <v>2.2038482767263348E-12</v>
      </c>
      <c r="Q202" s="22">
        <f t="shared" si="162"/>
        <v>4.107100892103012E-12</v>
      </c>
      <c r="R202" s="62">
        <f t="shared" si="191"/>
        <v>293.33333333333741</v>
      </c>
      <c r="S202" s="62">
        <f ca="1">AVERAGE(OFFSET($R$3,0,0,'Données projet'!$E$9+1,1))-AVERAGE(OFFSET($H$3,0,0,'Données projet'!$E$9+1,1))</f>
        <v>263.85754879271406</v>
      </c>
      <c r="T202" s="62">
        <f t="shared" si="204"/>
        <v>157.75772798974242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-5.1431925385259088E-14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313.28865457002252</v>
      </c>
      <c r="AO202" s="62">
        <f t="shared" si="205"/>
        <v>438.23149076517115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2.3232652772125745E-2</v>
      </c>
      <c r="AV202" s="23">
        <f>EXP(-LN(2)/25)*AV201+(1-EXP(-LN(2)/25))/(LN(2)/25)*Calculateur!AQ202*Calculateur!AS202*VLOOKUP('Données projet'!$B$10,Paramètres!$A$1:$I$89,3,0)*0.475*44/12</f>
        <v>1.061709143893326E-2</v>
      </c>
      <c r="AW202" s="23">
        <f>EXP(-LN(2)/2)*AW201+(1-EXP(-LN(2)/2))/(LN(2)/2)*AQ202*AT202*VLOOKUP('Données projet'!$B$10,Paramètres!$A$1:$I$89,3,0)*0.475*44/12</f>
        <v>1.7164649553355388E-25</v>
      </c>
      <c r="AX202" s="23">
        <f t="shared" si="166"/>
        <v>3.3849744211059005E-2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111.79999999999967</v>
      </c>
      <c r="D203" s="12">
        <f t="shared" si="202"/>
        <v>29.754677158699842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1092.7027710496104</v>
      </c>
      <c r="H203" s="70">
        <f t="shared" si="192"/>
        <v>539.87439605140162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1.7053025658242404E-13</v>
      </c>
      <c r="O203" s="14">
        <f>N203*VLOOKUP('Données projet'!$B$9,Paramètres!$A$1:$I$89,3,0)*VLOOKUP('Données projet'!$B$9,Paramètres!$A$1:$I$89,5,0)</f>
        <v>1.5429577615577727E-13</v>
      </c>
      <c r="P203" s="14">
        <f t="shared" si="203"/>
        <v>2.2038482767263348E-12</v>
      </c>
      <c r="Q203" s="22">
        <f t="shared" si="162"/>
        <v>4.107100892103012E-12</v>
      </c>
      <c r="R203" s="62">
        <f t="shared" si="191"/>
        <v>293.33333333333741</v>
      </c>
      <c r="S203" s="62">
        <f ca="1">AVERAGE(OFFSET($R$3,0,0,'Données projet'!$E$9+1,1))-AVERAGE(OFFSET($H$3,0,0,'Données projet'!$E$9+1,1))</f>
        <v>263.85754879271406</v>
      </c>
      <c r="T203" s="62">
        <f t="shared" si="204"/>
        <v>157.75772798974242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-5.1431925385259088E-14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313.28865457002252</v>
      </c>
      <c r="AO203" s="62">
        <f t="shared" si="205"/>
        <v>438.23149076517115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2.2777074621783328E-2</v>
      </c>
      <c r="AV203" s="23">
        <f>EXP(-LN(2)/25)*AV202+(1-EXP(-LN(2)/25))/(LN(2)/25)*Calculateur!AQ203*Calculateur!AS203*VLOOKUP('Données projet'!$B$10,Paramètres!$A$1:$I$89,3,0)*0.475*44/12</f>
        <v>1.0326766515207057E-2</v>
      </c>
      <c r="AW203" s="23">
        <f>EXP(-LN(2)/2)*AW202+(1-EXP(-LN(2)/2))/(LN(2)/2)*AQ203*AT203*VLOOKUP('Données projet'!$B$10,Paramètres!$A$1:$I$89,3,0)*0.475*44/12</f>
        <v>1.2137240095868239E-25</v>
      </c>
      <c r="AX203" s="23">
        <f t="shared" si="166"/>
        <v>3.3103841136990386E-2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1.185906184594963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2.0243974584998852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0.56000000000000005</v>
      </c>
      <c r="C6" s="156">
        <f ca="1">IF(OR('Données projet'!B9="",'Données projet'!C9="",'Données projet'!C9=0%),0,Calculateur!S3)</f>
        <v>263.85754879271406</v>
      </c>
      <c r="D6" s="156">
        <f>IF(OR('Données projet'!B9="",'Données projet'!C9="",'Données projet'!C9=0%),0,Calculateur!T3)</f>
        <v>157.75772798974242</v>
      </c>
      <c r="E6" s="156">
        <f ca="1">MIN(C6,D6)</f>
        <v>157.75772798974242</v>
      </c>
      <c r="F6" s="156">
        <f ca="1">E6*B6</f>
        <v>88.344327674255766</v>
      </c>
      <c r="G6" s="156">
        <f ca="1">F6*(100%-'Données projet'!$C$24)*(100%-'Données projet'!$C$25)*(100%-'Données projet'!$C$26)*(100%-'Données projet'!$C$27)</f>
        <v>71.558905416147184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4.0600000000000005</v>
      </c>
      <c r="K6" s="160">
        <f>J6*(100%-'Données projet'!$C$24)*(100%-'Données projet'!$C$25)*(100%-'Données projet'!$C$26)*(100%-'Données projet'!$C$27)</f>
        <v>3.2886000000000002</v>
      </c>
      <c r="L6" s="161">
        <f ca="1">G6+I6+K6</f>
        <v>74.847505416147186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Robinier faux-acacia</v>
      </c>
      <c r="B7" s="163">
        <f>'Données projet'!D10</f>
        <v>1.1900000000000002</v>
      </c>
      <c r="C7" s="156">
        <f ca="1">IF(OR('Données projet'!B10="",'Données projet'!C10="",'Données projet'!C10=0%),0,Calculateur!AN3)</f>
        <v>313.28865457002252</v>
      </c>
      <c r="D7" s="156">
        <f>IF(OR('Données projet'!B10="",'Données projet'!C10="",'Données projet'!C10=0%),0,Calculateur!AO3)</f>
        <v>438.23149076517115</v>
      </c>
      <c r="E7" s="156">
        <f t="shared" ref="E7:E15" ca="1" si="0">MIN(C7,D7)</f>
        <v>313.28865457002252</v>
      </c>
      <c r="F7" s="156">
        <f t="shared" ref="F7:F15" ca="1" si="1">E7*B7</f>
        <v>372.81349893832686</v>
      </c>
      <c r="G7" s="156">
        <f ca="1">F7*(100%-'Données projet'!$C$24)*(100%-'Données projet'!$C$25)*(100%-'Données projet'!$C$26)*(100%-'Données projet'!$C$27)</f>
        <v>301.97893414004477</v>
      </c>
      <c r="H7" s="164">
        <f>IF(OR('Données projet'!B10="",'Données projet'!C10="",'Données projet'!C10=0%),0,AVERAGE(Calculateur!$AX$3:$AX$33)*B7)</f>
        <v>0.24975548569071543</v>
      </c>
      <c r="I7" s="158">
        <f>H7*(100%-'Données projet'!$C$24)*(100%-'Données projet'!$C$25)*(100%-'Données projet'!$C$26)*(100%-'Données projet'!$C$27)</f>
        <v>0.20230194340947952</v>
      </c>
      <c r="J7" s="159">
        <f>IF(OR('Données projet'!B10="",'Données projet'!C10="",'Données projet'!C10=0%),0,SUM(Calculateur!$AQ$3:$AQ$33)*VLOOKUP('Données projet'!$B$10,Paramètres!$A$1:$I$89,9,0)*B7)</f>
        <v>29.750000000000004</v>
      </c>
      <c r="K7" s="160">
        <f>J7*(100%-'Données projet'!$C$24)*(100%-'Données projet'!$C$25)*(100%-'Données projet'!$C$26)*(100%-'Données projet'!$C$27)</f>
        <v>24.097500000000004</v>
      </c>
      <c r="L7" s="161">
        <f t="shared" ref="L7:L15" ca="1" si="2">G7+I7+K7</f>
        <v>326.27873608345425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461.15782661258265</v>
      </c>
      <c r="G16" s="175">
        <f t="shared" ca="1" si="3"/>
        <v>373.53783955619195</v>
      </c>
      <c r="H16" s="176">
        <f t="shared" si="3"/>
        <v>0.24975548569071543</v>
      </c>
      <c r="I16" s="176">
        <f t="shared" si="3"/>
        <v>0.20230194340947952</v>
      </c>
      <c r="J16" s="177">
        <f t="shared" si="3"/>
        <v>33.81</v>
      </c>
      <c r="K16" s="177">
        <f t="shared" si="3"/>
        <v>27.386100000000003</v>
      </c>
      <c r="L16" s="178">
        <f t="shared" ca="1" si="3"/>
        <v>401.12624149960141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5" zoomScale="90" zoomScaleNormal="90" workbookViewId="0">
      <selection activeCell="M37" sqref="M3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1081.5530764935409</v>
      </c>
      <c r="U10" s="190">
        <f>'Données projet'!D9</f>
        <v>0.56000000000000005</v>
      </c>
      <c r="V10" s="189">
        <f>U10*T10</f>
        <v>605.6697228363829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2530.8700565052168</v>
      </c>
      <c r="U11" s="190">
        <f>'Données projet'!D10</f>
        <v>1.1900000000000002</v>
      </c>
      <c r="V11" s="189">
        <f t="shared" ref="V11" si="0">U11*T11</f>
        <v>3011.7353672412082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69.999999999999972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2799.9999999999991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6597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1425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709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25</v>
      </c>
      <c r="B23" s="193">
        <f>'Données projet'!D36</f>
        <v>8</v>
      </c>
      <c r="C23" s="206">
        <v>10</v>
      </c>
      <c r="D23" s="194">
        <f>B23*C23</f>
        <v>80</v>
      </c>
      <c r="E23" s="206"/>
      <c r="F23" s="261"/>
      <c r="H23" s="203">
        <v>3</v>
      </c>
      <c r="I23" s="204">
        <v>769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-13853.056919165017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30</v>
      </c>
      <c r="B24" s="193">
        <f>'Données projet'!D37</f>
        <v>21</v>
      </c>
      <c r="C24" s="206">
        <v>10</v>
      </c>
      <c r="D24" s="194">
        <f t="shared" ref="D24:D42" si="2">B24*C24</f>
        <v>210</v>
      </c>
      <c r="E24" s="206"/>
      <c r="F24" s="264"/>
      <c r="H24" s="203">
        <v>4</v>
      </c>
      <c r="I24" s="204">
        <v>834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224.93433269654309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35</v>
      </c>
      <c r="B25" s="193">
        <f>'Données projet'!D38</f>
        <v>21</v>
      </c>
      <c r="C25" s="206">
        <v>10</v>
      </c>
      <c r="D25" s="194">
        <f t="shared" si="2"/>
        <v>210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-14077.99125186156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40</v>
      </c>
      <c r="B26" s="193">
        <f>'Données projet'!D39</f>
        <v>21</v>
      </c>
      <c r="C26" s="206">
        <v>10</v>
      </c>
      <c r="D26" s="194">
        <f t="shared" si="2"/>
        <v>210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45</v>
      </c>
      <c r="B27" s="193">
        <f>'Données projet'!D40</f>
        <v>21</v>
      </c>
      <c r="C27" s="206">
        <v>20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50</v>
      </c>
      <c r="B28" s="193">
        <f>'Données projet'!D41</f>
        <v>21</v>
      </c>
      <c r="C28" s="206">
        <v>30</v>
      </c>
      <c r="D28" s="194">
        <f t="shared" si="2"/>
        <v>630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55</v>
      </c>
      <c r="B29" s="193">
        <f>'Données projet'!D42</f>
        <v>21</v>
      </c>
      <c r="C29" s="206">
        <v>30</v>
      </c>
      <c r="D29" s="194">
        <f t="shared" si="2"/>
        <v>630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60</v>
      </c>
      <c r="B30" s="193">
        <f>'Données projet'!D43</f>
        <v>21</v>
      </c>
      <c r="C30" s="206">
        <v>40</v>
      </c>
      <c r="D30" s="194">
        <f t="shared" si="2"/>
        <v>840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65</v>
      </c>
      <c r="B31" s="193">
        <f>'Données projet'!D44</f>
        <v>21</v>
      </c>
      <c r="C31" s="206">
        <v>50</v>
      </c>
      <c r="D31" s="194">
        <f t="shared" si="2"/>
        <v>1050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70</v>
      </c>
      <c r="B32" s="193">
        <f>'Données projet'!D45</f>
        <v>21</v>
      </c>
      <c r="C32" s="206">
        <v>60</v>
      </c>
      <c r="D32" s="194">
        <f t="shared" si="2"/>
        <v>1260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75</v>
      </c>
      <c r="B33" s="193">
        <f>'Données projet'!D46</f>
        <v>21</v>
      </c>
      <c r="C33" s="206">
        <v>70</v>
      </c>
      <c r="D33" s="194">
        <f t="shared" si="2"/>
        <v>1470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80</v>
      </c>
      <c r="B34" s="193">
        <f>'Données projet'!D47</f>
        <v>21</v>
      </c>
      <c r="C34" s="206">
        <v>70</v>
      </c>
      <c r="D34" s="194">
        <f t="shared" si="2"/>
        <v>1470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85</v>
      </c>
      <c r="B35" s="193">
        <f>'Données projet'!D48</f>
        <v>21</v>
      </c>
      <c r="C35" s="206">
        <v>80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90</v>
      </c>
      <c r="B36" s="193">
        <f>'Données projet'!D49</f>
        <v>21</v>
      </c>
      <c r="C36" s="206">
        <v>80</v>
      </c>
      <c r="D36" s="194">
        <f t="shared" si="2"/>
        <v>1680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95</v>
      </c>
      <c r="B37" s="193">
        <f>'Données projet'!D50</f>
        <v>21</v>
      </c>
      <c r="C37" s="206">
        <v>90</v>
      </c>
      <c r="D37" s="194">
        <f t="shared" si="2"/>
        <v>1890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100</v>
      </c>
      <c r="B38" s="193">
        <f>'Données projet'!D51</f>
        <v>21</v>
      </c>
      <c r="C38" s="206">
        <v>90</v>
      </c>
      <c r="D38" s="194">
        <f t="shared" si="2"/>
        <v>1890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105</v>
      </c>
      <c r="B39" s="193">
        <f>'Données projet'!D52</f>
        <v>20</v>
      </c>
      <c r="C39" s="206">
        <v>100</v>
      </c>
      <c r="D39" s="194">
        <f t="shared" si="2"/>
        <v>2000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110</v>
      </c>
      <c r="B40" s="193">
        <f>'Données projet'!D53</f>
        <v>19</v>
      </c>
      <c r="C40" s="206">
        <v>100</v>
      </c>
      <c r="D40" s="194">
        <f t="shared" si="2"/>
        <v>1900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115</v>
      </c>
      <c r="B41" s="193">
        <f>'Données projet'!D54</f>
        <v>18</v>
      </c>
      <c r="C41" s="206">
        <v>110</v>
      </c>
      <c r="D41" s="194">
        <f t="shared" si="2"/>
        <v>1980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120</v>
      </c>
      <c r="B42" s="193">
        <f>'Données projet'!D55</f>
        <v>283</v>
      </c>
      <c r="C42" s="206">
        <v>200</v>
      </c>
      <c r="D42" s="194">
        <f t="shared" si="2"/>
        <v>56600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5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10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15</v>
      </c>
      <c r="B56" s="193">
        <f>'Données projet'!D64</f>
        <v>23</v>
      </c>
      <c r="C56" s="204">
        <v>13</v>
      </c>
      <c r="D56" s="191">
        <f t="shared" si="4"/>
        <v>299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20</v>
      </c>
      <c r="B57" s="193">
        <f>'Données projet'!D65</f>
        <v>18</v>
      </c>
      <c r="C57" s="204">
        <v>19</v>
      </c>
      <c r="D57" s="191">
        <f t="shared" si="4"/>
        <v>342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25</v>
      </c>
      <c r="B58" s="193">
        <f>'Données projet'!D66</f>
        <v>14</v>
      </c>
      <c r="C58" s="204">
        <v>22</v>
      </c>
      <c r="D58" s="191">
        <f t="shared" si="4"/>
        <v>308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30</v>
      </c>
      <c r="B59" s="193">
        <f>'Données projet'!D67</f>
        <v>11</v>
      </c>
      <c r="C59" s="204">
        <v>25</v>
      </c>
      <c r="D59" s="191">
        <f t="shared" si="4"/>
        <v>275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35</v>
      </c>
      <c r="B60" s="193">
        <f>'Données projet'!D68</f>
        <v>9</v>
      </c>
      <c r="C60" s="204">
        <v>30</v>
      </c>
      <c r="D60" s="191">
        <f t="shared" si="4"/>
        <v>270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40</v>
      </c>
      <c r="B61" s="193">
        <f>'Données projet'!D69</f>
        <v>7</v>
      </c>
      <c r="C61" s="204">
        <v>37</v>
      </c>
      <c r="D61" s="191">
        <f t="shared" si="4"/>
        <v>259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45</v>
      </c>
      <c r="B62" s="193">
        <f>'Données projet'!D70</f>
        <v>312</v>
      </c>
      <c r="C62" s="204">
        <v>45</v>
      </c>
      <c r="D62" s="191">
        <f t="shared" si="4"/>
        <v>14040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2024-03-22T09:46:42Z</dcterms:modified>
</cp:coreProperties>
</file>