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ippolyte.Reignier\Nextcloud\Documents partagés C+FOR\Geoffroy et Hippolyte\Projets Hippolyte\49_Baugé en Anjou\"/>
    </mc:Choice>
  </mc:AlternateContent>
  <bookViews>
    <workbookView xWindow="0" yWindow="0" windowWidth="11748" windowHeight="5316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1" l="1"/>
  <c r="D67" i="1"/>
  <c r="D65" i="1"/>
  <c r="D66" i="1"/>
  <c r="D64" i="1"/>
  <c r="D63" i="1"/>
  <c r="D62" i="1"/>
  <c r="B68" i="1"/>
  <c r="B67" i="1"/>
  <c r="B66" i="1"/>
  <c r="B65" i="1"/>
  <c r="B64" i="1"/>
  <c r="B63" i="1"/>
  <c r="B62" i="1"/>
  <c r="B120" i="1" l="1"/>
  <c r="D120" i="1" s="1"/>
  <c r="B119" i="1"/>
  <c r="D119" i="1" s="1"/>
  <c r="B118" i="1"/>
  <c r="D118" i="1" s="1"/>
  <c r="D117" i="1"/>
  <c r="B117" i="1"/>
  <c r="D116" i="1"/>
  <c r="B116" i="1"/>
  <c r="D115" i="1"/>
  <c r="B115" i="1"/>
  <c r="B11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B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A161" i="2" l="1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C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B179" i="2" l="1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EB192" i="2"/>
  <c r="EC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 l="1"/>
  <c r="EA201" i="2"/>
  <c r="DI200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62" i="2" a="1"/>
  <c r="AH62" i="2" s="1"/>
  <c r="AH163" i="2" a="1"/>
  <c r="AH163" i="2" s="1"/>
  <c r="AH199" i="2" a="1"/>
  <c r="AH199" i="2" s="1"/>
  <c r="AH166" i="2" a="1"/>
  <c r="AH166" i="2" s="1"/>
  <c r="AH19" i="2" a="1"/>
  <c r="AH19" i="2" s="1"/>
  <c r="AH92" i="2" a="1"/>
  <c r="AH92" i="2" s="1"/>
  <c r="AH90" i="2" a="1"/>
  <c r="AH90" i="2" s="1"/>
  <c r="BC58" i="2" a="1"/>
  <c r="BC58" i="2" s="1"/>
  <c r="BC34" i="2" a="1"/>
  <c r="BC3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86" i="2" l="1"/>
  <c r="DT186" i="2"/>
  <c r="DT183" i="2"/>
  <c r="DT27" i="2"/>
  <c r="DT37" i="2"/>
  <c r="DT105" i="2"/>
  <c r="DT161" i="2"/>
  <c r="DT48" i="2"/>
  <c r="DT178" i="2"/>
  <c r="DT13" i="2"/>
  <c r="DT121" i="2"/>
  <c r="DT158" i="2"/>
  <c r="DT35" i="2"/>
  <c r="DT8" i="2"/>
  <c r="DT116" i="2"/>
  <c r="DT84" i="2"/>
  <c r="DT25" i="2"/>
  <c r="DT66" i="2"/>
  <c r="DT54" i="2"/>
  <c r="DT11" i="2"/>
  <c r="DT149" i="2"/>
  <c r="DT203" i="2"/>
  <c r="DT128" i="2"/>
  <c r="DT132" i="2"/>
  <c r="DT65" i="2"/>
  <c r="DT51" i="2"/>
  <c r="DT76" i="2"/>
  <c r="DT139" i="2"/>
  <c r="DT152" i="2"/>
  <c r="DT59" i="2"/>
  <c r="DT23" i="2"/>
  <c r="DT21" i="2"/>
  <c r="DT160" i="2"/>
  <c r="DT191" i="2"/>
  <c r="DT164" i="2"/>
  <c r="DT77" i="2"/>
  <c r="DT97" i="2"/>
  <c r="DT190" i="2"/>
  <c r="DT126" i="2"/>
  <c r="DT195" i="2"/>
  <c r="DT10" i="2"/>
  <c r="DT157" i="2"/>
  <c r="DT170" i="2"/>
  <c r="DT87" i="2"/>
  <c r="DT74" i="2"/>
  <c r="DT92" i="2"/>
  <c r="DT154" i="2"/>
  <c r="DT138" i="2"/>
  <c r="DT52" i="2"/>
  <c r="DT100" i="2"/>
  <c r="DT124" i="2"/>
  <c r="DT26" i="2"/>
  <c r="DT96" i="2"/>
  <c r="DT111" i="2"/>
  <c r="DT200" i="2"/>
  <c r="DT47" i="2"/>
  <c r="DT4" i="2"/>
  <c r="DT112" i="2"/>
  <c r="DT177" i="2"/>
  <c r="DT53" i="2"/>
  <c r="DT173" i="2"/>
  <c r="DT9" i="2"/>
  <c r="DT55" i="2"/>
  <c r="DT41" i="2"/>
  <c r="DT171" i="2"/>
  <c r="DT135" i="2"/>
  <c r="DT125" i="2"/>
  <c r="DT123" i="2"/>
  <c r="DT133" i="2"/>
  <c r="DT134" i="2"/>
  <c r="DT175" i="2"/>
  <c r="DT193" i="2"/>
  <c r="DT120" i="2"/>
  <c r="DT104" i="2"/>
  <c r="DT185" i="2"/>
  <c r="DT33" i="2"/>
  <c r="DT39" i="2"/>
  <c r="DT184" i="2"/>
  <c r="DT94" i="2"/>
  <c r="DT49" i="2"/>
  <c r="DT197" i="2"/>
  <c r="DT98" i="2"/>
  <c r="DT5" i="2"/>
  <c r="DT156" i="2"/>
  <c r="DT162" i="2"/>
  <c r="DT30" i="2"/>
  <c r="DT18" i="2"/>
  <c r="DT12" i="2"/>
  <c r="DT31" i="2"/>
  <c r="DT16" i="2"/>
  <c r="DT181" i="2"/>
  <c r="DT113" i="2"/>
  <c r="DT62" i="2"/>
  <c r="DT64" i="2"/>
  <c r="DT165" i="2"/>
  <c r="DT188" i="2"/>
  <c r="DT95" i="2"/>
  <c r="DT202" i="2"/>
  <c r="DT29" i="2"/>
  <c r="DT131" i="2"/>
  <c r="DT142" i="2"/>
  <c r="DT68" i="2"/>
  <c r="DT85" i="2"/>
  <c r="DT169" i="2"/>
  <c r="DT102" i="2"/>
  <c r="DT148" i="2"/>
  <c r="DT79" i="2"/>
  <c r="DT17" i="2"/>
  <c r="DT146" i="2"/>
  <c r="DT60" i="2"/>
  <c r="DT72" i="2"/>
  <c r="DT90" i="2"/>
  <c r="DT14" i="2"/>
  <c r="DT196" i="2"/>
  <c r="DT182" i="2"/>
  <c r="DT57" i="2"/>
  <c r="DT50" i="2"/>
  <c r="DT44" i="2"/>
  <c r="DT7" i="2"/>
  <c r="DT22" i="2"/>
  <c r="DT28" i="2"/>
  <c r="DT174" i="2"/>
  <c r="DT194" i="2"/>
  <c r="DT136" i="2"/>
  <c r="DT137" i="2"/>
  <c r="DT103" i="2"/>
  <c r="DT180" i="2"/>
  <c r="DT34" i="2"/>
  <c r="DT15" i="2"/>
  <c r="DT168" i="2"/>
  <c r="DT78" i="2"/>
  <c r="DT163" i="2"/>
  <c r="DT89" i="2"/>
  <c r="DT71" i="2"/>
  <c r="DT6" i="2"/>
  <c r="DT83" i="2"/>
  <c r="DT143" i="2"/>
  <c r="DT108" i="2"/>
  <c r="DT140" i="2"/>
  <c r="DT20" i="2"/>
  <c r="DT119" i="2"/>
  <c r="DT58" i="2"/>
  <c r="DT172" i="2"/>
  <c r="DT147" i="2"/>
  <c r="DT141" i="2"/>
  <c r="DT80" i="2"/>
  <c r="DT43" i="2"/>
  <c r="DT101" i="2"/>
  <c r="DT110" i="2"/>
  <c r="DT167" i="2"/>
  <c r="DT115" i="2"/>
  <c r="DT189" i="2"/>
  <c r="DT145" i="2"/>
  <c r="DT176" i="2"/>
  <c r="DT40" i="2"/>
  <c r="DT19" i="2"/>
  <c r="DT150" i="2"/>
  <c r="DT129" i="2"/>
  <c r="DT61" i="2"/>
  <c r="DT151" i="2"/>
  <c r="DT166" i="2"/>
  <c r="DT36" i="2"/>
  <c r="DT67" i="2"/>
  <c r="DT82" i="2"/>
  <c r="DT106" i="2"/>
  <c r="DT107" i="2"/>
  <c r="DT130" i="2"/>
  <c r="DT144" i="2"/>
  <c r="DT187" i="2"/>
  <c r="DT114" i="2"/>
  <c r="DT75" i="2"/>
  <c r="DT70" i="2"/>
  <c r="DT42" i="2"/>
  <c r="DT32" i="2"/>
  <c r="DT88" i="2"/>
  <c r="DT73" i="2"/>
  <c r="DT3" i="2"/>
  <c r="C11" i="4" s="1"/>
  <c r="E11" i="4" s="1"/>
  <c r="F11" i="4" s="1"/>
  <c r="G11" i="4" s="1"/>
  <c r="L11" i="4" s="1"/>
  <c r="DT99" i="2"/>
  <c r="DT93" i="2"/>
  <c r="DT122" i="2"/>
  <c r="DT91" i="2"/>
  <c r="DT192" i="2"/>
  <c r="DT201" i="2"/>
  <c r="DT63" i="2"/>
  <c r="DT179" i="2"/>
  <c r="DT69" i="2"/>
  <c r="DT199" i="2"/>
  <c r="DT109" i="2"/>
  <c r="DT198" i="2"/>
  <c r="DT118" i="2"/>
  <c r="DT153" i="2"/>
  <c r="DT38" i="2"/>
  <c r="DT56" i="2"/>
  <c r="DT81" i="2"/>
  <c r="DT159" i="2"/>
  <c r="DT24" i="2"/>
  <c r="DT45" i="2"/>
  <c r="DT155" i="2"/>
  <c r="DT117" i="2"/>
  <c r="DT127" i="2"/>
  <c r="DT46" i="2"/>
  <c r="CY24" i="2"/>
  <c r="CY16" i="2"/>
  <c r="CY5" i="2"/>
  <c r="CY72" i="2"/>
  <c r="CY180" i="2"/>
  <c r="CY96" i="2"/>
  <c r="CY44" i="2"/>
  <c r="CY38" i="2"/>
  <c r="CY147" i="2"/>
  <c r="CY45" i="2"/>
  <c r="CY8" i="2"/>
  <c r="CY49" i="2"/>
  <c r="CY114" i="2"/>
  <c r="CY13" i="2"/>
  <c r="CY182" i="2"/>
  <c r="CY36" i="2"/>
  <c r="CY107" i="2"/>
  <c r="CY31" i="2"/>
  <c r="CY183" i="2"/>
  <c r="CY94" i="2"/>
  <c r="CY170" i="2"/>
  <c r="CY139" i="2"/>
  <c r="CY113" i="2"/>
  <c r="CY189" i="2"/>
  <c r="CY58" i="2"/>
  <c r="CY84" i="2"/>
  <c r="CY21" i="2"/>
  <c r="CY176" i="2"/>
  <c r="CY160" i="2"/>
  <c r="CY193" i="2"/>
  <c r="CY112" i="2"/>
  <c r="CY42" i="2"/>
  <c r="CY50" i="2"/>
  <c r="CY103" i="2"/>
  <c r="CY92" i="2"/>
  <c r="CY146" i="2"/>
  <c r="CY149" i="2"/>
  <c r="CY165" i="2"/>
  <c r="CY4" i="2"/>
  <c r="CY70" i="2"/>
  <c r="CY29" i="2"/>
  <c r="CY62" i="2"/>
  <c r="CY82" i="2"/>
  <c r="CY60" i="2"/>
  <c r="CY202" i="2"/>
  <c r="CY3" i="2"/>
  <c r="C10" i="4" s="1"/>
  <c r="E10" i="4" s="1"/>
  <c r="F10" i="4" s="1"/>
  <c r="G10" i="4" s="1"/>
  <c r="L10" i="4" s="1"/>
  <c r="CY52" i="2"/>
  <c r="CY199" i="2"/>
  <c r="CY51" i="2"/>
  <c r="CY67" i="2"/>
  <c r="CY140" i="2"/>
  <c r="CY55" i="2"/>
  <c r="CY30" i="2"/>
  <c r="CY194" i="2"/>
  <c r="CY68" i="2"/>
  <c r="CY48" i="2"/>
  <c r="CY6" i="2"/>
  <c r="CY133" i="2"/>
  <c r="CY9" i="2"/>
  <c r="CY23" i="2"/>
  <c r="CY172" i="2"/>
  <c r="CY102" i="2"/>
  <c r="CY168" i="2"/>
  <c r="CY89" i="2"/>
  <c r="CY27" i="2"/>
  <c r="CY86" i="2"/>
  <c r="CY179" i="2"/>
  <c r="CY91" i="2"/>
  <c r="CY57" i="2"/>
  <c r="CY105" i="2"/>
  <c r="CY40" i="2"/>
  <c r="CY151" i="2"/>
  <c r="CY63" i="2"/>
  <c r="CY22" i="2"/>
  <c r="CY78" i="2"/>
  <c r="CY167" i="2"/>
  <c r="CY164" i="2"/>
  <c r="CY53" i="2"/>
  <c r="CY174" i="2"/>
  <c r="CY198" i="2"/>
  <c r="CY191" i="2"/>
  <c r="CY73" i="2"/>
  <c r="CY124" i="2"/>
  <c r="CY14" i="2"/>
  <c r="CY173" i="2"/>
  <c r="CY76" i="2"/>
  <c r="CY100" i="2"/>
  <c r="CY143" i="2"/>
  <c r="CY64" i="2"/>
  <c r="CY128" i="2"/>
  <c r="CY25" i="2"/>
  <c r="CY17" i="2"/>
  <c r="CY150" i="2"/>
  <c r="CY99" i="2"/>
  <c r="CY77" i="2"/>
  <c r="CY127" i="2"/>
  <c r="CY19" i="2"/>
  <c r="CY47" i="2"/>
  <c r="CY148" i="2"/>
  <c r="CY200" i="2"/>
  <c r="CY34" i="2"/>
  <c r="CY131" i="2"/>
  <c r="CY154" i="2"/>
  <c r="CY201" i="2"/>
  <c r="CY83" i="2"/>
  <c r="CY87" i="2"/>
  <c r="CY145" i="2"/>
  <c r="CY108" i="2"/>
  <c r="CY141" i="2"/>
  <c r="CY15" i="2"/>
  <c r="CY10" i="2"/>
  <c r="CY97" i="2"/>
  <c r="CY33" i="2"/>
  <c r="CY156" i="2"/>
  <c r="CY175" i="2"/>
  <c r="CY26" i="2"/>
  <c r="CY135" i="2"/>
  <c r="CY20" i="2"/>
  <c r="CY110" i="2"/>
  <c r="CY71" i="2"/>
  <c r="CY59" i="2"/>
  <c r="CY197" i="2"/>
  <c r="CY177" i="2"/>
  <c r="CY130" i="2"/>
  <c r="CY138" i="2"/>
  <c r="CY75" i="2"/>
  <c r="CY90" i="2"/>
  <c r="CY132" i="2"/>
  <c r="CY95" i="2"/>
  <c r="CY7" i="2"/>
  <c r="CY129" i="2"/>
  <c r="CY159" i="2"/>
  <c r="CY66" i="2"/>
  <c r="CY80" i="2"/>
  <c r="CY74" i="2"/>
  <c r="CY158" i="2"/>
  <c r="CY12" i="2"/>
  <c r="CY134" i="2"/>
  <c r="CY123" i="2"/>
  <c r="CY120" i="2"/>
  <c r="CY153" i="2"/>
  <c r="CY163" i="2"/>
  <c r="CY98" i="2"/>
  <c r="CY93" i="2"/>
  <c r="CY188" i="2"/>
  <c r="CY32" i="2"/>
  <c r="CY162" i="2"/>
  <c r="CY121" i="2"/>
  <c r="CY195" i="2"/>
  <c r="CY203" i="2"/>
  <c r="CY111" i="2"/>
  <c r="CY185" i="2"/>
  <c r="CY136" i="2"/>
  <c r="CY144" i="2"/>
  <c r="CY104" i="2"/>
  <c r="CY137" i="2"/>
  <c r="CY181" i="2"/>
  <c r="CY196" i="2"/>
  <c r="CY190" i="2"/>
  <c r="CY178" i="2"/>
  <c r="CY54" i="2"/>
  <c r="CY186" i="2"/>
  <c r="CY126" i="2"/>
  <c r="CY81" i="2"/>
  <c r="CY155" i="2"/>
  <c r="CY37" i="2"/>
  <c r="CY106" i="2"/>
  <c r="CY171" i="2"/>
  <c r="CY18" i="2"/>
  <c r="CY109" i="2"/>
  <c r="CY169" i="2"/>
  <c r="CY125" i="2"/>
  <c r="CY11" i="2"/>
  <c r="CY69" i="2"/>
  <c r="CY122" i="2"/>
  <c r="CY184" i="2"/>
  <c r="CY115" i="2"/>
  <c r="CY43" i="2"/>
  <c r="CY117" i="2"/>
  <c r="CY116" i="2"/>
  <c r="CY79" i="2"/>
  <c r="CY28" i="2"/>
  <c r="CY35" i="2"/>
  <c r="CY152" i="2"/>
  <c r="CY119" i="2"/>
  <c r="CY46" i="2"/>
  <c r="CY41" i="2"/>
  <c r="CY88" i="2"/>
  <c r="CY118" i="2"/>
  <c r="CY142" i="2"/>
  <c r="CY166" i="2"/>
  <c r="CY161" i="2"/>
  <c r="CY157" i="2"/>
  <c r="CY56" i="2"/>
  <c r="CY61" i="2"/>
  <c r="CY101" i="2"/>
  <c r="CY187" i="2"/>
  <c r="CY39" i="2"/>
  <c r="CY65" i="2"/>
  <c r="CY85" i="2"/>
  <c r="CY192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82" i="2" l="1"/>
  <c r="BI47" i="2"/>
  <c r="BI131" i="2"/>
  <c r="BI132" i="2"/>
  <c r="BI44" i="2"/>
  <c r="BI101" i="2"/>
  <c r="BI197" i="2"/>
  <c r="BI79" i="2"/>
  <c r="BI130" i="2"/>
  <c r="BI26" i="2"/>
  <c r="BI87" i="2"/>
  <c r="BI23" i="2"/>
  <c r="BI100" i="2"/>
  <c r="BI105" i="2"/>
  <c r="BI187" i="2"/>
  <c r="BI133" i="2"/>
  <c r="BI190" i="2"/>
  <c r="BI42" i="2"/>
  <c r="BI145" i="2"/>
  <c r="BI25" i="2"/>
  <c r="BI125" i="2"/>
  <c r="BI6" i="2"/>
  <c r="BI50" i="2"/>
  <c r="BI73" i="2"/>
  <c r="BI63" i="2"/>
  <c r="BI128" i="2"/>
  <c r="BI39" i="2"/>
  <c r="BI15" i="2"/>
  <c r="BI74" i="2"/>
  <c r="BI91" i="2"/>
  <c r="BI134" i="2"/>
  <c r="BI96" i="2"/>
  <c r="BI116" i="2"/>
  <c r="BI150" i="2"/>
  <c r="BI126" i="2"/>
  <c r="BI4" i="2"/>
  <c r="BI9" i="2"/>
  <c r="BI7" i="2"/>
  <c r="BI98" i="2"/>
  <c r="BI57" i="2"/>
  <c r="BI141" i="2"/>
  <c r="BI14" i="2"/>
  <c r="BI137" i="2"/>
  <c r="BI115" i="2"/>
  <c r="BI41" i="2"/>
  <c r="BI13" i="2"/>
  <c r="BI69" i="2"/>
  <c r="BI171" i="2"/>
  <c r="BI199" i="2"/>
  <c r="BI161" i="2"/>
  <c r="BI136" i="2"/>
  <c r="BI70" i="2"/>
  <c r="BI45" i="2"/>
  <c r="BI61" i="2"/>
  <c r="BI157" i="2"/>
  <c r="BI173" i="2"/>
  <c r="BI77" i="2"/>
  <c r="BI152" i="2"/>
  <c r="BI68" i="2"/>
  <c r="BI97" i="2"/>
  <c r="BI201" i="2"/>
  <c r="BI112" i="2"/>
  <c r="BI192" i="2"/>
  <c r="BI59" i="2"/>
  <c r="BI191" i="2"/>
  <c r="BI38" i="2"/>
  <c r="BI178" i="2"/>
  <c r="BI139" i="2"/>
  <c r="BI135" i="2"/>
  <c r="BI148" i="2"/>
  <c r="BI11" i="2"/>
  <c r="BI76" i="2"/>
  <c r="BI196" i="2"/>
  <c r="BI179" i="2"/>
  <c r="BI111" i="2"/>
  <c r="BI117" i="2"/>
  <c r="BI93" i="2"/>
  <c r="BI67" i="2"/>
  <c r="BI104" i="2"/>
  <c r="BI198" i="2"/>
  <c r="BI175" i="2"/>
  <c r="BI108" i="2"/>
  <c r="BI186" i="2"/>
  <c r="BI119" i="2"/>
  <c r="BI189" i="2"/>
  <c r="BI167" i="2"/>
  <c r="BI99" i="2"/>
  <c r="BI151" i="2"/>
  <c r="BI146" i="2"/>
  <c r="BI90" i="2"/>
  <c r="BI95" i="2"/>
  <c r="BI8" i="2"/>
  <c r="BI31" i="2"/>
  <c r="BI88" i="2"/>
  <c r="BI94" i="2"/>
  <c r="BI113" i="2"/>
  <c r="BI147" i="2"/>
  <c r="BI172" i="2"/>
  <c r="BI154" i="2"/>
  <c r="BI29" i="2"/>
  <c r="BI64" i="2"/>
  <c r="BI40" i="2"/>
  <c r="BI55" i="2"/>
  <c r="BI184" i="2"/>
  <c r="BI60" i="2"/>
  <c r="BI27" i="2"/>
  <c r="BI58" i="2"/>
  <c r="BI177" i="2"/>
  <c r="BI160" i="2"/>
  <c r="BI75" i="2"/>
  <c r="BI56" i="2"/>
  <c r="BI121" i="2"/>
  <c r="BI118" i="2"/>
  <c r="BI92" i="2"/>
  <c r="BI19" i="2"/>
  <c r="BI142" i="2"/>
  <c r="BI16" i="2"/>
  <c r="BI106" i="2"/>
  <c r="BI194" i="2"/>
  <c r="BI144" i="2"/>
  <c r="BI20" i="2"/>
  <c r="BI124" i="2"/>
  <c r="BI129" i="2"/>
  <c r="BI84" i="2"/>
  <c r="BI53" i="2"/>
  <c r="BI21" i="2"/>
  <c r="BI66" i="2"/>
  <c r="BI80" i="2"/>
  <c r="BI30" i="2"/>
  <c r="BI120" i="2"/>
  <c r="BI168" i="2"/>
  <c r="BI34" i="2"/>
  <c r="BI12" i="2"/>
  <c r="BI166" i="2"/>
  <c r="BI72" i="2"/>
  <c r="BI35" i="2"/>
  <c r="BI52" i="2"/>
  <c r="BI36" i="2"/>
  <c r="BI85" i="2"/>
  <c r="BI127" i="2"/>
  <c r="BI158" i="2"/>
  <c r="BI37" i="2"/>
  <c r="BI163" i="2"/>
  <c r="BI180" i="2"/>
  <c r="BI107" i="2"/>
  <c r="BI138" i="2"/>
  <c r="BI24" i="2"/>
  <c r="BI164" i="2"/>
  <c r="BI103" i="2"/>
  <c r="BI22" i="2"/>
  <c r="BI123" i="2"/>
  <c r="BI162" i="2"/>
  <c r="BI165" i="2"/>
  <c r="BI62" i="2"/>
  <c r="BI156" i="2"/>
  <c r="BI89" i="2"/>
  <c r="BI81" i="2"/>
  <c r="BI188" i="2"/>
  <c r="BI202" i="2"/>
  <c r="BI195" i="2"/>
  <c r="BI169" i="2"/>
  <c r="BI43" i="2"/>
  <c r="BI176" i="2"/>
  <c r="BI203" i="2"/>
  <c r="BI3" i="2"/>
  <c r="C8" i="4" s="1"/>
  <c r="E8" i="4" s="1"/>
  <c r="F8" i="4" s="1"/>
  <c r="G8" i="4" s="1"/>
  <c r="L8" i="4" s="1"/>
  <c r="BI200" i="2"/>
  <c r="BI149" i="2"/>
  <c r="BI51" i="2"/>
  <c r="BI110" i="2"/>
  <c r="BI193" i="2"/>
  <c r="BI49" i="2"/>
  <c r="BI155" i="2"/>
  <c r="BI170" i="2"/>
  <c r="BI159" i="2"/>
  <c r="BI86" i="2"/>
  <c r="BI33" i="2"/>
  <c r="BI181" i="2"/>
  <c r="BI140" i="2"/>
  <c r="BI174" i="2"/>
  <c r="BI109" i="2"/>
  <c r="BI83" i="2"/>
  <c r="BI32" i="2"/>
  <c r="BI28" i="2"/>
  <c r="BI65" i="2"/>
  <c r="BI122" i="2"/>
  <c r="BI78" i="2"/>
  <c r="BI143" i="2"/>
  <c r="BI10" i="2"/>
  <c r="BI183" i="2"/>
  <c r="BI153" i="2"/>
  <c r="BI82" i="2"/>
  <c r="BI5" i="2"/>
  <c r="BI185" i="2"/>
  <c r="BI48" i="2"/>
  <c r="BI54" i="2"/>
  <c r="BI114" i="2"/>
  <c r="BI17" i="2"/>
  <c r="BI18" i="2"/>
  <c r="BI102" i="2"/>
  <c r="BI46" i="2"/>
  <c r="BI71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<sst xmlns="http://schemas.openxmlformats.org/spreadsheetml/2006/main" count="1175" uniqueCount="324">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</sst>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4854560"/>
        <c:axId val="1044851840"/>
      </c:scatterChart>
      <c:valAx>
        <c:axId val="1044854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51840"/>
        <c:crosses val="autoZero"/>
        <c:crossBetween val="midCat"/>
      </c:valAx>
      <c:valAx>
        <c:axId val="104485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54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3066608"/>
        <c:axId val="893060080"/>
      </c:scatterChart>
      <c:valAx>
        <c:axId val="893066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93060080"/>
        <c:crosses val="autoZero"/>
        <c:crossBetween val="midCat"/>
      </c:valAx>
      <c:valAx>
        <c:axId val="89306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93066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101.20155860224514</c:v>
                </c:pt>
                <c:pt idx="19">
                  <c:v>127.0980397754123</c:v>
                </c:pt>
                <c:pt idx="20">
                  <c:v>152.86615355101216</c:v>
                </c:pt>
                <c:pt idx="21">
                  <c:v>178.53066355216527</c:v>
                </c:pt>
                <c:pt idx="22">
                  <c:v>204.10858506233546</c:v>
                </c:pt>
                <c:pt idx="23">
                  <c:v>229.61230319271124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233.44601669739703</c:v>
                </c:pt>
                <c:pt idx="31">
                  <c:v>251.84750488432181</c:v>
                </c:pt>
                <c:pt idx="32">
                  <c:v>270.21853171878513</c:v>
                </c:pt>
                <c:pt idx="33">
                  <c:v>288.56145919537863</c:v>
                </c:pt>
                <c:pt idx="34">
                  <c:v>306.87832443749215</c:v>
                </c:pt>
                <c:pt idx="35">
                  <c:v>325.17090151429107</c:v>
                </c:pt>
                <c:pt idx="36">
                  <c:v>343.44074860711908</c:v>
                </c:pt>
                <c:pt idx="37">
                  <c:v>277.63184538341528</c:v>
                </c:pt>
                <c:pt idx="38">
                  <c:v>294.48214845689876</c:v>
                </c:pt>
                <c:pt idx="39">
                  <c:v>311.31094401127979</c:v>
                </c:pt>
                <c:pt idx="40">
                  <c:v>328.11955816127636</c:v>
                </c:pt>
                <c:pt idx="41">
                  <c:v>344.90917006481664</c:v>
                </c:pt>
                <c:pt idx="42">
                  <c:v>361.68083471897558</c:v>
                </c:pt>
                <c:pt idx="43">
                  <c:v>378.43550130502695</c:v>
                </c:pt>
                <c:pt idx="44">
                  <c:v>395.17402811417611</c:v>
                </c:pt>
                <c:pt idx="45">
                  <c:v>327.7803309925909</c:v>
                </c:pt>
                <c:pt idx="46">
                  <c:v>342.65491458987913</c:v>
                </c:pt>
                <c:pt idx="47">
                  <c:v>357.51530938507517</c:v>
                </c:pt>
                <c:pt idx="48">
                  <c:v>372.362188160926</c:v>
                </c:pt>
                <c:pt idx="49">
                  <c:v>387.1961656731425</c:v>
                </c:pt>
                <c:pt idx="50">
                  <c:v>402.01780573308952</c:v>
                </c:pt>
                <c:pt idx="51">
                  <c:v>416.82762719136463</c:v>
                </c:pt>
                <c:pt idx="52">
                  <c:v>431.62610902660225</c:v>
                </c:pt>
                <c:pt idx="53">
                  <c:v>366.26587036399184</c:v>
                </c:pt>
                <c:pt idx="54">
                  <c:v>379.56512784230637</c:v>
                </c:pt>
                <c:pt idx="55">
                  <c:v>392.85424897119765</c:v>
                </c:pt>
                <c:pt idx="56">
                  <c:v>406.13362494673282</c:v>
                </c:pt>
                <c:pt idx="57">
                  <c:v>419.40361929545037</c:v>
                </c:pt>
                <c:pt idx="58">
                  <c:v>432.66457066342628</c:v>
                </c:pt>
                <c:pt idx="59">
                  <c:v>445.91679524557213</c:v>
                </c:pt>
                <c:pt idx="60">
                  <c:v>459.1605889111022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4840960"/>
        <c:axId val="1044850752"/>
      </c:scatterChart>
      <c:valAx>
        <c:axId val="1044840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50752"/>
        <c:crosses val="autoZero"/>
        <c:crossBetween val="midCat"/>
      </c:valAx>
      <c:valAx>
        <c:axId val="104485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40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3.3043568983948219</c:v>
                </c:pt>
                <c:pt idx="2">
                  <c:v>4.1131513120146055</c:v>
                </c:pt>
                <c:pt idx="3">
                  <c:v>5.1206664109263427</c:v>
                </c:pt>
                <c:pt idx="4">
                  <c:v>6.375902542534404</c:v>
                </c:pt>
                <c:pt idx="5">
                  <c:v>7.9399827670654304</c:v>
                </c:pt>
                <c:pt idx="6">
                  <c:v>9.8891612665776254</c:v>
                </c:pt>
                <c:pt idx="7">
                  <c:v>12.318580445108942</c:v>
                </c:pt>
                <c:pt idx="8">
                  <c:v>15.346963526425172</c:v>
                </c:pt>
                <c:pt idx="9">
                  <c:v>19.122476175830567</c:v>
                </c:pt>
                <c:pt idx="10">
                  <c:v>23.830049102016243</c:v>
                </c:pt>
                <c:pt idx="11">
                  <c:v>29.700526674358532</c:v>
                </c:pt>
                <c:pt idx="12">
                  <c:v>37.022098000505643</c:v>
                </c:pt>
                <c:pt idx="13">
                  <c:v>46.154581254564704</c:v>
                </c:pt>
                <c:pt idx="14">
                  <c:v>57.547275093132022</c:v>
                </c:pt>
                <c:pt idx="15">
                  <c:v>71.761269961795847</c:v>
                </c:pt>
                <c:pt idx="16">
                  <c:v>85.095907314816401</c:v>
                </c:pt>
                <c:pt idx="17">
                  <c:v>98.377811836935564</c:v>
                </c:pt>
                <c:pt idx="18">
                  <c:v>111.61512570313762</c:v>
                </c:pt>
                <c:pt idx="19">
                  <c:v>124.81389250757191</c:v>
                </c:pt>
                <c:pt idx="20">
                  <c:v>137.97876857105169</c:v>
                </c:pt>
                <c:pt idx="21">
                  <c:v>152.8626230482474</c:v>
                </c:pt>
                <c:pt idx="22">
                  <c:v>167.71198305973977</c:v>
                </c:pt>
                <c:pt idx="23">
                  <c:v>182.53033488053475</c:v>
                </c:pt>
                <c:pt idx="24">
                  <c:v>197.32055161106871</c:v>
                </c:pt>
                <c:pt idx="25">
                  <c:v>212.08503993201154</c:v>
                </c:pt>
                <c:pt idx="26">
                  <c:v>185.43251337813976</c:v>
                </c:pt>
                <c:pt idx="27">
                  <c:v>200.79678251340351</c:v>
                </c:pt>
                <c:pt idx="28">
                  <c:v>216.13381450662925</c:v>
                </c:pt>
                <c:pt idx="29">
                  <c:v>231.4458147571938</c:v>
                </c:pt>
                <c:pt idx="30">
                  <c:v>246.73467280489569</c:v>
                </c:pt>
                <c:pt idx="31">
                  <c:v>262.0020247597638</c:v>
                </c:pt>
                <c:pt idx="32">
                  <c:v>277.24930039663974</c:v>
                </c:pt>
                <c:pt idx="33">
                  <c:v>292.47775933510462</c:v>
                </c:pt>
                <c:pt idx="34">
                  <c:v>307.68851928258727</c:v>
                </c:pt>
                <c:pt idx="35">
                  <c:v>322.88257839605899</c:v>
                </c:pt>
                <c:pt idx="36">
                  <c:v>291.61625358144909</c:v>
                </c:pt>
                <c:pt idx="37">
                  <c:v>306.25427013592997</c:v>
                </c:pt>
                <c:pt idx="38">
                  <c:v>320.8767401618216</c:v>
                </c:pt>
                <c:pt idx="39">
                  <c:v>335.48447191107618</c:v>
                </c:pt>
                <c:pt idx="40">
                  <c:v>350.07819749697501</c:v>
                </c:pt>
                <c:pt idx="41">
                  <c:v>364.08704683441897</c:v>
                </c:pt>
                <c:pt idx="42">
                  <c:v>378.08412274155666</c:v>
                </c:pt>
                <c:pt idx="43">
                  <c:v>392.06992246811427</c:v>
                </c:pt>
                <c:pt idx="44">
                  <c:v>406.04490489416935</c:v>
                </c:pt>
                <c:pt idx="45">
                  <c:v>420.00949473730435</c:v>
                </c:pt>
                <c:pt idx="46">
                  <c:v>380.65377439846361</c:v>
                </c:pt>
                <c:pt idx="47">
                  <c:v>394.06700055477955</c:v>
                </c:pt>
                <c:pt idx="48">
                  <c:v>407.47033230325138</c:v>
                </c:pt>
                <c:pt idx="49">
                  <c:v>420.86414095510577</c:v>
                </c:pt>
                <c:pt idx="50">
                  <c:v>434.24877226057561</c:v>
                </c:pt>
                <c:pt idx="51">
                  <c:v>446.77103457638958</c:v>
                </c:pt>
                <c:pt idx="52">
                  <c:v>459.28578488692114</c:v>
                </c:pt>
                <c:pt idx="53">
                  <c:v>471.7932567157938</c:v>
                </c:pt>
                <c:pt idx="54">
                  <c:v>484.2936701958518</c:v>
                </c:pt>
                <c:pt idx="55">
                  <c:v>496.78723317012327</c:v>
                </c:pt>
                <c:pt idx="56">
                  <c:v>454.45141574909866</c:v>
                </c:pt>
                <c:pt idx="57">
                  <c:v>466.10893018382029</c:v>
                </c:pt>
                <c:pt idx="58">
                  <c:v>477.76023057775615</c:v>
                </c:pt>
                <c:pt idx="59">
                  <c:v>489.40548983322697</c:v>
                </c:pt>
                <c:pt idx="60">
                  <c:v>501.04487195328284</c:v>
                </c:pt>
                <c:pt idx="61">
                  <c:v>512.11116752861255</c:v>
                </c:pt>
                <c:pt idx="62">
                  <c:v>523.17241398507338</c:v>
                </c:pt>
                <c:pt idx="63">
                  <c:v>534.22873311672129</c:v>
                </c:pt>
                <c:pt idx="64">
                  <c:v>545.28024126554419</c:v>
                </c:pt>
                <c:pt idx="65">
                  <c:v>556.32704967342067</c:v>
                </c:pt>
                <c:pt idx="66">
                  <c:v>514.66420648531459</c:v>
                </c:pt>
                <c:pt idx="67">
                  <c:v>525.44077469768263</c:v>
                </c:pt>
                <c:pt idx="68">
                  <c:v>536.21268811802292</c:v>
                </c:pt>
                <c:pt idx="69">
                  <c:v>546.98005343275963</c:v>
                </c:pt>
                <c:pt idx="70">
                  <c:v>557.7429727857874</c:v>
                </c:pt>
                <c:pt idx="71">
                  <c:v>567.65233904266006</c:v>
                </c:pt>
                <c:pt idx="72">
                  <c:v>577.5580901665852</c:v>
                </c:pt>
                <c:pt idx="73">
                  <c:v>587.46029689849797</c:v>
                </c:pt>
                <c:pt idx="74">
                  <c:v>597.35902740022755</c:v>
                </c:pt>
                <c:pt idx="75">
                  <c:v>607.25434739061825</c:v>
                </c:pt>
                <c:pt idx="76">
                  <c:v>565.95384929166414</c:v>
                </c:pt>
                <c:pt idx="77">
                  <c:v>575.57722571883653</c:v>
                </c:pt>
                <c:pt idx="78">
                  <c:v>585.19724425655897</c:v>
                </c:pt>
                <c:pt idx="79">
                  <c:v>594.81396788448865</c:v>
                </c:pt>
                <c:pt idx="80">
                  <c:v>604.42745737988719</c:v>
                </c:pt>
                <c:pt idx="81">
                  <c:v>613.189928807667</c:v>
                </c:pt>
                <c:pt idx="82">
                  <c:v>621.94980350275443</c:v>
                </c:pt>
                <c:pt idx="83">
                  <c:v>630.7071231936402</c:v>
                </c:pt>
                <c:pt idx="84">
                  <c:v>639.46192835560794</c:v>
                </c:pt>
                <c:pt idx="85">
                  <c:v>648.21425826538086</c:v>
                </c:pt>
                <c:pt idx="86">
                  <c:v>608.66768984795272</c:v>
                </c:pt>
                <c:pt idx="87">
                  <c:v>617.14632027231744</c:v>
                </c:pt>
                <c:pt idx="88">
                  <c:v>625.62253659702685</c:v>
                </c:pt>
                <c:pt idx="89">
                  <c:v>634.0963761398915</c:v>
                </c:pt>
                <c:pt idx="90">
                  <c:v>642.56787514003383</c:v>
                </c:pt>
                <c:pt idx="91">
                  <c:v>650.19025219432649</c:v>
                </c:pt>
                <c:pt idx="92">
                  <c:v>657.8107869158938</c:v>
                </c:pt>
                <c:pt idx="93">
                  <c:v>665.42950365638319</c:v>
                </c:pt>
                <c:pt idx="94">
                  <c:v>673.0464261643765</c:v>
                </c:pt>
                <c:pt idx="95">
                  <c:v>680.66157760712861</c:v>
                </c:pt>
                <c:pt idx="96">
                  <c:v>688.27498059128141</c:v>
                </c:pt>
                <c:pt idx="97">
                  <c:v>695.88665718261416</c:v>
                </c:pt>
                <c:pt idx="98">
                  <c:v>703.4966289248855</c:v>
                </c:pt>
                <c:pt idx="99">
                  <c:v>711.10491685781756</c:v>
                </c:pt>
                <c:pt idx="100">
                  <c:v>718.71154153427051</c:v>
                </c:pt>
                <c:pt idx="101">
                  <c:v>658.09299388120962</c:v>
                </c:pt>
                <c:pt idx="102">
                  <c:v>665.14736110281672</c:v>
                </c:pt>
                <c:pt idx="103">
                  <c:v>672.20018932008873</c:v>
                </c:pt>
                <c:pt idx="104">
                  <c:v>679.25149695725497</c:v>
                </c:pt>
                <c:pt idx="105">
                  <c:v>686.30130202483861</c:v>
                </c:pt>
                <c:pt idx="106">
                  <c:v>693.34962213319204</c:v>
                </c:pt>
                <c:pt idx="107">
                  <c:v>700.39647450545351</c:v>
                </c:pt>
                <c:pt idx="108">
                  <c:v>707.44187598995484</c:v>
                </c:pt>
                <c:pt idx="109">
                  <c:v>714.48584307211024</c:v>
                </c:pt>
                <c:pt idx="110">
                  <c:v>721.52839188581265</c:v>
                </c:pt>
                <c:pt idx="111">
                  <c:v>685.59638862873953</c:v>
                </c:pt>
                <c:pt idx="112">
                  <c:v>691.94007607607489</c:v>
                </c:pt>
                <c:pt idx="113">
                  <c:v>698.28257189646683</c:v>
                </c:pt>
                <c:pt idx="114">
                  <c:v>704.62388843962435</c:v>
                </c:pt>
                <c:pt idx="115">
                  <c:v>710.96403781484867</c:v>
                </c:pt>
                <c:pt idx="116">
                  <c:v>717.30303189786616</c:v>
                </c:pt>
                <c:pt idx="117">
                  <c:v>723.64088233740028</c:v>
                </c:pt>
                <c:pt idx="118">
                  <c:v>729.97760056150412</c:v>
                </c:pt>
                <c:pt idx="119">
                  <c:v>736.31319778366208</c:v>
                </c:pt>
                <c:pt idx="120">
                  <c:v>742.64768500866955</c:v>
                </c:pt>
                <c:pt idx="121">
                  <c:v>708.99167125142458</c:v>
                </c:pt>
                <c:pt idx="122">
                  <c:v>714.76757214919553</c:v>
                </c:pt>
                <c:pt idx="123">
                  <c:v>720.54251983862753</c:v>
                </c:pt>
                <c:pt idx="124">
                  <c:v>726.31652303665248</c:v>
                </c:pt>
                <c:pt idx="125">
                  <c:v>732.08959031030997</c:v>
                </c:pt>
                <c:pt idx="126">
                  <c:v>737.86173008051219</c:v>
                </c:pt>
                <c:pt idx="127">
                  <c:v>743.63295062568523</c:v>
                </c:pt>
                <c:pt idx="128">
                  <c:v>749.40326008529053</c:v>
                </c:pt>
                <c:pt idx="129">
                  <c:v>755.17266646323208</c:v>
                </c:pt>
                <c:pt idx="130">
                  <c:v>760.94117763115719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4844768"/>
        <c:axId val="1044845312"/>
      </c:scatterChart>
      <c:valAx>
        <c:axId val="1044844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45312"/>
        <c:crosses val="autoZero"/>
        <c:crossBetween val="midCat"/>
      </c:valAx>
      <c:valAx>
        <c:axId val="104484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44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1.4216684505882042</c:v>
                </c:pt>
                <c:pt idx="2">
                  <c:v>1.6494337208217518</c:v>
                </c:pt>
                <c:pt idx="3">
                  <c:v>1.9138254418871894</c:v>
                </c:pt>
                <c:pt idx="4">
                  <c:v>2.2207542185725906</c:v>
                </c:pt>
                <c:pt idx="5">
                  <c:v>2.5770876404627994</c:v>
                </c:pt>
                <c:pt idx="6">
                  <c:v>2.990805705670585</c:v>
                </c:pt>
                <c:pt idx="7">
                  <c:v>3.4711815591519066</c:v>
                </c:pt>
                <c:pt idx="8">
                  <c:v>4.0289916795822309</c:v>
                </c:pt>
                <c:pt idx="9">
                  <c:v>4.6767603254983152</c:v>
                </c:pt>
                <c:pt idx="10">
                  <c:v>5.4290438391611309</c:v>
                </c:pt>
                <c:pt idx="11">
                  <c:v>6.3027613236217057</c:v>
                </c:pt>
                <c:pt idx="12">
                  <c:v>7.3175792760292708</c:v>
                </c:pt>
                <c:pt idx="13">
                  <c:v>8.4963590030684362</c:v>
                </c:pt>
                <c:pt idx="14">
                  <c:v>9.8656770913865515</c:v>
                </c:pt>
                <c:pt idx="15">
                  <c:v>11.456430890563903</c:v>
                </c:pt>
                <c:pt idx="16">
                  <c:v>13.304542927714031</c:v>
                </c:pt>
                <c:pt idx="17">
                  <c:v>15.45178045675719</c:v>
                </c:pt>
                <c:pt idx="18">
                  <c:v>17.946709004879654</c:v>
                </c:pt>
                <c:pt idx="19">
                  <c:v>20.845801875526238</c:v>
                </c:pt>
                <c:pt idx="20">
                  <c:v>24.214731173527223</c:v>
                </c:pt>
                <c:pt idx="21">
                  <c:v>28.129870117578587</c:v>
                </c:pt>
                <c:pt idx="22">
                  <c:v>32.680041296073831</c:v>
                </c:pt>
                <c:pt idx="23">
                  <c:v>37.968551218170866</c:v>
                </c:pt>
                <c:pt idx="24">
                  <c:v>44.115558145722979</c:v>
                </c:pt>
                <c:pt idx="25">
                  <c:v>51.260827917988813</c:v>
                </c:pt>
                <c:pt idx="26">
                  <c:v>59.56694148009052</c:v>
                </c:pt>
                <c:pt idx="27">
                  <c:v>69.223028308013781</c:v>
                </c:pt>
                <c:pt idx="28">
                  <c:v>80.449112132240245</c:v>
                </c:pt>
                <c:pt idx="29">
                  <c:v>93.501169584014704</c:v>
                </c:pt>
                <c:pt idx="30">
                  <c:v>108.6770189550495</c:v>
                </c:pt>
                <c:pt idx="31">
                  <c:v>119.34299443648099</c:v>
                </c:pt>
                <c:pt idx="32">
                  <c:v>129.98572779937055</c:v>
                </c:pt>
                <c:pt idx="33">
                  <c:v>140.60739267386097</c:v>
                </c:pt>
                <c:pt idx="34">
                  <c:v>151.20980677723819</c:v>
                </c:pt>
                <c:pt idx="35">
                  <c:v>161.79451162968965</c:v>
                </c:pt>
                <c:pt idx="36">
                  <c:v>172.36283025234334</c:v>
                </c:pt>
                <c:pt idx="37">
                  <c:v>182.91590993537883</c:v>
                </c:pt>
                <c:pt idx="38">
                  <c:v>193.45475459645681</c:v>
                </c:pt>
                <c:pt idx="39">
                  <c:v>203.9802497043132</c:v>
                </c:pt>
                <c:pt idx="40">
                  <c:v>214.49318177940339</c:v>
                </c:pt>
                <c:pt idx="41">
                  <c:v>224.99425386510336</c:v>
                </c:pt>
                <c:pt idx="42">
                  <c:v>235.48409795523028</c:v>
                </c:pt>
                <c:pt idx="43">
                  <c:v>245.96328508842066</c:v>
                </c:pt>
                <c:pt idx="44">
                  <c:v>256.43233363020784</c:v>
                </c:pt>
                <c:pt idx="45">
                  <c:v>266.89171613041833</c:v>
                </c:pt>
                <c:pt idx="46">
                  <c:v>277.34186504835151</c:v>
                </c:pt>
                <c:pt idx="47">
                  <c:v>287.78317756918744</c:v>
                </c:pt>
                <c:pt idx="48">
                  <c:v>298.21601968429599</c:v>
                </c:pt>
                <c:pt idx="49">
                  <c:v>308.64072967029892</c:v>
                </c:pt>
                <c:pt idx="50">
                  <c:v>319.05762107321726</c:v>
                </c:pt>
                <c:pt idx="51">
                  <c:v>329.46698528230218</c:v>
                </c:pt>
                <c:pt idx="52">
                  <c:v>239.91319254187792</c:v>
                </c:pt>
                <c:pt idx="53">
                  <c:v>250.7566839765808</c:v>
                </c:pt>
                <c:pt idx="54">
                  <c:v>261.58954749693504</c:v>
                </c:pt>
                <c:pt idx="55">
                  <c:v>272.4122855334258</c:v>
                </c:pt>
                <c:pt idx="56">
                  <c:v>283.22535730670057</c:v>
                </c:pt>
                <c:pt idx="57">
                  <c:v>294.02918408713464</c:v>
                </c:pt>
                <c:pt idx="58">
                  <c:v>304.82415364037161</c:v>
                </c:pt>
                <c:pt idx="59">
                  <c:v>315.61062400978892</c:v>
                </c:pt>
                <c:pt idx="60">
                  <c:v>326.38892675453917</c:v>
                </c:pt>
                <c:pt idx="61">
                  <c:v>337.15936973729157</c:v>
                </c:pt>
                <c:pt idx="62">
                  <c:v>347.92223953697516</c:v>
                </c:pt>
                <c:pt idx="63">
                  <c:v>358.67780354724954</c:v>
                </c:pt>
                <c:pt idx="64">
                  <c:v>259.91370728364598</c:v>
                </c:pt>
                <c:pt idx="65">
                  <c:v>269.83633643082231</c:v>
                </c:pt>
                <c:pt idx="66">
                  <c:v>279.75075483937445</c:v>
                </c:pt>
                <c:pt idx="67">
                  <c:v>289.65729473170762</c:v>
                </c:pt>
                <c:pt idx="68">
                  <c:v>299.55626373361866</c:v>
                </c:pt>
                <c:pt idx="69">
                  <c:v>309.4479474656211</c:v>
                </c:pt>
                <c:pt idx="70">
                  <c:v>319.33261178539772</c:v>
                </c:pt>
                <c:pt idx="71">
                  <c:v>329.21050473791996</c:v>
                </c:pt>
                <c:pt idx="72">
                  <c:v>339.08185825915456</c:v>
                </c:pt>
                <c:pt idx="73">
                  <c:v>348.94688967090889</c:v>
                </c:pt>
                <c:pt idx="74">
                  <c:v>358.80580299772583</c:v>
                </c:pt>
                <c:pt idx="75">
                  <c:v>368.65879013141921</c:v>
                </c:pt>
                <c:pt idx="76">
                  <c:v>292.22917146099797</c:v>
                </c:pt>
                <c:pt idx="77">
                  <c:v>301.22679191692936</c:v>
                </c:pt>
                <c:pt idx="78">
                  <c:v>310.21842991455259</c:v>
                </c:pt>
                <c:pt idx="79">
                  <c:v>319.2042834391799</c:v>
                </c:pt>
                <c:pt idx="80">
                  <c:v>328.18453841094606</c:v>
                </c:pt>
                <c:pt idx="81">
                  <c:v>337.15936973729123</c:v>
                </c:pt>
                <c:pt idx="82">
                  <c:v>346.12894224745969</c:v>
                </c:pt>
                <c:pt idx="83">
                  <c:v>355.09341152502003</c:v>
                </c:pt>
                <c:pt idx="84">
                  <c:v>364.05292465188319</c:v>
                </c:pt>
                <c:pt idx="85">
                  <c:v>373.00762087521866</c:v>
                </c:pt>
                <c:pt idx="86">
                  <c:v>381.95763220695682</c:v>
                </c:pt>
                <c:pt idx="87">
                  <c:v>390.90308396414639</c:v>
                </c:pt>
                <c:pt idx="88">
                  <c:v>316.05988081531285</c:v>
                </c:pt>
                <c:pt idx="89">
                  <c:v>324.20824758788905</c:v>
                </c:pt>
                <c:pt idx="90">
                  <c:v>332.35208865052783</c:v>
                </c:pt>
                <c:pt idx="91">
                  <c:v>340.49153063189533</c:v>
                </c:pt>
                <c:pt idx="92">
                  <c:v>348.62669360757508</c:v>
                </c:pt>
                <c:pt idx="93">
                  <c:v>356.75769158755321</c:v>
                </c:pt>
                <c:pt idx="94">
                  <c:v>364.88463295691707</c:v>
                </c:pt>
                <c:pt idx="95">
                  <c:v>373.00762087521849</c:v>
                </c:pt>
                <c:pt idx="96">
                  <c:v>381.1267536392179</c:v>
                </c:pt>
                <c:pt idx="97">
                  <c:v>389.24212501308784</c:v>
                </c:pt>
                <c:pt idx="98">
                  <c:v>397.35382452962966</c:v>
                </c:pt>
                <c:pt idx="99">
                  <c:v>405.46193776560017</c:v>
                </c:pt>
                <c:pt idx="100">
                  <c:v>212.28795240958598</c:v>
                </c:pt>
                <c:pt idx="101">
                  <c:v>218.03673754527372</c:v>
                </c:pt>
                <c:pt idx="102">
                  <c:v>223.78203890753477</c:v>
                </c:pt>
                <c:pt idx="103">
                  <c:v>229.52395871325101</c:v>
                </c:pt>
                <c:pt idx="104">
                  <c:v>235.26259363877315</c:v>
                </c:pt>
                <c:pt idx="105">
                  <c:v>240.99803525113671</c:v>
                </c:pt>
                <c:pt idx="106">
                  <c:v>246.73037039602465</c:v>
                </c:pt>
                <c:pt idx="107">
                  <c:v>252.45968154773928</c:v>
                </c:pt>
                <c:pt idx="108">
                  <c:v>258.18604712570226</c:v>
                </c:pt>
                <c:pt idx="109">
                  <c:v>263.90954178137036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4848576"/>
        <c:axId val="1044852928"/>
      </c:scatterChart>
      <c:valAx>
        <c:axId val="1044848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52928"/>
        <c:crosses val="autoZero"/>
        <c:crossBetween val="midCat"/>
      </c:valAx>
      <c:valAx>
        <c:axId val="104485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48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2.6743595629214885</c:v>
                </c:pt>
                <c:pt idx="2">
                  <c:v>3.2021106680742939</c:v>
                </c:pt>
                <c:pt idx="3">
                  <c:v>3.8343945313183934</c:v>
                </c:pt>
                <c:pt idx="4">
                  <c:v>4.5919886654406801</c:v>
                </c:pt>
                <c:pt idx="5">
                  <c:v>5.4998139402791582</c:v>
                </c:pt>
                <c:pt idx="6">
                  <c:v>6.5877633385272532</c:v>
                </c:pt>
                <c:pt idx="7">
                  <c:v>7.8916969432957558</c:v>
                </c:pt>
                <c:pt idx="8">
                  <c:v>9.4546365857161501</c:v>
                </c:pt>
                <c:pt idx="9">
                  <c:v>11.328200318844425</c:v>
                </c:pt>
                <c:pt idx="10">
                  <c:v>13.574324983127106</c:v>
                </c:pt>
                <c:pt idx="11">
                  <c:v>16.267334864167939</c:v>
                </c:pt>
                <c:pt idx="12">
                  <c:v>19.496426146773764</c:v>
                </c:pt>
                <c:pt idx="13">
                  <c:v>23.36865093873033</c:v>
                </c:pt>
                <c:pt idx="14">
                  <c:v>28.012501552757996</c:v>
                </c:pt>
                <c:pt idx="15">
                  <c:v>33.58221607215939</c:v>
                </c:pt>
                <c:pt idx="16">
                  <c:v>40.262950678336637</c:v>
                </c:pt>
                <c:pt idx="17">
                  <c:v>48.276993620942967</c:v>
                </c:pt>
                <c:pt idx="18">
                  <c:v>57.891231067661259</c:v>
                </c:pt>
                <c:pt idx="19">
                  <c:v>69.42611758802677</c:v>
                </c:pt>
                <c:pt idx="20">
                  <c:v>83.266455157186229</c:v>
                </c:pt>
                <c:pt idx="21">
                  <c:v>94.051260565187931</c:v>
                </c:pt>
                <c:pt idx="22">
                  <c:v>104.80519472066622</c:v>
                </c:pt>
                <c:pt idx="23">
                  <c:v>115.53187747110844</c:v>
                </c:pt>
                <c:pt idx="24">
                  <c:v>126.23419946512733</c:v>
                </c:pt>
                <c:pt idx="25">
                  <c:v>136.91451988778243</c:v>
                </c:pt>
                <c:pt idx="26">
                  <c:v>150.23693675874819</c:v>
                </c:pt>
                <c:pt idx="27">
                  <c:v>163.53118951571196</c:v>
                </c:pt>
                <c:pt idx="28">
                  <c:v>176.79989200231068</c:v>
                </c:pt>
                <c:pt idx="29">
                  <c:v>190.04523308883151</c:v>
                </c:pt>
                <c:pt idx="30">
                  <c:v>203.26907123098991</c:v>
                </c:pt>
                <c:pt idx="31">
                  <c:v>163.53118951571196</c:v>
                </c:pt>
                <c:pt idx="32">
                  <c:v>178.69346731764233</c:v>
                </c:pt>
                <c:pt idx="33">
                  <c:v>193.82559249840719</c:v>
                </c:pt>
                <c:pt idx="34">
                  <c:v>208.93025151398976</c:v>
                </c:pt>
                <c:pt idx="35">
                  <c:v>224.00971024958221</c:v>
                </c:pt>
                <c:pt idx="36">
                  <c:v>239.81813434052185</c:v>
                </c:pt>
                <c:pt idx="37">
                  <c:v>255.60283589073177</c:v>
                </c:pt>
                <c:pt idx="38">
                  <c:v>271.36548622996156</c:v>
                </c:pt>
                <c:pt idx="39">
                  <c:v>287.10754659858628</c:v>
                </c:pt>
                <c:pt idx="40">
                  <c:v>302.83030487228285</c:v>
                </c:pt>
                <c:pt idx="41">
                  <c:v>239.81813434052196</c:v>
                </c:pt>
                <c:pt idx="42">
                  <c:v>255.60283589073182</c:v>
                </c:pt>
                <c:pt idx="43">
                  <c:v>271.36548622996156</c:v>
                </c:pt>
                <c:pt idx="44">
                  <c:v>287.1075465985864</c:v>
                </c:pt>
                <c:pt idx="45">
                  <c:v>302.83030487228291</c:v>
                </c:pt>
                <c:pt idx="46">
                  <c:v>318.16118821698831</c:v>
                </c:pt>
                <c:pt idx="47">
                  <c:v>333.47571872180373</c:v>
                </c:pt>
                <c:pt idx="48">
                  <c:v>348.77475306916637</c:v>
                </c:pt>
                <c:pt idx="49">
                  <c:v>364.05906664989817</c:v>
                </c:pt>
                <c:pt idx="50">
                  <c:v>379.32936443758257</c:v>
                </c:pt>
                <c:pt idx="51">
                  <c:v>315.91868734548365</c:v>
                </c:pt>
                <c:pt idx="52">
                  <c:v>330.86216234726913</c:v>
                </c:pt>
                <c:pt idx="53">
                  <c:v>345.79075477962857</c:v>
                </c:pt>
                <c:pt idx="54">
                  <c:v>360.70519760433905</c:v>
                </c:pt>
                <c:pt idx="55">
                  <c:v>375.60615822359972</c:v>
                </c:pt>
                <c:pt idx="56">
                  <c:v>389.75013922020383</c:v>
                </c:pt>
                <c:pt idx="57">
                  <c:v>403.88298445816559</c:v>
                </c:pt>
                <c:pt idx="58">
                  <c:v>418.00513845794825</c:v>
                </c:pt>
                <c:pt idx="59">
                  <c:v>432.11701325632816</c:v>
                </c:pt>
                <c:pt idx="60">
                  <c:v>446.21899178570374</c:v>
                </c:pt>
                <c:pt idx="61">
                  <c:v>381.56290588111852</c:v>
                </c:pt>
                <c:pt idx="62">
                  <c:v>394.95824817710292</c:v>
                </c:pt>
                <c:pt idx="63">
                  <c:v>408.34374690780288</c:v>
                </c:pt>
                <c:pt idx="64">
                  <c:v>421.71977019610921</c:v>
                </c:pt>
                <c:pt idx="65">
                  <c:v>435.0866609084182</c:v>
                </c:pt>
                <c:pt idx="66">
                  <c:v>447.70284968262325</c:v>
                </c:pt>
                <c:pt idx="67">
                  <c:v>460.31143080397027</c:v>
                </c:pt>
                <c:pt idx="68">
                  <c:v>472.9126420088009</c:v>
                </c:pt>
                <c:pt idx="69">
                  <c:v>485.50670733159899</c:v>
                </c:pt>
                <c:pt idx="70">
                  <c:v>498.09383823712534</c:v>
                </c:pt>
                <c:pt idx="71">
                  <c:v>431.74577653680234</c:v>
                </c:pt>
                <c:pt idx="72">
                  <c:v>443.25095855050762</c:v>
                </c:pt>
                <c:pt idx="73">
                  <c:v>454.74974372300716</c:v>
                </c:pt>
                <c:pt idx="74">
                  <c:v>466.24231661298631</c:v>
                </c:pt>
                <c:pt idx="75">
                  <c:v>477.72885193803194</c:v>
                </c:pt>
                <c:pt idx="76">
                  <c:v>488.83926137072285</c:v>
                </c:pt>
                <c:pt idx="77">
                  <c:v>499.94431424130966</c:v>
                </c:pt>
                <c:pt idx="78">
                  <c:v>511.04414630438487</c:v>
                </c:pt>
                <c:pt idx="79">
                  <c:v>522.13888693652382</c:v>
                </c:pt>
                <c:pt idx="80">
                  <c:v>533.22865956797193</c:v>
                </c:pt>
                <c:pt idx="81">
                  <c:v>465.87168360761922</c:v>
                </c:pt>
                <c:pt idx="82">
                  <c:v>476.24705171707609</c:v>
                </c:pt>
                <c:pt idx="83">
                  <c:v>486.61761247073963</c:v>
                </c:pt>
                <c:pt idx="84">
                  <c:v>496.98348277481529</c:v>
                </c:pt>
                <c:pt idx="85">
                  <c:v>507.34477426054747</c:v>
                </c:pt>
                <c:pt idx="86">
                  <c:v>517.70159362740117</c:v>
                </c:pt>
                <c:pt idx="87">
                  <c:v>528.05404295735514</c:v>
                </c:pt>
                <c:pt idx="88">
                  <c:v>538.40222000326435</c:v>
                </c:pt>
                <c:pt idx="89">
                  <c:v>548.74621845390402</c:v>
                </c:pt>
                <c:pt idx="90">
                  <c:v>559.08612817799019</c:v>
                </c:pt>
                <c:pt idx="91">
                  <c:v>490.50535738960593</c:v>
                </c:pt>
                <c:pt idx="92">
                  <c:v>499.57423066075074</c:v>
                </c:pt>
                <c:pt idx="93">
                  <c:v>508.63961911376572</c:v>
                </c:pt>
                <c:pt idx="94">
                  <c:v>517.70159362740117</c:v>
                </c:pt>
                <c:pt idx="95">
                  <c:v>526.76022239623364</c:v>
                </c:pt>
                <c:pt idx="96">
                  <c:v>535.81557107772039</c:v>
                </c:pt>
                <c:pt idx="97">
                  <c:v>544.86770292879544</c:v>
                </c:pt>
                <c:pt idx="98">
                  <c:v>553.91667893291765</c:v>
                </c:pt>
                <c:pt idx="99">
                  <c:v>562.96255791838246</c:v>
                </c:pt>
                <c:pt idx="100">
                  <c:v>572.00539666863767</c:v>
                </c:pt>
                <c:pt idx="101">
                  <c:v>502.53473717055186</c:v>
                </c:pt>
                <c:pt idx="102">
                  <c:v>510.67423463217023</c:v>
                </c:pt>
                <c:pt idx="103">
                  <c:v>518.81099189229883</c:v>
                </c:pt>
                <c:pt idx="104">
                  <c:v>526.94505799874185</c:v>
                </c:pt>
                <c:pt idx="105">
                  <c:v>535.07648036119087</c:v>
                </c:pt>
                <c:pt idx="106">
                  <c:v>543.2053048305379</c:v>
                </c:pt>
                <c:pt idx="107">
                  <c:v>551.33157577319116</c:v>
                </c:pt>
                <c:pt idx="108">
                  <c:v>559.4553361407842</c:v>
                </c:pt>
                <c:pt idx="109">
                  <c:v>567.5766275356234</c:v>
                </c:pt>
                <c:pt idx="110">
                  <c:v>575.69549027219466</c:v>
                </c:pt>
                <c:pt idx="111">
                  <c:v>510.48927667337665</c:v>
                </c:pt>
                <c:pt idx="112">
                  <c:v>517.33178306469063</c:v>
                </c:pt>
                <c:pt idx="113">
                  <c:v>524.17238027598012</c:v>
                </c:pt>
                <c:pt idx="114">
                  <c:v>531.01109674664451</c:v>
                </c:pt>
                <c:pt idx="115">
                  <c:v>537.84796012353206</c:v>
                </c:pt>
                <c:pt idx="116">
                  <c:v>544.68299729304101</c:v>
                </c:pt>
                <c:pt idx="117">
                  <c:v>551.51623441152572</c:v>
                </c:pt>
                <c:pt idx="118">
                  <c:v>558.34769693411556</c:v>
                </c:pt>
                <c:pt idx="119">
                  <c:v>565.17740964205302</c:v>
                </c:pt>
                <c:pt idx="120">
                  <c:v>572.00539666863699</c:v>
                </c:pt>
                <c:pt idx="121">
                  <c:v>513.26349771249352</c:v>
                </c:pt>
                <c:pt idx="122">
                  <c:v>519.18078018798019</c:v>
                </c:pt>
                <c:pt idx="123">
                  <c:v>525.0966404355554</c:v>
                </c:pt>
                <c:pt idx="124">
                  <c:v>531.01109674664428</c:v>
                </c:pt>
                <c:pt idx="125">
                  <c:v>536.92416697177384</c:v>
                </c:pt>
                <c:pt idx="126">
                  <c:v>542.83586853604641</c:v>
                </c:pt>
                <c:pt idx="127">
                  <c:v>548.746218453903</c:v>
                </c:pt>
                <c:pt idx="128">
                  <c:v>554.65523334321745</c:v>
                </c:pt>
                <c:pt idx="129">
                  <c:v>560.56292943875974</c:v>
                </c:pt>
                <c:pt idx="130">
                  <c:v>566.46932260505957</c:v>
                </c:pt>
                <c:pt idx="131">
                  <c:v>514.18816760374136</c:v>
                </c:pt>
                <c:pt idx="132">
                  <c:v>519.18078018798008</c:v>
                </c:pt>
                <c:pt idx="133">
                  <c:v>524.17238027597966</c:v>
                </c:pt>
                <c:pt idx="134">
                  <c:v>529.16297887573035</c:v>
                </c:pt>
                <c:pt idx="135">
                  <c:v>534.15258677052429</c:v>
                </c:pt>
                <c:pt idx="136">
                  <c:v>539.14121452564689</c:v>
                </c:pt>
                <c:pt idx="137">
                  <c:v>544.12887249480286</c:v>
                </c:pt>
                <c:pt idx="138">
                  <c:v>549.1155708262994</c:v>
                </c:pt>
                <c:pt idx="139">
                  <c:v>554.10131946898889</c:v>
                </c:pt>
                <c:pt idx="140">
                  <c:v>559.0861281779886</c:v>
                </c:pt>
                <c:pt idx="141">
                  <c:v>513.63336988643675</c:v>
                </c:pt>
                <c:pt idx="142">
                  <c:v>518.0713986165423</c:v>
                </c:pt>
                <c:pt idx="143">
                  <c:v>522.50862539536718</c:v>
                </c:pt>
                <c:pt idx="144">
                  <c:v>526.94505799874071</c:v>
                </c:pt>
                <c:pt idx="145">
                  <c:v>531.38070406079225</c:v>
                </c:pt>
                <c:pt idx="146">
                  <c:v>535.8155710777188</c:v>
                </c:pt>
                <c:pt idx="147">
                  <c:v>540.24966641142646</c:v>
                </c:pt>
                <c:pt idx="148">
                  <c:v>544.6829972930401</c:v>
                </c:pt>
                <c:pt idx="149">
                  <c:v>549.11557082629895</c:v>
                </c:pt>
                <c:pt idx="150">
                  <c:v>553.54739399083155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4849120"/>
        <c:axId val="1044855104"/>
      </c:scatterChart>
      <c:valAx>
        <c:axId val="1044849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55104"/>
        <c:crosses val="autoZero"/>
        <c:crossBetween val="midCat"/>
      </c:valAx>
      <c:valAx>
        <c:axId val="104485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49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4853472"/>
        <c:axId val="1044855648"/>
      </c:scatterChart>
      <c:valAx>
        <c:axId val="1044853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55648"/>
        <c:crosses val="autoZero"/>
        <c:crossBetween val="midCat"/>
      </c:valAx>
      <c:valAx>
        <c:axId val="1044855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53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4842048"/>
        <c:axId val="1044842592"/>
      </c:scatterChart>
      <c:valAx>
        <c:axId val="1044842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42592"/>
        <c:crosses val="autoZero"/>
        <c:crossBetween val="midCat"/>
      </c:valAx>
      <c:valAx>
        <c:axId val="104484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42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4847488"/>
        <c:axId val="1044843136"/>
      </c:scatterChart>
      <c:valAx>
        <c:axId val="1044847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43136"/>
        <c:crosses val="autoZero"/>
        <c:crossBetween val="midCat"/>
      </c:valAx>
      <c:valAx>
        <c:axId val="104484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4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4845856"/>
        <c:axId val="893070416"/>
      </c:scatterChart>
      <c:valAx>
        <c:axId val="10448458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93070416"/>
        <c:crosses val="autoZero"/>
        <c:crossBetween val="midCat"/>
      </c:valAx>
      <c:valAx>
        <c:axId val="89307041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845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D60" sqref="D60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8" t="s">
        <v>291</v>
      </c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</row>
    <row r="13" spans="2:13" ht="15" customHeight="1" x14ac:dyDescent="0.3"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</row>
    <row r="14" spans="2:13" ht="15" customHeight="1" x14ac:dyDescent="0.3"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</row>
    <row r="15" spans="2:13" ht="18.75" customHeight="1" x14ac:dyDescent="0.3"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</row>
    <row r="16" spans="2:13" ht="18.75" customHeight="1" x14ac:dyDescent="0.3"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</row>
    <row r="18" spans="2:13" ht="12" customHeight="1" x14ac:dyDescent="0.3">
      <c r="B18" s="288" t="s">
        <v>292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</row>
    <row r="19" spans="2:13" ht="12" customHeight="1" x14ac:dyDescent="0.3"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</row>
    <row r="20" spans="2:13" ht="12" customHeight="1" x14ac:dyDescent="0.3"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</row>
    <row r="21" spans="2:13" ht="12" customHeight="1" x14ac:dyDescent="0.3"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</row>
    <row r="22" spans="2:13" ht="12" customHeight="1" x14ac:dyDescent="0.3"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</row>
    <row r="23" spans="2:13" ht="12" customHeight="1" x14ac:dyDescent="0.3"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</row>
    <row r="24" spans="2:13" ht="12" customHeight="1" x14ac:dyDescent="0.3"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</row>
    <row r="25" spans="2:13" ht="12" customHeight="1" x14ac:dyDescent="0.3"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</row>
    <row r="26" spans="2:13" ht="12" customHeight="1" x14ac:dyDescent="0.3"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</row>
    <row r="27" spans="2:13" ht="12" customHeight="1" x14ac:dyDescent="0.3"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</row>
    <row r="28" spans="2:13" ht="12" customHeight="1" x14ac:dyDescent="0.3"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</row>
    <row r="29" spans="2:13" ht="12" customHeight="1" x14ac:dyDescent="0.3"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</row>
    <row r="30" spans="2:13" ht="12" customHeight="1" x14ac:dyDescent="0.3"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</row>
    <row r="31" spans="2:13" ht="12" customHeight="1" x14ac:dyDescent="0.3"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4" zoomScale="80" zoomScaleNormal="80" workbookViewId="0">
      <selection activeCell="E26" sqref="E2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89" t="s">
        <v>190</v>
      </c>
      <c r="D1" s="289"/>
      <c r="E1" s="28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4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4" t="s">
        <v>192</v>
      </c>
      <c r="C3" s="295"/>
      <c r="D3" s="295"/>
      <c r="E3" s="295"/>
      <c r="F3" s="296"/>
      <c r="G3" s="91"/>
      <c r="I3" s="224" t="s">
        <v>304</v>
      </c>
      <c r="J3" s="9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3"/>
      <c r="B4" s="93"/>
      <c r="C4" s="93"/>
      <c r="D4" s="93"/>
      <c r="E4" s="93"/>
      <c r="F4" s="93"/>
      <c r="G4" s="234"/>
      <c r="I4" s="224" t="s">
        <v>305</v>
      </c>
      <c r="J4" s="9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0" t="s">
        <v>231</v>
      </c>
      <c r="B5" s="300"/>
      <c r="C5" s="26">
        <v>8.3000000000000007</v>
      </c>
      <c r="D5" s="301" t="s">
        <v>229</v>
      </c>
      <c r="E5" s="302"/>
      <c r="F5" s="93"/>
      <c r="G5" s="234"/>
      <c r="H5" s="235"/>
      <c r="I5" s="235"/>
      <c r="J5" s="24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4"/>
      <c r="B6" s="94"/>
      <c r="C6" s="95"/>
      <c r="D6" s="89"/>
      <c r="E6" s="89"/>
      <c r="F6" s="29"/>
      <c r="G6" s="236"/>
      <c r="H6" s="237"/>
      <c r="I6" s="237"/>
      <c r="J6" s="244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38" ht="25.8" x14ac:dyDescent="0.3">
      <c r="A7" s="298" t="s">
        <v>226</v>
      </c>
      <c r="B7" s="298"/>
      <c r="C7" s="93"/>
      <c r="D7" s="93"/>
      <c r="E7" s="5"/>
      <c r="F7" s="93"/>
      <c r="G7" s="234"/>
      <c r="H7" s="235"/>
      <c r="I7" s="235"/>
      <c r="J7" s="243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9"/>
      <c r="J8" s="243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</v>
      </c>
      <c r="C9" s="35">
        <v>0.1</v>
      </c>
      <c r="D9" s="36">
        <f t="shared" ref="D9:D18" si="0">C9*$C$5</f>
        <v>0.83000000000000007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4" t="s">
        <v>306</v>
      </c>
      <c r="I9" s="250"/>
      <c r="J9" s="243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36</v>
      </c>
      <c r="C10" s="35">
        <v>0.5</v>
      </c>
      <c r="D10" s="36">
        <f t="shared" si="0"/>
        <v>4.1500000000000004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0"/>
      <c r="J10" s="243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9</v>
      </c>
      <c r="C11" s="35">
        <v>0.13</v>
      </c>
      <c r="D11" s="36">
        <f t="shared" si="0"/>
        <v>1.0790000000000002</v>
      </c>
      <c r="E11" s="37">
        <v>130</v>
      </c>
      <c r="F11" s="38" t="str">
        <f t="array" ref="F11">IF(E11="","",IF(INDEX(A:A,MAX(IF(ISNUMBER($A$88:$A$107),ROW($A$88:$A$107),"")))&lt;&gt;E11,"Corrigez : révolution incorrecte","OK"))</f>
        <v>OK</v>
      </c>
      <c r="H11" s="227"/>
      <c r="I11" s="250"/>
      <c r="J11" s="243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164</v>
      </c>
      <c r="C12" s="35">
        <v>0.13</v>
      </c>
      <c r="D12" s="36">
        <f t="shared" si="0"/>
        <v>1.0790000000000002</v>
      </c>
      <c r="E12" s="37">
        <v>109</v>
      </c>
      <c r="F12" s="38" t="str">
        <f t="array" ref="F12">IF(E12="","",IF(INDEX(A:A,MAX(IF(ISNUMBER($A$114:$A$133),ROW($A$114:$A$133),"")))&lt;&gt;E12,"Corrigez : révolution incorrecte","OK"))</f>
        <v>OK</v>
      </c>
      <c r="H12" s="227"/>
      <c r="I12" s="250"/>
      <c r="J12" s="24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13</v>
      </c>
      <c r="C13" s="35">
        <v>0.04</v>
      </c>
      <c r="D13" s="36">
        <f t="shared" si="0"/>
        <v>0.33200000000000002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7"/>
      <c r="I13" s="250"/>
      <c r="J13" s="24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14</v>
      </c>
      <c r="C14" s="35">
        <v>0.1</v>
      </c>
      <c r="D14" s="36">
        <f t="shared" si="0"/>
        <v>0.83000000000000007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7"/>
      <c r="I14" s="250"/>
      <c r="J14" s="24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7"/>
      <c r="I15" s="250"/>
      <c r="J15" s="243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7"/>
      <c r="I16" s="250"/>
      <c r="J16" s="243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7"/>
      <c r="I17" s="250"/>
      <c r="J17" s="243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7"/>
      <c r="I18" s="250"/>
      <c r="J18" s="24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6"/>
      <c r="B19" s="39" t="s">
        <v>175</v>
      </c>
      <c r="C19" s="40">
        <f>SUM(C9:C18)</f>
        <v>1</v>
      </c>
      <c r="D19" s="41">
        <f>SUM(D9:D18)</f>
        <v>8.3000000000000007</v>
      </c>
      <c r="E19" s="5"/>
      <c r="F19" s="97"/>
      <c r="G19" s="238"/>
      <c r="H19" s="239"/>
      <c r="I19" s="238"/>
      <c r="J19" s="24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6"/>
      <c r="B20" s="42" t="s">
        <v>230</v>
      </c>
      <c r="C20" s="43" t="str">
        <f>IF(C19&gt;100%,"Erreur : corrigez","OK")</f>
        <v>OK</v>
      </c>
      <c r="D20" s="245"/>
      <c r="F20" s="237"/>
      <c r="G20" s="237"/>
      <c r="H20" s="239"/>
      <c r="I20" s="238"/>
      <c r="J20" s="24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0"/>
      <c r="I21" s="251"/>
      <c r="J21" s="243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7" t="s">
        <v>232</v>
      </c>
      <c r="B22" s="297"/>
      <c r="C22" s="95"/>
      <c r="H22" s="226"/>
      <c r="I22" s="244"/>
      <c r="J22" s="244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45" x14ac:dyDescent="0.3">
      <c r="A23" s="5"/>
      <c r="B23" s="5"/>
      <c r="C23" s="5"/>
      <c r="H23" s="217"/>
      <c r="I23" s="243"/>
      <c r="J23" s="243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98"/>
      <c r="F24" s="98"/>
      <c r="G24" s="241"/>
      <c r="H24" s="227"/>
      <c r="I24" s="241"/>
      <c r="J24" s="24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99"/>
      <c r="E25" s="5"/>
      <c r="F25" s="99"/>
      <c r="G25" s="242"/>
      <c r="H25" s="227"/>
      <c r="I25" s="242"/>
      <c r="J25" s="24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98"/>
      <c r="F26" s="98"/>
      <c r="G26" s="241"/>
      <c r="I26" s="241"/>
      <c r="J26" s="24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98"/>
      <c r="F27" s="98"/>
      <c r="G27" s="241"/>
      <c r="I27" s="241"/>
      <c r="J27" s="241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3"/>
      <c r="I28" s="243"/>
      <c r="J28" s="24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3"/>
      <c r="I29" s="243"/>
      <c r="J29" s="24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9" t="s">
        <v>227</v>
      </c>
      <c r="B30" s="299"/>
      <c r="D30" s="246"/>
      <c r="H30" s="244"/>
      <c r="I30" s="244"/>
      <c r="J30" s="244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</row>
    <row r="31" spans="1:45" x14ac:dyDescent="0.3">
      <c r="A31" s="5"/>
      <c r="B31" s="5"/>
      <c r="H31" s="243"/>
      <c r="I31" s="243"/>
      <c r="J31" s="243"/>
      <c r="K31" s="246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pubescent</v>
      </c>
      <c r="D32" s="255" t="s">
        <v>307</v>
      </c>
      <c r="K32" s="24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8" t="s">
        <v>185</v>
      </c>
      <c r="C34" s="290" t="s">
        <v>186</v>
      </c>
      <c r="D34" s="290"/>
      <c r="E34" s="291" t="s">
        <v>187</v>
      </c>
      <c r="F34" s="292"/>
      <c r="G34" s="292"/>
      <c r="H34" s="293"/>
      <c r="I34" s="100"/>
      <c r="J34" s="247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1">
        <v>42</v>
      </c>
      <c r="C36" s="61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1">
        <v>70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1">
        <v>105</v>
      </c>
      <c r="C38" s="61">
        <v>1</v>
      </c>
      <c r="D38" s="61"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1">
        <v>116</v>
      </c>
      <c r="C39" s="61"/>
      <c r="D39" s="61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1">
        <v>158</v>
      </c>
      <c r="C40" s="61">
        <v>2</v>
      </c>
      <c r="D40" s="61"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1">
        <v>158</v>
      </c>
      <c r="C41" s="61"/>
      <c r="D41" s="61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1">
        <v>199</v>
      </c>
      <c r="C42" s="61">
        <v>3</v>
      </c>
      <c r="D42" s="61"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53">
        <v>197</v>
      </c>
      <c r="C43" s="53"/>
      <c r="D43" s="53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maritime</v>
      </c>
      <c r="D58" s="255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8" t="s">
        <v>185</v>
      </c>
      <c r="C60" s="290" t="s">
        <v>186</v>
      </c>
      <c r="D60" s="290"/>
      <c r="E60" s="291" t="s">
        <v>187</v>
      </c>
      <c r="F60" s="292"/>
      <c r="G60" s="292"/>
      <c r="H60" s="293"/>
      <c r="I60" s="100"/>
      <c r="J60" s="24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17</v>
      </c>
      <c r="B62" s="61">
        <f>164.23/1.3</f>
        <v>126.33076923076922</v>
      </c>
      <c r="C62" s="61">
        <v>1</v>
      </c>
      <c r="D62" s="61">
        <f>(164.23-109.52)*1.3</f>
        <v>71.12299999999999</v>
      </c>
      <c r="E62" s="54"/>
      <c r="F62" s="54">
        <v>0.5</v>
      </c>
      <c r="G62" s="54">
        <v>0.5</v>
      </c>
      <c r="H62" s="54"/>
      <c r="I62" s="56">
        <f>IFERROR(B62/A62,"")</f>
        <v>7.4312217194570129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23</v>
      </c>
      <c r="B63" s="61">
        <f>225.95/1.3</f>
        <v>173.80769230769229</v>
      </c>
      <c r="C63" s="61">
        <v>2</v>
      </c>
      <c r="D63" s="61">
        <f>(225.95-155.62)/1.3</f>
        <v>54.099999999999987</v>
      </c>
      <c r="E63" s="54">
        <v>0.25</v>
      </c>
      <c r="F63" s="54">
        <v>0.375</v>
      </c>
      <c r="G63" s="54">
        <v>0.375</v>
      </c>
      <c r="H63" s="54"/>
      <c r="I63" s="52">
        <f>IF(A63&lt;&gt;0,(B63-(B62-D62))/(A63-A62),"")</f>
        <v>19.766653846153844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29</v>
      </c>
      <c r="B64" s="61">
        <f>273.19/1.3</f>
        <v>210.14615384615385</v>
      </c>
      <c r="C64" s="61">
        <v>3</v>
      </c>
      <c r="D64" s="61">
        <f>(273.19-211.23)/1.3</f>
        <v>47.661538461538463</v>
      </c>
      <c r="E64" s="54">
        <v>0.6</v>
      </c>
      <c r="F64" s="54">
        <v>0.2</v>
      </c>
      <c r="G64" s="54">
        <v>0.2</v>
      </c>
      <c r="H64" s="54"/>
      <c r="I64" s="52">
        <f>IF(A64&lt;&gt;0,(B64-(B63-D63))/(A64-A63),"")</f>
        <v>15.073076923076925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36</v>
      </c>
      <c r="B65" s="61">
        <f>341.35/1.3</f>
        <v>262.57692307692309</v>
      </c>
      <c r="C65" s="61">
        <v>4</v>
      </c>
      <c r="D65" s="61">
        <f>(341.36-257.43)/1.3</f>
        <v>64.561538461538461</v>
      </c>
      <c r="E65" s="54"/>
      <c r="F65" s="54"/>
      <c r="G65" s="54"/>
      <c r="H65" s="54"/>
      <c r="I65" s="52">
        <f>IF(A65&lt;&gt;0,(B65-(B64-D64))/(A65-A64),"")</f>
        <v>14.298901098901101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44</v>
      </c>
      <c r="B66" s="61">
        <f>394.1/1.3</f>
        <v>303.15384615384619</v>
      </c>
      <c r="C66" s="61">
        <v>5</v>
      </c>
      <c r="D66" s="61">
        <f>(394.1-310.28)/1.3</f>
        <v>64.476923076923114</v>
      </c>
      <c r="E66" s="54"/>
      <c r="F66" s="54"/>
      <c r="G66" s="54"/>
      <c r="H66" s="54"/>
      <c r="I66" s="52">
        <f t="shared" ref="I66:I81" si="2">IF(A66&lt;&gt;0,(B66-(B65-D65))/(A66-A65),"")</f>
        <v>13.142307692307696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52</v>
      </c>
      <c r="B67" s="61">
        <f>431.36/1.3</f>
        <v>331.81538461538463</v>
      </c>
      <c r="C67" s="61">
        <v>6</v>
      </c>
      <c r="D67" s="61">
        <f>(431.36-351.04)/1.3</f>
        <v>61.784615384615378</v>
      </c>
      <c r="E67" s="54"/>
      <c r="F67" s="54"/>
      <c r="G67" s="54"/>
      <c r="H67" s="54"/>
      <c r="I67" s="52">
        <f t="shared" si="2"/>
        <v>11.642307692307696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60</v>
      </c>
      <c r="B68" s="61">
        <f>459.55/1.3</f>
        <v>353.5</v>
      </c>
      <c r="C68" s="61">
        <v>7</v>
      </c>
      <c r="D68" s="61">
        <f>B68</f>
        <v>353.5</v>
      </c>
      <c r="E68" s="54"/>
      <c r="F68" s="54"/>
      <c r="G68" s="54"/>
      <c r="H68" s="54"/>
      <c r="I68" s="52">
        <f t="shared" si="2"/>
        <v>10.433653846153845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279"/>
      <c r="B69" s="61"/>
      <c r="C69" s="61"/>
      <c r="D69" s="61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279"/>
      <c r="B70" s="61"/>
      <c r="C70" s="61"/>
      <c r="D70" s="61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279"/>
      <c r="B71" s="61"/>
      <c r="C71" s="61"/>
      <c r="D71" s="61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279"/>
      <c r="B72" s="61"/>
      <c r="C72" s="61"/>
      <c r="D72" s="61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79"/>
      <c r="B73" s="61"/>
      <c r="C73" s="61"/>
      <c r="D73" s="61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279"/>
      <c r="B74" s="61"/>
      <c r="C74" s="61"/>
      <c r="D74" s="61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279"/>
      <c r="B75" s="61"/>
      <c r="C75" s="61"/>
      <c r="D75" s="61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279"/>
      <c r="B76" s="61"/>
      <c r="C76" s="61"/>
      <c r="D76" s="61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279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279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279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279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279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chevelu</v>
      </c>
      <c r="D84" s="255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8" t="s">
        <v>185</v>
      </c>
      <c r="C86" s="290" t="s">
        <v>186</v>
      </c>
      <c r="D86" s="290"/>
      <c r="E86" s="291" t="s">
        <v>187</v>
      </c>
      <c r="F86" s="292"/>
      <c r="G86" s="292"/>
      <c r="H86" s="293"/>
      <c r="I86" s="100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1">
        <v>30.128205128205128</v>
      </c>
      <c r="C88" s="61"/>
      <c r="D88" s="61"/>
      <c r="E88" s="54"/>
      <c r="F88" s="54"/>
      <c r="G88" s="54"/>
      <c r="H88" s="54"/>
      <c r="I88" s="56">
        <f>IFERROR(B88/A88,"")</f>
        <v>2.0085470085470085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1">
        <v>58.974358974358971</v>
      </c>
      <c r="C89" s="61"/>
      <c r="D89" s="61"/>
      <c r="E89" s="54"/>
      <c r="F89" s="54"/>
      <c r="G89" s="54"/>
      <c r="H89" s="54"/>
      <c r="I89" s="56">
        <f t="shared" ref="I89:I107" si="3">IF(A89&lt;&gt;0,(B89-(B88-D88))/(A89-A88),"")</f>
        <v>5.7692307692307683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1">
        <v>91.666666666666657</v>
      </c>
      <c r="C90" s="61">
        <v>1</v>
      </c>
      <c r="D90" s="61">
        <v>18.589743589743588</v>
      </c>
      <c r="E90" s="54"/>
      <c r="F90" s="54"/>
      <c r="G90" s="54"/>
      <c r="H90" s="54">
        <v>1</v>
      </c>
      <c r="I90" s="56">
        <f t="shared" si="3"/>
        <v>6.5384615384615374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1">
        <v>107.05128205128204</v>
      </c>
      <c r="C91" s="61"/>
      <c r="D91" s="61"/>
      <c r="E91" s="54"/>
      <c r="F91" s="54"/>
      <c r="G91" s="54"/>
      <c r="H91" s="54"/>
      <c r="I91" s="56">
        <f t="shared" si="3"/>
        <v>6.7948717948717956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1">
        <v>141.02564102564102</v>
      </c>
      <c r="C92" s="61">
        <v>2</v>
      </c>
      <c r="D92" s="61">
        <v>20.512820512820511</v>
      </c>
      <c r="E92" s="54"/>
      <c r="F92" s="54"/>
      <c r="G92" s="54"/>
      <c r="H92" s="54"/>
      <c r="I92" s="56">
        <f t="shared" si="3"/>
        <v>6.7948717948717956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1">
        <v>153.2051282051282</v>
      </c>
      <c r="C93" s="61"/>
      <c r="D93" s="61"/>
      <c r="E93" s="54"/>
      <c r="F93" s="54"/>
      <c r="G93" s="54"/>
      <c r="H93" s="54"/>
      <c r="I93" s="56">
        <f t="shared" si="3"/>
        <v>6.5384615384615383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1">
        <v>184.61538461538461</v>
      </c>
      <c r="C94" s="61">
        <v>3</v>
      </c>
      <c r="D94" s="61">
        <v>23.717948717948715</v>
      </c>
      <c r="E94" s="54"/>
      <c r="F94" s="54"/>
      <c r="G94" s="54"/>
      <c r="H94" s="54"/>
      <c r="I94" s="56">
        <f t="shared" si="3"/>
        <v>6.2820512820512819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50</v>
      </c>
      <c r="B95" s="53">
        <v>191.02564102564102</v>
      </c>
      <c r="C95" s="53"/>
      <c r="D95" s="53"/>
      <c r="E95" s="54"/>
      <c r="F95" s="54"/>
      <c r="G95" s="54"/>
      <c r="H95" s="54"/>
      <c r="I95" s="56">
        <f t="shared" si="3"/>
        <v>6.025641025641022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55</v>
      </c>
      <c r="B96" s="53">
        <v>219.23076923076923</v>
      </c>
      <c r="C96" s="53">
        <v>4</v>
      </c>
      <c r="D96" s="53">
        <v>24.358974358974358</v>
      </c>
      <c r="E96" s="54"/>
      <c r="F96" s="54"/>
      <c r="G96" s="54"/>
      <c r="H96" s="54"/>
      <c r="I96" s="56">
        <f t="shared" si="3"/>
        <v>5.6410256410256405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60</v>
      </c>
      <c r="B97" s="53">
        <v>221.15384615384616</v>
      </c>
      <c r="C97" s="53"/>
      <c r="D97" s="53"/>
      <c r="E97" s="54"/>
      <c r="F97" s="54"/>
      <c r="G97" s="54"/>
      <c r="H97" s="54"/>
      <c r="I97" s="56">
        <f t="shared" si="3"/>
        <v>5.2564102564102599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65</v>
      </c>
      <c r="B98" s="53">
        <v>246.15384615384613</v>
      </c>
      <c r="C98" s="53">
        <v>5</v>
      </c>
      <c r="D98" s="53">
        <v>23.717948717948715</v>
      </c>
      <c r="E98" s="54"/>
      <c r="F98" s="54"/>
      <c r="G98" s="54"/>
      <c r="H98" s="54"/>
      <c r="I98" s="56">
        <f t="shared" si="3"/>
        <v>4.9999999999999947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70</v>
      </c>
      <c r="B99" s="53">
        <v>246.7948717948718</v>
      </c>
      <c r="C99" s="53"/>
      <c r="D99" s="53"/>
      <c r="E99" s="54"/>
      <c r="F99" s="54"/>
      <c r="G99" s="54"/>
      <c r="H99" s="54"/>
      <c r="I99" s="56">
        <f t="shared" si="3"/>
        <v>4.8717948717948785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75</v>
      </c>
      <c r="B100" s="53">
        <v>269.23076923076923</v>
      </c>
      <c r="C100" s="53">
        <v>6</v>
      </c>
      <c r="D100" s="53">
        <v>23.076923076923077</v>
      </c>
      <c r="E100" s="54"/>
      <c r="F100" s="54"/>
      <c r="G100" s="54"/>
      <c r="H100" s="54"/>
      <c r="I100" s="56">
        <f t="shared" si="3"/>
        <v>4.4871794871794863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80</v>
      </c>
      <c r="B101" s="53">
        <v>267.94871794871796</v>
      </c>
      <c r="C101" s="53"/>
      <c r="D101" s="53"/>
      <c r="E101" s="54"/>
      <c r="F101" s="54"/>
      <c r="G101" s="54"/>
      <c r="H101" s="54"/>
      <c r="I101" s="56">
        <f t="shared" si="3"/>
        <v>4.3589743589743595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85</v>
      </c>
      <c r="B102" s="53">
        <v>287.82051282051282</v>
      </c>
      <c r="C102" s="53">
        <v>7</v>
      </c>
      <c r="D102" s="53">
        <v>21.794871794871796</v>
      </c>
      <c r="E102" s="54"/>
      <c r="F102" s="54"/>
      <c r="G102" s="54"/>
      <c r="H102" s="54"/>
      <c r="I102" s="56">
        <f t="shared" si="3"/>
        <v>3.9743589743589722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90</v>
      </c>
      <c r="B103" s="53">
        <v>285.25641025641022</v>
      </c>
      <c r="C103" s="53"/>
      <c r="D103" s="53"/>
      <c r="E103" s="54"/>
      <c r="F103" s="54"/>
      <c r="G103" s="54"/>
      <c r="H103" s="54"/>
      <c r="I103" s="56">
        <f t="shared" si="3"/>
        <v>3.8461538461538454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100</v>
      </c>
      <c r="B104" s="53">
        <v>319.87179487179486</v>
      </c>
      <c r="C104" s="53">
        <v>8</v>
      </c>
      <c r="D104" s="53">
        <v>30.769230769230766</v>
      </c>
      <c r="E104" s="54"/>
      <c r="F104" s="54"/>
      <c r="G104" s="54"/>
      <c r="H104" s="54"/>
      <c r="I104" s="56">
        <f t="shared" si="3"/>
        <v>3.4615384615384643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110</v>
      </c>
      <c r="B105" s="53">
        <v>321.15384615384613</v>
      </c>
      <c r="C105" s="53">
        <v>9</v>
      </c>
      <c r="D105" s="53">
        <v>19.23076923076923</v>
      </c>
      <c r="E105" s="54"/>
      <c r="F105" s="54"/>
      <c r="G105" s="54"/>
      <c r="H105" s="54"/>
      <c r="I105" s="56">
        <f t="shared" si="3"/>
        <v>3.2051282051282044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120</v>
      </c>
      <c r="B106" s="53">
        <v>330.76923076923077</v>
      </c>
      <c r="C106" s="53">
        <v>10</v>
      </c>
      <c r="D106" s="53">
        <v>17.948717948717949</v>
      </c>
      <c r="E106" s="54"/>
      <c r="F106" s="54"/>
      <c r="G106" s="54"/>
      <c r="H106" s="54"/>
      <c r="I106" s="56">
        <f t="shared" si="3"/>
        <v>2.8846153846153868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130</v>
      </c>
      <c r="B107" s="53">
        <v>339.10256410256409</v>
      </c>
      <c r="C107" s="53">
        <v>11</v>
      </c>
      <c r="D107" s="53">
        <v>339.10256410256409</v>
      </c>
      <c r="E107" s="54"/>
      <c r="F107" s="54"/>
      <c r="G107" s="54"/>
      <c r="H107" s="54"/>
      <c r="I107" s="56">
        <f t="shared" si="3"/>
        <v>2.6282051282051269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Cèdre de l'Atlas</v>
      </c>
      <c r="D110" s="255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8" t="s">
        <v>185</v>
      </c>
      <c r="C112" s="290" t="s">
        <v>186</v>
      </c>
      <c r="D112" s="290"/>
      <c r="E112" s="291" t="s">
        <v>187</v>
      </c>
      <c r="F112" s="292"/>
      <c r="G112" s="292"/>
      <c r="H112" s="293"/>
      <c r="I112" s="100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30</v>
      </c>
      <c r="B114" s="61">
        <f>134/1.3</f>
        <v>103.07692307692308</v>
      </c>
      <c r="C114" s="53"/>
      <c r="D114" s="61"/>
      <c r="E114" s="54"/>
      <c r="F114" s="54"/>
      <c r="G114" s="54"/>
      <c r="H114" s="64"/>
      <c r="I114" s="56">
        <f>IFERROR(B114/A114,"")</f>
        <v>3.4358974358974361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51</v>
      </c>
      <c r="B115" s="61">
        <f>418/1.3</f>
        <v>321.53846153846155</v>
      </c>
      <c r="C115" s="53">
        <v>1</v>
      </c>
      <c r="D115" s="61">
        <f>(418-288)/1.3</f>
        <v>100</v>
      </c>
      <c r="E115" s="64"/>
      <c r="F115" s="64"/>
      <c r="G115" s="64"/>
      <c r="H115" s="64"/>
      <c r="I115" s="56">
        <f t="shared" ref="I115:I133" si="4">IF(A115&lt;&gt;0,(B115-(B114-D114))/(A115-A114),"")</f>
        <v>10.402930402930403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63</v>
      </c>
      <c r="B116" s="61">
        <f>456/1.3</f>
        <v>350.76923076923077</v>
      </c>
      <c r="C116" s="53">
        <v>2</v>
      </c>
      <c r="D116" s="61">
        <f>(456-315)/1.3</f>
        <v>108.46153846153845</v>
      </c>
      <c r="E116" s="64"/>
      <c r="F116" s="64"/>
      <c r="G116" s="64"/>
      <c r="H116" s="64"/>
      <c r="I116" s="56">
        <f t="shared" si="4"/>
        <v>10.769230769230768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75</v>
      </c>
      <c r="B117" s="61">
        <f>469/1.3</f>
        <v>360.76923076923077</v>
      </c>
      <c r="C117" s="53">
        <v>3</v>
      </c>
      <c r="D117" s="61">
        <f>B117-(358/1.3)</f>
        <v>85.384615384615415</v>
      </c>
      <c r="E117" s="64"/>
      <c r="F117" s="64"/>
      <c r="G117" s="64"/>
      <c r="H117" s="64"/>
      <c r="I117" s="56">
        <f t="shared" si="4"/>
        <v>9.8717948717948705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87</v>
      </c>
      <c r="B118" s="61">
        <f>498/1.3</f>
        <v>383.07692307692304</v>
      </c>
      <c r="C118" s="53">
        <v>4</v>
      </c>
      <c r="D118" s="61">
        <f>B118-(390/1.3)</f>
        <v>83.076923076923038</v>
      </c>
      <c r="E118" s="64"/>
      <c r="F118" s="64"/>
      <c r="G118" s="64"/>
      <c r="H118" s="64"/>
      <c r="I118" s="56">
        <f t="shared" si="4"/>
        <v>8.9743589743589727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99</v>
      </c>
      <c r="B119" s="61">
        <f>517/1.3</f>
        <v>397.69230769230768</v>
      </c>
      <c r="C119" s="53">
        <v>5</v>
      </c>
      <c r="D119" s="61">
        <f>B119-(259/1.3)</f>
        <v>198.46153846153845</v>
      </c>
      <c r="E119" s="64"/>
      <c r="F119" s="64"/>
      <c r="G119" s="64"/>
      <c r="H119" s="64"/>
      <c r="I119" s="56">
        <f t="shared" si="4"/>
        <v>8.1410256410256405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1">
        <v>109</v>
      </c>
      <c r="B120" s="61">
        <f>333/1.3</f>
        <v>256.15384615384613</v>
      </c>
      <c r="C120" s="61">
        <v>6</v>
      </c>
      <c r="D120" s="61">
        <f>B120</f>
        <v>256.15384615384613</v>
      </c>
      <c r="E120" s="64"/>
      <c r="F120" s="64"/>
      <c r="G120" s="64"/>
      <c r="H120" s="64"/>
      <c r="I120" s="56">
        <f t="shared" si="4"/>
        <v>5.6923076923076907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8"/>
      <c r="B121" s="58"/>
      <c r="C121" s="58"/>
      <c r="D121" s="58"/>
      <c r="E121" s="64"/>
      <c r="F121" s="64"/>
      <c r="G121" s="64"/>
      <c r="H121" s="6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8"/>
      <c r="B122" s="58"/>
      <c r="C122" s="58"/>
      <c r="D122" s="58"/>
      <c r="E122" s="64"/>
      <c r="F122" s="64"/>
      <c r="G122" s="64"/>
      <c r="H122" s="6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8"/>
      <c r="B123" s="58"/>
      <c r="C123" s="58"/>
      <c r="D123" s="58"/>
      <c r="E123" s="64"/>
      <c r="F123" s="64"/>
      <c r="G123" s="64"/>
      <c r="H123" s="6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8"/>
      <c r="B124" s="58"/>
      <c r="C124" s="58"/>
      <c r="D124" s="58"/>
      <c r="E124" s="64"/>
      <c r="F124" s="64"/>
      <c r="G124" s="64"/>
      <c r="H124" s="6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8"/>
      <c r="B125" s="58"/>
      <c r="C125" s="58"/>
      <c r="D125" s="58"/>
      <c r="E125" s="64"/>
      <c r="F125" s="64"/>
      <c r="G125" s="64"/>
      <c r="H125" s="6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8"/>
      <c r="B126" s="58"/>
      <c r="C126" s="58"/>
      <c r="D126" s="58"/>
      <c r="E126" s="65"/>
      <c r="F126" s="65"/>
      <c r="G126" s="65"/>
      <c r="H126" s="65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90"/>
      <c r="B127" s="61"/>
      <c r="C127" s="90"/>
      <c r="D127" s="61"/>
      <c r="E127" s="57"/>
      <c r="F127" s="57"/>
      <c r="G127" s="57"/>
      <c r="H127" s="57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Chêne rouge d'Amérique</v>
      </c>
      <c r="D136" s="255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1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8" t="s">
        <v>185</v>
      </c>
      <c r="C138" s="290" t="s">
        <v>186</v>
      </c>
      <c r="D138" s="290"/>
      <c r="E138" s="291" t="s">
        <v>187</v>
      </c>
      <c r="F138" s="292"/>
      <c r="G138" s="292"/>
      <c r="H138" s="293"/>
      <c r="I138" s="100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1">
        <v>70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1">
        <v>105</v>
      </c>
      <c r="C142" s="61">
        <v>1</v>
      </c>
      <c r="D142" s="61">
        <v>29</v>
      </c>
      <c r="E142" s="54"/>
      <c r="F142" s="54"/>
      <c r="G142" s="54"/>
      <c r="H142" s="54">
        <v>1</v>
      </c>
      <c r="I142" s="59">
        <f t="shared" si="5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1">
        <v>116</v>
      </c>
      <c r="C143" s="61"/>
      <c r="D143" s="61"/>
      <c r="E143" s="54"/>
      <c r="F143" s="54"/>
      <c r="G143" s="54"/>
      <c r="H143" s="54"/>
      <c r="I143" s="59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1">
        <v>158</v>
      </c>
      <c r="C144" s="61">
        <v>2</v>
      </c>
      <c r="D144" s="61">
        <v>42</v>
      </c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1">
        <v>158</v>
      </c>
      <c r="C145" s="61"/>
      <c r="D145" s="61"/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1">
        <v>199</v>
      </c>
      <c r="C146" s="61">
        <v>3</v>
      </c>
      <c r="D146" s="61">
        <v>42</v>
      </c>
      <c r="E146" s="54"/>
      <c r="F146" s="54"/>
      <c r="G146" s="54"/>
      <c r="H146" s="54"/>
      <c r="I146" s="59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53">
        <v>197</v>
      </c>
      <c r="C147" s="53"/>
      <c r="D147" s="53"/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53">
        <v>235</v>
      </c>
      <c r="C148" s="53">
        <v>4</v>
      </c>
      <c r="D148" s="53">
        <v>42</v>
      </c>
      <c r="E148" s="54"/>
      <c r="F148" s="54"/>
      <c r="G148" s="54"/>
      <c r="H148" s="54"/>
      <c r="I148" s="59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53">
        <v>229</v>
      </c>
      <c r="C149" s="53"/>
      <c r="D149" s="53"/>
      <c r="E149" s="54"/>
      <c r="F149" s="54"/>
      <c r="G149" s="54"/>
      <c r="H149" s="54"/>
      <c r="I149" s="59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53">
        <v>263</v>
      </c>
      <c r="C150" s="53">
        <v>5</v>
      </c>
      <c r="D150" s="53">
        <v>42</v>
      </c>
      <c r="E150" s="54"/>
      <c r="F150" s="54"/>
      <c r="G150" s="54"/>
      <c r="H150" s="54"/>
      <c r="I150" s="59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53">
        <v>252</v>
      </c>
      <c r="C151" s="53"/>
      <c r="D151" s="53"/>
      <c r="E151" s="54"/>
      <c r="F151" s="54"/>
      <c r="G151" s="54"/>
      <c r="H151" s="54"/>
      <c r="I151" s="59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80</v>
      </c>
      <c r="B152" s="53">
        <v>282</v>
      </c>
      <c r="C152" s="53">
        <v>6</v>
      </c>
      <c r="D152" s="53">
        <v>42</v>
      </c>
      <c r="E152" s="54"/>
      <c r="F152" s="54"/>
      <c r="G152" s="54"/>
      <c r="H152" s="54"/>
      <c r="I152" s="59">
        <f t="shared" si="5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90</v>
      </c>
      <c r="B153" s="53">
        <v>296</v>
      </c>
      <c r="C153" s="53">
        <v>7</v>
      </c>
      <c r="D153" s="53">
        <v>42</v>
      </c>
      <c r="E153" s="54"/>
      <c r="F153" s="54"/>
      <c r="G153" s="54"/>
      <c r="H153" s="54"/>
      <c r="I153" s="59">
        <f t="shared" si="5"/>
        <v>5.6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100</v>
      </c>
      <c r="B154" s="53">
        <v>303</v>
      </c>
      <c r="C154" s="53">
        <v>8</v>
      </c>
      <c r="D154" s="53">
        <v>42</v>
      </c>
      <c r="E154" s="54"/>
      <c r="F154" s="54"/>
      <c r="G154" s="54"/>
      <c r="H154" s="54"/>
      <c r="I154" s="59">
        <f t="shared" si="5"/>
        <v>4.9000000000000004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110</v>
      </c>
      <c r="B155" s="53">
        <v>305</v>
      </c>
      <c r="C155" s="53">
        <v>9</v>
      </c>
      <c r="D155" s="53">
        <v>39</v>
      </c>
      <c r="E155" s="54"/>
      <c r="F155" s="54"/>
      <c r="G155" s="54"/>
      <c r="H155" s="54"/>
      <c r="I155" s="59">
        <f t="shared" si="5"/>
        <v>4.4000000000000004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120</v>
      </c>
      <c r="B156" s="53">
        <v>303</v>
      </c>
      <c r="C156" s="53">
        <v>10</v>
      </c>
      <c r="D156" s="53">
        <v>35</v>
      </c>
      <c r="E156" s="54"/>
      <c r="F156" s="54"/>
      <c r="G156" s="54"/>
      <c r="H156" s="54"/>
      <c r="I156" s="59">
        <f t="shared" si="5"/>
        <v>3.7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130</v>
      </c>
      <c r="B157" s="53">
        <v>300</v>
      </c>
      <c r="C157" s="53">
        <v>11</v>
      </c>
      <c r="D157" s="53">
        <v>31</v>
      </c>
      <c r="E157" s="54"/>
      <c r="F157" s="54"/>
      <c r="G157" s="54"/>
      <c r="H157" s="54"/>
      <c r="I157" s="59">
        <f t="shared" si="5"/>
        <v>3.2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140</v>
      </c>
      <c r="B158" s="53">
        <v>296</v>
      </c>
      <c r="C158" s="53">
        <v>12</v>
      </c>
      <c r="D158" s="53">
        <v>27</v>
      </c>
      <c r="E158" s="54"/>
      <c r="F158" s="54"/>
      <c r="G158" s="54"/>
      <c r="H158" s="54"/>
      <c r="I158" s="59">
        <f t="shared" si="5"/>
        <v>2.7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150</v>
      </c>
      <c r="B159" s="53">
        <v>293</v>
      </c>
      <c r="C159" s="53">
        <v>13</v>
      </c>
      <c r="D159" s="53">
        <v>293</v>
      </c>
      <c r="E159" s="54"/>
      <c r="F159" s="54"/>
      <c r="G159" s="54"/>
      <c r="H159" s="54"/>
      <c r="I159" s="59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Chêne sessile</v>
      </c>
      <c r="D162" s="255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1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8" t="s">
        <v>185</v>
      </c>
      <c r="C164" s="290" t="s">
        <v>186</v>
      </c>
      <c r="D164" s="290"/>
      <c r="E164" s="291" t="s">
        <v>187</v>
      </c>
      <c r="F164" s="292"/>
      <c r="G164" s="292"/>
      <c r="H164" s="293"/>
      <c r="I164" s="100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1">
        <v>42</v>
      </c>
      <c r="C166" s="61"/>
      <c r="D166" s="61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1">
        <v>70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1">
        <v>105</v>
      </c>
      <c r="C168" s="61">
        <v>1</v>
      </c>
      <c r="D168" s="61">
        <v>29</v>
      </c>
      <c r="E168" s="54"/>
      <c r="F168" s="54"/>
      <c r="G168" s="54"/>
      <c r="H168" s="54">
        <v>1</v>
      </c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1">
        <v>116</v>
      </c>
      <c r="C169" s="61"/>
      <c r="D169" s="61"/>
      <c r="E169" s="54"/>
      <c r="F169" s="54"/>
      <c r="G169" s="54"/>
      <c r="H169" s="54"/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1">
        <v>158</v>
      </c>
      <c r="C170" s="61">
        <v>2</v>
      </c>
      <c r="D170" s="61">
        <v>42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1">
        <v>158</v>
      </c>
      <c r="C171" s="61"/>
      <c r="D171" s="61"/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1">
        <v>199</v>
      </c>
      <c r="C172" s="61">
        <v>3</v>
      </c>
      <c r="D172" s="61">
        <v>42</v>
      </c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53">
        <v>197</v>
      </c>
      <c r="C173" s="53"/>
      <c r="D173" s="53"/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53">
        <v>235</v>
      </c>
      <c r="C174" s="53">
        <v>4</v>
      </c>
      <c r="D174" s="53">
        <v>42</v>
      </c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65</v>
      </c>
      <c r="B175" s="53">
        <v>229</v>
      </c>
      <c r="C175" s="53"/>
      <c r="D175" s="53"/>
      <c r="E175" s="54"/>
      <c r="F175" s="54"/>
      <c r="G175" s="54"/>
      <c r="H175" s="54"/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70</v>
      </c>
      <c r="B176" s="53">
        <v>263</v>
      </c>
      <c r="C176" s="53">
        <v>5</v>
      </c>
      <c r="D176" s="53">
        <v>42</v>
      </c>
      <c r="E176" s="54"/>
      <c r="F176" s="54"/>
      <c r="G176" s="54"/>
      <c r="H176" s="54"/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75</v>
      </c>
      <c r="B177" s="53">
        <v>252</v>
      </c>
      <c r="C177" s="53"/>
      <c r="D177" s="53"/>
      <c r="E177" s="54"/>
      <c r="F177" s="54"/>
      <c r="G177" s="54"/>
      <c r="H177" s="54"/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80</v>
      </c>
      <c r="B178" s="53">
        <v>282</v>
      </c>
      <c r="C178" s="53">
        <v>6</v>
      </c>
      <c r="D178" s="53">
        <v>42</v>
      </c>
      <c r="E178" s="54"/>
      <c r="F178" s="54"/>
      <c r="G178" s="54"/>
      <c r="H178" s="54"/>
      <c r="I178" s="52">
        <f t="shared" si="6"/>
        <v>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90</v>
      </c>
      <c r="B179" s="53">
        <v>296</v>
      </c>
      <c r="C179" s="53">
        <v>7</v>
      </c>
      <c r="D179" s="53">
        <v>42</v>
      </c>
      <c r="E179" s="54"/>
      <c r="F179" s="54"/>
      <c r="G179" s="54"/>
      <c r="H179" s="54"/>
      <c r="I179" s="52">
        <f t="shared" si="6"/>
        <v>5.6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100</v>
      </c>
      <c r="B180" s="53">
        <v>303</v>
      </c>
      <c r="C180" s="53">
        <v>8</v>
      </c>
      <c r="D180" s="53">
        <v>42</v>
      </c>
      <c r="E180" s="54"/>
      <c r="F180" s="54"/>
      <c r="G180" s="54"/>
      <c r="H180" s="54"/>
      <c r="I180" s="52">
        <f t="shared" si="6"/>
        <v>4.9000000000000004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110</v>
      </c>
      <c r="B181" s="53">
        <v>305</v>
      </c>
      <c r="C181" s="53">
        <v>9</v>
      </c>
      <c r="D181" s="53">
        <v>39</v>
      </c>
      <c r="E181" s="54"/>
      <c r="F181" s="54"/>
      <c r="G181" s="54"/>
      <c r="H181" s="54"/>
      <c r="I181" s="52">
        <f t="shared" si="6"/>
        <v>4.4000000000000004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120</v>
      </c>
      <c r="B182" s="53">
        <v>303</v>
      </c>
      <c r="C182" s="53">
        <v>10</v>
      </c>
      <c r="D182" s="53">
        <v>35</v>
      </c>
      <c r="E182" s="54"/>
      <c r="F182" s="54"/>
      <c r="G182" s="54"/>
      <c r="H182" s="54"/>
      <c r="I182" s="52">
        <f t="shared" si="6"/>
        <v>3.7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130</v>
      </c>
      <c r="B183" s="53">
        <v>300</v>
      </c>
      <c r="C183" s="53">
        <v>11</v>
      </c>
      <c r="D183" s="53">
        <v>31</v>
      </c>
      <c r="E183" s="54"/>
      <c r="F183" s="54"/>
      <c r="G183" s="54"/>
      <c r="H183" s="54"/>
      <c r="I183" s="52">
        <f t="shared" si="6"/>
        <v>3.2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140</v>
      </c>
      <c r="B184" s="53">
        <v>296</v>
      </c>
      <c r="C184" s="53">
        <v>12</v>
      </c>
      <c r="D184" s="53">
        <v>27</v>
      </c>
      <c r="E184" s="54"/>
      <c r="F184" s="54"/>
      <c r="G184" s="54"/>
      <c r="H184" s="54"/>
      <c r="I184" s="52">
        <f t="shared" si="6"/>
        <v>2.7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150</v>
      </c>
      <c r="B185" s="53">
        <v>293</v>
      </c>
      <c r="C185" s="53">
        <v>13</v>
      </c>
      <c r="D185" s="53">
        <v>293</v>
      </c>
      <c r="E185" s="54"/>
      <c r="F185" s="54"/>
      <c r="G185" s="54"/>
      <c r="H185" s="54"/>
      <c r="I185" s="52">
        <f t="shared" si="6"/>
        <v>2.4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5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8" t="s">
        <v>185</v>
      </c>
      <c r="C190" s="290" t="s">
        <v>186</v>
      </c>
      <c r="D190" s="290"/>
      <c r="E190" s="291" t="s">
        <v>187</v>
      </c>
      <c r="F190" s="292"/>
      <c r="G190" s="292"/>
      <c r="H190" s="293"/>
      <c r="I190" s="100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1"/>
      <c r="C192" s="61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1"/>
      <c r="C193" s="61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1"/>
      <c r="C194" s="61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1"/>
      <c r="C195" s="61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1"/>
      <c r="C196" s="61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1"/>
      <c r="C197" s="61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1"/>
      <c r="C198" s="61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5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8" t="s">
        <v>185</v>
      </c>
      <c r="C216" s="290" t="s">
        <v>186</v>
      </c>
      <c r="D216" s="290"/>
      <c r="E216" s="291" t="s">
        <v>187</v>
      </c>
      <c r="F216" s="292"/>
      <c r="G216" s="292"/>
      <c r="H216" s="293"/>
      <c r="I216" s="10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0"/>
      <c r="B231" s="61"/>
      <c r="C231" s="90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5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8" t="s">
        <v>185</v>
      </c>
      <c r="C242" s="290" t="s">
        <v>186</v>
      </c>
      <c r="D242" s="290"/>
      <c r="E242" s="291" t="s">
        <v>187</v>
      </c>
      <c r="F242" s="292"/>
      <c r="G242" s="292"/>
      <c r="H242" s="293"/>
      <c r="I242" s="100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0"/>
      <c r="B257" s="61"/>
      <c r="C257" s="90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5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1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8" t="s">
        <v>185</v>
      </c>
      <c r="C268" s="290" t="s">
        <v>186</v>
      </c>
      <c r="D268" s="290"/>
      <c r="E268" s="291" t="s">
        <v>187</v>
      </c>
      <c r="F268" s="292"/>
      <c r="G268" s="292"/>
      <c r="H268" s="293"/>
      <c r="I268" s="100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0"/>
      <c r="B283" s="61"/>
      <c r="C283" s="90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2"/>
      <c r="K1" s="10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4" t="s">
        <v>191</v>
      </c>
      <c r="C2" s="305"/>
      <c r="D2" s="305"/>
      <c r="E2" s="305"/>
      <c r="F2" s="305"/>
      <c r="G2" s="306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3"/>
      <c r="C4" s="303"/>
      <c r="D4" s="303"/>
      <c r="E4" s="303"/>
      <c r="F4" s="303"/>
      <c r="G4" s="303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3" t="s">
        <v>296</v>
      </c>
      <c r="C5" s="103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3"/>
      <c r="C6" s="233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4"/>
      <c r="B7" s="29" t="s">
        <v>295</v>
      </c>
      <c r="C7" s="105" t="s">
        <v>214</v>
      </c>
      <c r="D7" s="231"/>
      <c r="E7" s="106"/>
      <c r="F7" s="29" t="s">
        <v>295</v>
      </c>
      <c r="G7" s="105" t="s">
        <v>215</v>
      </c>
      <c r="H7" s="232"/>
      <c r="I7" s="232"/>
      <c r="J7" s="232"/>
      <c r="K7" s="232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38" ht="17.25" customHeight="1" x14ac:dyDescent="0.3">
      <c r="A8" s="110">
        <v>1</v>
      </c>
      <c r="B8" s="62">
        <v>0</v>
      </c>
      <c r="C8" s="52" t="s">
        <v>177</v>
      </c>
      <c r="D8" s="25"/>
      <c r="E8" s="110">
        <v>4</v>
      </c>
      <c r="F8" s="62">
        <v>1</v>
      </c>
      <c r="G8" s="107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0">
        <v>2</v>
      </c>
      <c r="B9" s="62">
        <v>0</v>
      </c>
      <c r="C9" s="113" t="s">
        <v>216</v>
      </c>
      <c r="D9" s="25"/>
      <c r="E9" s="110">
        <v>5</v>
      </c>
      <c r="F9" s="62">
        <v>0</v>
      </c>
      <c r="G9" s="108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0">
        <v>3</v>
      </c>
      <c r="B10" s="62">
        <v>0</v>
      </c>
      <c r="C10" s="114" t="s">
        <v>217</v>
      </c>
      <c r="D10" s="25"/>
      <c r="E10" s="5"/>
      <c r="F10" s="111">
        <f>SUM(F7:F9)</f>
        <v>1</v>
      </c>
      <c r="G10" s="109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1">
        <v>0</v>
      </c>
      <c r="C11" s="109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2"/>
      <c r="B13" s="112"/>
      <c r="C13" s="103" t="s">
        <v>273</v>
      </c>
      <c r="D13" s="232"/>
      <c r="E13" s="104"/>
      <c r="F13" s="112"/>
      <c r="G13" s="103" t="s">
        <v>301</v>
      </c>
      <c r="H13" s="232"/>
      <c r="I13" s="232"/>
      <c r="J13" s="232"/>
      <c r="K13" s="232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8" s="4" customFormat="1" ht="21" customHeight="1" x14ac:dyDescent="0.3">
      <c r="A14" s="232"/>
      <c r="B14" s="112"/>
      <c r="C14" s="103" t="s">
        <v>309</v>
      </c>
      <c r="D14" s="232"/>
      <c r="E14" s="104"/>
      <c r="F14" s="112"/>
      <c r="G14" s="103" t="s">
        <v>294</v>
      </c>
      <c r="H14" s="232"/>
      <c r="I14" s="232"/>
      <c r="J14" s="232"/>
      <c r="K14" s="232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5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0</v>
      </c>
      <c r="C17" s="115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5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1">
        <f>SUM(B16:B18)</f>
        <v>0</v>
      </c>
      <c r="C19" s="109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5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8" bestFit="1" customWidth="1"/>
    <col min="2" max="4" width="11.44140625" style="68"/>
    <col min="5" max="5" width="9.5546875" style="68" customWidth="1"/>
    <col min="6" max="7" width="11.44140625" style="68"/>
    <col min="8" max="8" width="10.6640625" style="68" customWidth="1"/>
    <col min="9" max="9" width="9.44140625" style="68" customWidth="1"/>
    <col min="10" max="11" width="10.5546875" style="68" bestFit="1" customWidth="1"/>
    <col min="12" max="12" width="14" style="68" bestFit="1" customWidth="1"/>
    <col min="13" max="13" width="14" style="68" customWidth="1"/>
    <col min="14" max="23" width="11.44140625" style="68"/>
    <col min="24" max="24" width="11.6640625" style="68" bestFit="1" customWidth="1"/>
    <col min="25" max="25" width="14.5546875" style="68" bestFit="1" customWidth="1"/>
    <col min="26" max="26" width="12.44140625" style="68" bestFit="1" customWidth="1"/>
    <col min="27" max="27" width="9.6640625" style="68" bestFit="1" customWidth="1"/>
    <col min="28" max="28" width="11" style="68" bestFit="1" customWidth="1"/>
    <col min="29" max="29" width="9.44140625" style="68" bestFit="1" customWidth="1"/>
    <col min="30" max="31" width="9.44140625" style="68" customWidth="1"/>
    <col min="32" max="32" width="11.44140625" style="68"/>
    <col min="33" max="34" width="14" style="68" bestFit="1" customWidth="1"/>
    <col min="35" max="35" width="10.5546875" style="68" bestFit="1" customWidth="1"/>
    <col min="36" max="36" width="9.44140625" style="68" bestFit="1" customWidth="1"/>
    <col min="37" max="38" width="10.5546875" style="68" bestFit="1" customWidth="1"/>
    <col min="39" max="41" width="10.5546875" style="68" customWidth="1"/>
    <col min="42" max="42" width="9" style="68" bestFit="1" customWidth="1"/>
    <col min="43" max="43" width="10.5546875" style="68" bestFit="1" customWidth="1"/>
    <col min="44" max="44" width="9.33203125" style="68" bestFit="1" customWidth="1"/>
    <col min="45" max="45" width="11.6640625" style="68" bestFit="1" customWidth="1"/>
    <col min="46" max="46" width="8.44140625" style="68" bestFit="1" customWidth="1"/>
    <col min="47" max="47" width="9.44140625" style="68" bestFit="1" customWidth="1"/>
    <col min="48" max="48" width="9.6640625" style="68" bestFit="1" customWidth="1"/>
    <col min="49" max="49" width="11" style="68" bestFit="1" customWidth="1"/>
    <col min="50" max="50" width="9.44140625" style="68" bestFit="1" customWidth="1"/>
    <col min="51" max="52" width="9.44140625" style="68" customWidth="1"/>
    <col min="53" max="53" width="10.5546875" style="68" bestFit="1" customWidth="1"/>
    <col min="54" max="54" width="14.33203125" style="68" customWidth="1"/>
    <col min="55" max="55" width="14" style="68" customWidth="1"/>
    <col min="56" max="56" width="10.5546875" style="68" bestFit="1" customWidth="1"/>
    <col min="57" max="57" width="9.44140625" style="68" bestFit="1" customWidth="1"/>
    <col min="58" max="59" width="10.5546875" style="68" bestFit="1" customWidth="1"/>
    <col min="60" max="62" width="10.5546875" style="68" customWidth="1"/>
    <col min="63" max="63" width="9" style="68" bestFit="1" customWidth="1"/>
    <col min="64" max="64" width="10.5546875" style="68" bestFit="1" customWidth="1"/>
    <col min="65" max="65" width="9.33203125" style="68" bestFit="1" customWidth="1"/>
    <col min="66" max="66" width="11.6640625" style="68" bestFit="1" customWidth="1"/>
    <col min="67" max="67" width="8.44140625" style="68" bestFit="1" customWidth="1"/>
    <col min="68" max="68" width="9.44140625" style="68" bestFit="1" customWidth="1"/>
    <col min="69" max="69" width="9.6640625" style="68" bestFit="1" customWidth="1"/>
    <col min="70" max="70" width="11" style="68" bestFit="1" customWidth="1"/>
    <col min="71" max="71" width="9.44140625" style="68" bestFit="1" customWidth="1"/>
    <col min="72" max="73" width="9.44140625" style="68" customWidth="1"/>
    <col min="74" max="74" width="10.5546875" style="68" bestFit="1" customWidth="1"/>
    <col min="75" max="75" width="14" style="68" bestFit="1" customWidth="1"/>
    <col min="76" max="76" width="13.88671875" style="68" customWidth="1"/>
    <col min="77" max="77" width="10.5546875" style="68" bestFit="1" customWidth="1"/>
    <col min="78" max="78" width="9.44140625" style="68" bestFit="1" customWidth="1"/>
    <col min="79" max="80" width="10.5546875" style="68" bestFit="1" customWidth="1"/>
    <col min="81" max="83" width="10.5546875" style="68" customWidth="1"/>
    <col min="84" max="84" width="11.44140625" style="68"/>
    <col min="85" max="85" width="10.5546875" style="68" bestFit="1" customWidth="1"/>
    <col min="86" max="86" width="9.33203125" style="68" bestFit="1" customWidth="1"/>
    <col min="87" max="87" width="11.6640625" style="68" bestFit="1" customWidth="1"/>
    <col min="88" max="88" width="8.44140625" style="68" bestFit="1" customWidth="1"/>
    <col min="89" max="89" width="9.44140625" style="68" bestFit="1" customWidth="1"/>
    <col min="90" max="90" width="9.6640625" style="68" bestFit="1" customWidth="1"/>
    <col min="91" max="91" width="11" style="68" bestFit="1" customWidth="1"/>
    <col min="92" max="92" width="9.44140625" style="68" bestFit="1" customWidth="1"/>
    <col min="93" max="94" width="9.44140625" style="68" customWidth="1"/>
    <col min="95" max="95" width="11.44140625" style="68"/>
    <col min="96" max="97" width="14" style="68" customWidth="1"/>
    <col min="98" max="98" width="10.5546875" style="68" bestFit="1" customWidth="1"/>
    <col min="99" max="99" width="9.44140625" style="68" bestFit="1" customWidth="1"/>
    <col min="100" max="101" width="10.5546875" style="68" bestFit="1" customWidth="1"/>
    <col min="102" max="104" width="10.5546875" style="68" customWidth="1"/>
    <col min="105" max="105" width="9" style="68" bestFit="1" customWidth="1"/>
    <col min="106" max="106" width="10.5546875" style="68" bestFit="1" customWidth="1"/>
    <col min="107" max="107" width="9.33203125" style="68" bestFit="1" customWidth="1"/>
    <col min="108" max="108" width="11.6640625" style="68" bestFit="1" customWidth="1"/>
    <col min="109" max="109" width="8.44140625" style="68" bestFit="1" customWidth="1"/>
    <col min="110" max="110" width="9.44140625" style="68" bestFit="1" customWidth="1"/>
    <col min="111" max="111" width="9.6640625" style="68" bestFit="1" customWidth="1"/>
    <col min="112" max="112" width="11" style="68" bestFit="1" customWidth="1"/>
    <col min="113" max="113" width="9.44140625" style="68" bestFit="1" customWidth="1"/>
    <col min="114" max="115" width="9.44140625" style="68" customWidth="1"/>
    <col min="116" max="116" width="10.5546875" style="68" bestFit="1" customWidth="1"/>
    <col min="117" max="117" width="14.33203125" style="68" customWidth="1"/>
    <col min="118" max="118" width="14" style="68" bestFit="1" customWidth="1"/>
    <col min="119" max="119" width="10.5546875" style="68" bestFit="1" customWidth="1"/>
    <col min="120" max="120" width="9.44140625" style="68" bestFit="1" customWidth="1"/>
    <col min="121" max="122" width="10.5546875" style="68" bestFit="1" customWidth="1"/>
    <col min="123" max="125" width="10.5546875" style="68" customWidth="1"/>
    <col min="126" max="126" width="9" style="68" bestFit="1" customWidth="1"/>
    <col min="127" max="127" width="10.5546875" style="68" bestFit="1" customWidth="1"/>
    <col min="128" max="128" width="9.33203125" style="68" bestFit="1" customWidth="1"/>
    <col min="129" max="129" width="11.6640625" style="68" bestFit="1" customWidth="1"/>
    <col min="130" max="130" width="8.44140625" style="68" bestFit="1" customWidth="1"/>
    <col min="131" max="131" width="9.44140625" style="68" bestFit="1" customWidth="1"/>
    <col min="132" max="132" width="9.6640625" style="68" bestFit="1" customWidth="1"/>
    <col min="133" max="133" width="11" style="68" bestFit="1" customWidth="1"/>
    <col min="134" max="134" width="9.44140625" style="68" bestFit="1" customWidth="1"/>
    <col min="135" max="136" width="9.44140625" style="68" customWidth="1"/>
    <col min="137" max="137" width="10.5546875" style="68" bestFit="1" customWidth="1"/>
    <col min="138" max="139" width="14" style="68" customWidth="1"/>
    <col min="140" max="140" width="10.5546875" style="68" bestFit="1" customWidth="1"/>
    <col min="141" max="141" width="9.44140625" style="68" bestFit="1" customWidth="1"/>
    <col min="142" max="143" width="10.5546875" style="68" bestFit="1" customWidth="1"/>
    <col min="144" max="146" width="10.5546875" style="68" customWidth="1"/>
    <col min="147" max="147" width="9" style="68" bestFit="1" customWidth="1"/>
    <col min="148" max="148" width="10.5546875" style="68" bestFit="1" customWidth="1"/>
    <col min="149" max="149" width="9.33203125" style="68" bestFit="1" customWidth="1"/>
    <col min="150" max="150" width="11.6640625" style="68" bestFit="1" customWidth="1"/>
    <col min="151" max="151" width="8.44140625" style="68" bestFit="1" customWidth="1"/>
    <col min="152" max="152" width="9.44140625" style="68" bestFit="1" customWidth="1"/>
    <col min="153" max="153" width="9.6640625" style="68" bestFit="1" customWidth="1"/>
    <col min="154" max="154" width="11" style="68" bestFit="1" customWidth="1"/>
    <col min="155" max="155" width="9.44140625" style="68" bestFit="1" customWidth="1"/>
    <col min="156" max="157" width="9.44140625" style="68" customWidth="1"/>
    <col min="158" max="158" width="11.44140625" style="68"/>
    <col min="159" max="160" width="14" style="68" bestFit="1" customWidth="1"/>
    <col min="161" max="161" width="10.5546875" style="68" bestFit="1" customWidth="1"/>
    <col min="162" max="162" width="9.44140625" style="68" bestFit="1" customWidth="1"/>
    <col min="163" max="164" width="10.5546875" style="68" bestFit="1" customWidth="1"/>
    <col min="165" max="167" width="10.5546875" style="68" customWidth="1"/>
    <col min="168" max="168" width="9" style="68" bestFit="1" customWidth="1"/>
    <col min="169" max="169" width="10.5546875" style="68" bestFit="1" customWidth="1"/>
    <col min="170" max="170" width="9.33203125" style="68" bestFit="1" customWidth="1"/>
    <col min="171" max="171" width="11.6640625" style="68" bestFit="1" customWidth="1"/>
    <col min="172" max="172" width="8.109375" style="68" bestFit="1" customWidth="1"/>
    <col min="173" max="173" width="9.44140625" style="68" bestFit="1" customWidth="1"/>
    <col min="174" max="174" width="9.6640625" style="68" bestFit="1" customWidth="1"/>
    <col min="175" max="175" width="11" style="68" bestFit="1" customWidth="1"/>
    <col min="176" max="176" width="9.44140625" style="68" bestFit="1" customWidth="1"/>
    <col min="177" max="178" width="9.44140625" style="68" customWidth="1"/>
    <col min="179" max="179" width="10.5546875" style="68" bestFit="1" customWidth="1"/>
    <col min="180" max="181" width="14" style="68" bestFit="1" customWidth="1"/>
    <col min="182" max="182" width="10.5546875" style="68" bestFit="1" customWidth="1"/>
    <col min="183" max="183" width="9.44140625" style="68" bestFit="1" customWidth="1"/>
    <col min="184" max="185" width="10.5546875" style="68" bestFit="1" customWidth="1"/>
    <col min="186" max="188" width="10.5546875" style="68" customWidth="1"/>
    <col min="189" max="189" width="9" style="68" bestFit="1" customWidth="1"/>
    <col min="190" max="190" width="10.5546875" style="68" bestFit="1" customWidth="1"/>
    <col min="191" max="191" width="9.33203125" style="68" bestFit="1" customWidth="1"/>
    <col min="192" max="192" width="11.44140625" style="68"/>
    <col min="193" max="193" width="8.44140625" style="68" bestFit="1" customWidth="1"/>
    <col min="194" max="194" width="9.44140625" style="68" bestFit="1" customWidth="1"/>
    <col min="195" max="195" width="9.6640625" style="68" bestFit="1" customWidth="1"/>
    <col min="196" max="196" width="11" style="68" bestFit="1" customWidth="1"/>
    <col min="197" max="197" width="9.44140625" style="68" bestFit="1" customWidth="1"/>
    <col min="198" max="199" width="9.44140625" style="68" customWidth="1"/>
    <col min="200" max="200" width="10.5546875" style="68" bestFit="1" customWidth="1"/>
    <col min="201" max="201" width="14" style="68" customWidth="1"/>
    <col min="202" max="202" width="14.33203125" style="68" customWidth="1"/>
    <col min="203" max="203" width="10.5546875" style="68" bestFit="1" customWidth="1"/>
    <col min="204" max="204" width="9.44140625" style="68" bestFit="1" customWidth="1"/>
    <col min="205" max="206" width="10.5546875" style="68" bestFit="1" customWidth="1"/>
    <col min="207" max="209" width="10.5546875" style="68" customWidth="1"/>
    <col min="210" max="210" width="9" style="68" bestFit="1" customWidth="1"/>
    <col min="211" max="211" width="10.5546875" style="68" bestFit="1" customWidth="1"/>
    <col min="212" max="212" width="9.33203125" style="68" bestFit="1" customWidth="1"/>
    <col min="213" max="213" width="11.6640625" style="68" bestFit="1" customWidth="1"/>
    <col min="214" max="214" width="8.44140625" style="68" bestFit="1" customWidth="1"/>
    <col min="215" max="215" width="9.44140625" style="68" bestFit="1" customWidth="1"/>
    <col min="216" max="216" width="9.6640625" style="68" bestFit="1" customWidth="1"/>
    <col min="217" max="217" width="11" style="68" bestFit="1" customWidth="1"/>
    <col min="218" max="218" width="9.44140625" style="68" bestFit="1" customWidth="1"/>
    <col min="219" max="16384" width="11.44140625" style="68"/>
  </cols>
  <sheetData>
    <row r="1" spans="1:218" s="5" customFormat="1" ht="26.4" thickBot="1" x14ac:dyDescent="0.55000000000000004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Chêne pubescent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Pin maritime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>Chêne chevelu</v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>Cèdre de l'Atlas</v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>Chêne rouge d'Amérique</v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>Chêne sessile</v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58.2" thickBot="1" x14ac:dyDescent="0.35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4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293.33333333333331</v>
      </c>
      <c r="S3" s="60">
        <f ca="1">AVERAGE(OFFSET($R$3,0,0,'Données projet'!$E$9+1,1))-AVERAGE(OFFSET($H$3,0,0,'Données projet'!$E$9+1,1))</f>
        <v>341.82426415364569</v>
      </c>
      <c r="T3" s="60">
        <f>IF('Données projet'!E9&gt;30,$R$33-$H$33,LOOKUP('Données projet'!$E$9,$A$3:$A$203,R3:R203)-LOOKUP('Données projet'!$E$9,$A$3:$A$203,$H$3:$H$203))</f>
        <v>193.53376539568887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293.33333333333331</v>
      </c>
      <c r="AN3" s="60">
        <f ca="1">AVERAGE(OFFSET($AM$3,0,0,'Données projet'!$E$10+1,1))-AVERAGE(OFFSET($H$3,0,0,'Données projet'!$E$10+1,1))</f>
        <v>189.8516574130017</v>
      </c>
      <c r="AO3" s="60">
        <f>IF('Données projet'!E10&gt;30,$AM$33-$H$33,LOOKUP('Données projet'!$E$10,$A$3:$A$203,AM3:AM203)-LOOKUP('Données projet'!$E$10,$A$3:$A$203,$H$3:$H$203))</f>
        <v>191.91100863555891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293.33333333333331</v>
      </c>
      <c r="BI3" s="60">
        <f ca="1">AVERAGE(OFFSET($BH$3,0,0,'Données projet'!$E$11+1,1))-AVERAGE(OFFSET($H$3,0,0,'Données projet'!$E$11+1,1))</f>
        <v>373.7520752235389</v>
      </c>
      <c r="BJ3" s="60">
        <f>IF('Données projet'!E11&gt;30,$BH$33-$H$33,LOOKUP('Données projet'!$E$11,$A$3:$A$203,BH3:BH203)-LOOKUP('Données projet'!$E$11,$A$3:$A$203,$H$3:$H$203))</f>
        <v>205.19966474305761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293.33333333333331</v>
      </c>
      <c r="CD3" s="60">
        <f ca="1">AVERAGE(OFFSET($CC$3,0,0,'Données projet'!$E$12+1,1))-AVERAGE(OFFSET($H$3,0,0,'Données projet'!$E$12+1,1))</f>
        <v>141.31558705818316</v>
      </c>
      <c r="CE3" s="60">
        <f>IF('Données projet'!E12&gt;30,$CC$33-$H$33,LOOKUP('Données projet'!$E$12,$A$3:$A$203,CC3:CC203)-LOOKUP('Données projet'!$E$12,$A$3:$A$203,$H$3:$H$203))</f>
        <v>67.142010893211364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293.33333333333331</v>
      </c>
      <c r="CY3" s="60">
        <f ca="1">AVERAGE(OFFSET($CX$3,0,0,'Données projet'!$E$13+1,1))-AVERAGE(OFFSET($H$3,0,0,'Données projet'!$E$13+1,1))</f>
        <v>281.8501448773884</v>
      </c>
      <c r="CZ3" s="60">
        <f>IF('Données projet'!E13&gt;30,$CX$33-$H$33,LOOKUP('Données projet'!$E$13,$A$3:$A$203,CX3:CX203)-LOOKUP('Données projet'!$E$13,$A$3:$A$203,$H$3:$H$203))</f>
        <v>161.7340631691518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293.33333333333331</v>
      </c>
      <c r="DT3" s="60">
        <f ca="1">AVERAGE(OFFSET($DS$3,0,0,'Données projet'!$E$14+1,1))-AVERAGE(OFFSET($H$3,0,0,'Données projet'!$E$14+1,1))</f>
        <v>295.19398489974265</v>
      </c>
      <c r="DU3" s="60">
        <f>IF('Données projet'!E14&gt;30,$DS$33-$H$33,LOOKUP('Données projet'!$E$14,$A$3:$A$203,DS3:DS203)-LOOKUP('Données projet'!$E$14,$A$3:$A$203,$H$3:$H$203))</f>
        <v>168.80998104712489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4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0">
        <f t="shared" si="0"/>
        <v>296.42072876264024</v>
      </c>
      <c r="S4" s="60">
        <f ca="1">AVERAGE(OFFSET($R$3,0,0,'Données projet'!$E$9+1,1))-AVERAGE(OFFSET($H$3,0,0,'Données projet'!$E$9+1,1))</f>
        <v>341.82426415364569</v>
      </c>
      <c r="T4" s="60">
        <f>$T$3</f>
        <v>193.53376539568887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7.4312217194570129</v>
      </c>
      <c r="AI4" s="14">
        <f>IF('Données projet'!$A$62&gt;35,AI3+AH4-AQ3,IF(A4&lt;'Données projet'!$A$62,$AF$205^A4,IF(A4='Données projet'!$A$62,'Données projet'!$B$62,AI3+AH4-AQ3)))</f>
        <v>1.3292852468636394</v>
      </c>
      <c r="AJ4" s="14">
        <f>AI4*VLOOKUP('Données projet'!$B$10,Paramètres!$A$1:$I$89,3,0)*VLOOKUP('Données projet'!$B$10,Paramètres!$A$1:$I$89,5,0)</f>
        <v>0.79491257762445644</v>
      </c>
      <c r="AK4" s="14">
        <f>EXP(-1.0587+0.8836*LN(AJ4)+0.284)</f>
        <v>0.37624805113513943</v>
      </c>
      <c r="AL4" s="22">
        <f t="shared" ref="AL4:AL67" si="4">(AJ4+AK4)*0.475*44/12</f>
        <v>2.0397714284229629</v>
      </c>
      <c r="AM4" s="60">
        <f t="shared" ref="AM4:AM67" si="5">AL4+(AD4+AE4)*44/12</f>
        <v>295.37310476175628</v>
      </c>
      <c r="AN4" s="60">
        <f ca="1">AVERAGE(OFFSET($AM$3,0,0,'Données projet'!$E$10+1,1))-AVERAGE(OFFSET($H$3,0,0,'Données projet'!$E$10+1,1))</f>
        <v>189.8516574130017</v>
      </c>
      <c r="AO4" s="60">
        <f>$AO$3</f>
        <v>191.91100863555891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2.0085470085470085</v>
      </c>
      <c r="BD4" s="13">
        <f>IF('Données projet'!$A$88&gt;35,BD3+BC4-BL3,IF(A4&lt;'Données projet'!$A$88,$BA$205^A4,IF(A4='Données projet'!$A$88,'Données projet'!$B$88,BD3+BC4-BL3)))</f>
        <v>1.2548684989282006</v>
      </c>
      <c r="BE4" s="14">
        <f>BD4*VLOOKUP('Données projet'!$B$11,Paramètres!$A$1:$I$89,3,0)*VLOOKUP('Données projet'!$B$11,Paramètres!$A$1:$I$89,5,0)</f>
        <v>1.3115885550797555</v>
      </c>
      <c r="BF4" s="14">
        <f>EXP(-1.0587+0.8836*LN(BE4)+0.284)</f>
        <v>0.5856498554818651</v>
      </c>
      <c r="BG4" s="22">
        <f t="shared" ref="BG4:BG67" si="7">(BE4+BF4)*0.475*44/12</f>
        <v>3.3043568983948219</v>
      </c>
      <c r="BH4" s="60">
        <f t="shared" ref="BH4:BH67" si="8">BG4+(AY4+AZ4)*44/12</f>
        <v>296.63769023172813</v>
      </c>
      <c r="BI4" s="60">
        <f ca="1">AVERAGE(OFFSET($BH$3,0,0,'Données projet'!$E$11+1,1))-AVERAGE(OFFSET($H$3,0,0,'Données projet'!$E$11+1,1))</f>
        <v>373.7520752235389</v>
      </c>
      <c r="BJ4" s="60">
        <f>$BJ$3</f>
        <v>205.19966474305761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3.4358974358974361</v>
      </c>
      <c r="BY4" s="13">
        <f>IF('Données projet'!$A$114&gt;35,BY3+BX4-CG3,IF(A4&lt;'Données projet'!$A$114,$BV$205^A4,IF(A4='Données projet'!$A$114,'Données projet'!$B$114,BY3+BX4-CG3)))</f>
        <v>1.167092777711815</v>
      </c>
      <c r="BZ4" s="14">
        <f>BY4*VLOOKUP('Données projet'!$B$12,Paramètres!$A$1:$I$89,3,0)*VLOOKUP('Données projet'!$B$12,Paramètres!$A$1:$I$89,5,0)</f>
        <v>0.54619941996912946</v>
      </c>
      <c r="CA4" s="14">
        <f>EXP(-1.0587+0.8836*LN(BZ4)+0.284)</f>
        <v>0.27006954687577245</v>
      </c>
      <c r="CB4" s="22">
        <f t="shared" ref="CB4:CB67" si="10">(BZ4+CA4)*0.475*44/12</f>
        <v>1.4216684505882042</v>
      </c>
      <c r="CC4" s="60">
        <f t="shared" ref="CC4:CC67" si="11">CB4+(BT4+BU4)*44/12</f>
        <v>294.7550017839215</v>
      </c>
      <c r="CD4" s="60">
        <f ca="1">AVERAGE(OFFSET($CC$3,0,0,'Données projet'!$E$12+1,1))-AVERAGE(OFFSET($H$3,0,0,'Données projet'!$E$12+1,1))</f>
        <v>141.31558705818316</v>
      </c>
      <c r="CE4" s="60">
        <f>$CE$3</f>
        <v>67.142010893211364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1.0531132812736255</v>
      </c>
      <c r="CV4" s="14">
        <f>EXP(-1.0587+0.8836*LN(CU4)+0.284)</f>
        <v>0.48240417112148792</v>
      </c>
      <c r="CW4" s="22">
        <f t="shared" ref="CW4:CW67" si="13">(CU4+CV4)*0.475*44/12</f>
        <v>2.6743595629214885</v>
      </c>
      <c r="CX4" s="60">
        <f t="shared" ref="CX4:CX67" si="14">CW4+(CO4+CP4)*44/12</f>
        <v>296.00769289625481</v>
      </c>
      <c r="CY4" s="60">
        <f ca="1">AVERAGE(OFFSET($CX$3,0,0,'Données projet'!$E$13+1,1))-AVERAGE(OFFSET($H$3,0,0,'Données projet'!$E$13+1,1))</f>
        <v>281.8501448773884</v>
      </c>
      <c r="CZ4" s="60">
        <f>$CZ$3</f>
        <v>161.7340631691518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1.0907244698905405</v>
      </c>
      <c r="DQ4" s="14">
        <f>EXP(-1.0587+0.8836*LN(DP4)+0.284)</f>
        <v>0.49759623852608204</v>
      </c>
      <c r="DR4" s="22">
        <f t="shared" ref="DR4:DR67" si="16">(DP4+DQ4)*0.475*44/12</f>
        <v>2.7663252338256172</v>
      </c>
      <c r="DS4" s="60">
        <f t="shared" ref="DS4:DS67" si="17">DR4+(DJ4+DK4)*44/12</f>
        <v>296.09965856715894</v>
      </c>
      <c r="DT4" s="60">
        <f ca="1">AVERAGE(OFFSET($DS$3,0,0,'Données projet'!$E$14+1,1))-AVERAGE(OFFSET($H$3,0,0,'Données projet'!$E$14+1,1))</f>
        <v>295.19398489974265</v>
      </c>
      <c r="DU4" s="60">
        <f>$DU$3</f>
        <v>168.80998104712489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4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0">
        <f t="shared" si="0"/>
        <v>297.03028566608663</v>
      </c>
      <c r="S5" s="60">
        <f ca="1">AVERAGE(OFFSET($R$3,0,0,'Données projet'!$E$9+1,1))-AVERAGE(OFFSET($H$3,0,0,'Données projet'!$E$9+1,1))</f>
        <v>341.82426415364569</v>
      </c>
      <c r="T5" s="60">
        <f t="shared" ref="T5:T68" si="34">$T$3</f>
        <v>193.53376539568887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7.4312217194570129</v>
      </c>
      <c r="AI5" s="14">
        <f>IF('Données projet'!$A$62&gt;35,AI4+AH5-AQ4,IF(A5&lt;'Données projet'!$A$62,$AF$205^A5,IF(A5='Données projet'!$A$62,'Données projet'!$B$62,AI4+AH5-AQ4)))</f>
        <v>1.7669992675293267</v>
      </c>
      <c r="AJ5" s="14">
        <f>AI5*VLOOKUP('Données projet'!$B$10,Paramètres!$A$1:$I$89,3,0)*VLOOKUP('Données projet'!$B$10,Paramètres!$A$1:$I$89,5,0)</f>
        <v>1.0566655619825374</v>
      </c>
      <c r="AK5" s="14">
        <f t="shared" ref="AK5:AK68" si="35">EXP(-1.0587+0.8836*LN(AJ5)+0.284)</f>
        <v>0.48384169076702271</v>
      </c>
      <c r="AL5" s="22">
        <f t="shared" si="4"/>
        <v>2.6830501318721502</v>
      </c>
      <c r="AM5" s="60">
        <f t="shared" si="5"/>
        <v>296.01638346520548</v>
      </c>
      <c r="AN5" s="60">
        <f ca="1">AVERAGE(OFFSET($AM$3,0,0,'Données projet'!$E$10+1,1))-AVERAGE(OFFSET($H$3,0,0,'Données projet'!$E$10+1,1))</f>
        <v>189.8516574130017</v>
      </c>
      <c r="AO5" s="60">
        <f t="shared" ref="AO5:AO68" si="36">$AO$3</f>
        <v>191.91100863555891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2.0085470085470085</v>
      </c>
      <c r="BD5" s="13">
        <f>IF('Données projet'!$A$88&gt;35,BD4+BC5-BL4,IF(A5&lt;'Données projet'!$A$88,$BA$205^A5,IF(A5='Données projet'!$A$88,'Données projet'!$B$88,BD4+BC5-BL4)))</f>
        <v>1.5746949496023155</v>
      </c>
      <c r="BE5" s="14">
        <f>BD5*VLOOKUP('Données projet'!$B$11,Paramètres!$A$1:$I$89,3,0)*VLOOKUP('Données projet'!$B$11,Paramètres!$A$1:$I$89,5,0)</f>
        <v>1.6458711613243404</v>
      </c>
      <c r="BF5" s="14">
        <f t="shared" ref="BF5:BF68" si="37">EXP(-1.0587+0.8836*LN(BE5)+0.284)</f>
        <v>0.71574681686586372</v>
      </c>
      <c r="BG5" s="22">
        <f t="shared" si="7"/>
        <v>4.1131513120146055</v>
      </c>
      <c r="BH5" s="60">
        <f t="shared" si="8"/>
        <v>297.44648464534794</v>
      </c>
      <c r="BI5" s="60">
        <f ca="1">AVERAGE(OFFSET($BH$3,0,0,'Données projet'!$E$11+1,1))-AVERAGE(OFFSET($H$3,0,0,'Données projet'!$E$11+1,1))</f>
        <v>373.7520752235389</v>
      </c>
      <c r="BJ5" s="60">
        <f t="shared" ref="BJ5:BJ68" si="38">$BJ$3</f>
        <v>205.19966474305761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3.4358974358974361</v>
      </c>
      <c r="BY5" s="13">
        <f>IF('Données projet'!$A$114&gt;35,BY4+BX5-CG4,IF(A5&lt;'Données projet'!$A$114,$BV$205^A5,IF(A5='Données projet'!$A$114,'Données projet'!$B$114,BY4+BX5-CG4)))</f>
        <v>1.3621055517870799</v>
      </c>
      <c r="BZ5" s="14">
        <f>BY5*VLOOKUP('Données projet'!$B$12,Paramètres!$A$1:$I$89,3,0)*VLOOKUP('Données projet'!$B$12,Paramètres!$A$1:$I$89,5,0)</f>
        <v>0.6374653982363534</v>
      </c>
      <c r="CA5" s="14">
        <f t="shared" ref="CA5:CA68" si="39">EXP(-1.0587+0.8836*LN(BZ5)+0.284)</f>
        <v>0.30957788644599227</v>
      </c>
      <c r="CB5" s="22">
        <f t="shared" si="10"/>
        <v>1.6494337208217518</v>
      </c>
      <c r="CC5" s="60">
        <f t="shared" si="11"/>
        <v>294.98276705415509</v>
      </c>
      <c r="CD5" s="60">
        <f ca="1">AVERAGE(OFFSET($CC$3,0,0,'Données projet'!$E$12+1,1))-AVERAGE(OFFSET($H$3,0,0,'Données projet'!$E$12+1,1))</f>
        <v>141.31558705818316</v>
      </c>
      <c r="CE5" s="60">
        <f t="shared" ref="CE5:CE68" si="40">$CE$3</f>
        <v>67.142010893211364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1.2695141749025896</v>
      </c>
      <c r="CV5" s="14">
        <f t="shared" ref="CV5:CV68" si="41">EXP(-1.0587+0.8836*LN(CU5)+0.284)</f>
        <v>0.56901826609700534</v>
      </c>
      <c r="CW5" s="22">
        <f t="shared" si="13"/>
        <v>3.2021106680742939</v>
      </c>
      <c r="CX5" s="60">
        <f t="shared" si="14"/>
        <v>296.5354440014076</v>
      </c>
      <c r="CY5" s="60">
        <f ca="1">AVERAGE(OFFSET($CX$3,0,0,'Données projet'!$E$13+1,1))-AVERAGE(OFFSET($H$3,0,0,'Données projet'!$E$13+1,1))</f>
        <v>281.8501448773884</v>
      </c>
      <c r="CZ5" s="60">
        <f t="shared" ref="CZ5:CZ68" si="42">$CZ$3</f>
        <v>161.7340631691518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1.3148539668633961</v>
      </c>
      <c r="DQ5" s="14">
        <f t="shared" ref="DQ5:DQ68" si="43">EXP(-1.0587+0.8836*LN(DP5)+0.284)</f>
        <v>0.58693801963664449</v>
      </c>
      <c r="DR5" s="22">
        <f t="shared" si="16"/>
        <v>3.3122877098209038</v>
      </c>
      <c r="DS5" s="60">
        <f t="shared" si="17"/>
        <v>296.64562104315422</v>
      </c>
      <c r="DT5" s="60">
        <f ca="1">AVERAGE(OFFSET($DS$3,0,0,'Données projet'!$E$14+1,1))-AVERAGE(OFFSET($H$3,0,0,'Données projet'!$E$14+1,1))</f>
        <v>295.19398489974265</v>
      </c>
      <c r="DU5" s="60">
        <f t="shared" ref="DU5:DU68" si="44">$DU$3</f>
        <v>168.80998104712489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4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60">
        <f t="shared" si="0"/>
        <v>297.76063455825545</v>
      </c>
      <c r="S6" s="60">
        <f ca="1">AVERAGE(OFFSET($R$3,0,0,'Données projet'!$E$9+1,1))-AVERAGE(OFFSET($H$3,0,0,'Données projet'!$E$9+1,1))</f>
        <v>341.82426415364569</v>
      </c>
      <c r="T6" s="60">
        <f t="shared" si="34"/>
        <v>193.53376539568887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7.4312217194570129</v>
      </c>
      <c r="AI6" s="14">
        <f>IF('Données projet'!$A$62&gt;35,AI5+AH6-AQ5,IF(A6&lt;'Données projet'!$A$62,$AF$205^A6,IF(A6='Données projet'!$A$62,'Données projet'!$B$62,AI5+AH6-AQ5)))</f>
        <v>2.3488460575455909</v>
      </c>
      <c r="AJ6" s="14">
        <f>AI6*VLOOKUP('Données projet'!$B$10,Paramètres!$A$1:$I$89,3,0)*VLOOKUP('Données projet'!$B$10,Paramètres!$A$1:$I$89,5,0)</f>
        <v>1.4046099424122636</v>
      </c>
      <c r="AK6" s="14">
        <f t="shared" si="35"/>
        <v>0.62220330714804695</v>
      </c>
      <c r="AL6" s="22">
        <f t="shared" si="4"/>
        <v>3.5300330763175403</v>
      </c>
      <c r="AM6" s="60">
        <f t="shared" si="5"/>
        <v>296.86336640965084</v>
      </c>
      <c r="AN6" s="60">
        <f ca="1">AVERAGE(OFFSET($AM$3,0,0,'Données projet'!$E$10+1,1))-AVERAGE(OFFSET($H$3,0,0,'Données projet'!$E$10+1,1))</f>
        <v>189.8516574130017</v>
      </c>
      <c r="AO6" s="60">
        <f t="shared" si="36"/>
        <v>191.91100863555891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2.0085470085470085</v>
      </c>
      <c r="BD6" s="13">
        <f>IF('Données projet'!$A$88&gt;35,BD5+BC6-BL5,IF(A6&lt;'Données projet'!$A$88,$BA$205^A6,IF(A6='Données projet'!$A$88,'Données projet'!$B$88,BD5+BC6-BL5)))</f>
        <v>1.9760350876772761</v>
      </c>
      <c r="BE6" s="14">
        <f>BD6*VLOOKUP('Données projet'!$B$11,Paramètres!$A$1:$I$89,3,0)*VLOOKUP('Données projet'!$B$11,Paramètres!$A$1:$I$89,5,0)</f>
        <v>2.0653518736402892</v>
      </c>
      <c r="BF6" s="14">
        <f t="shared" si="37"/>
        <v>0.87474367330306557</v>
      </c>
      <c r="BG6" s="22">
        <f t="shared" si="7"/>
        <v>5.1206664109263427</v>
      </c>
      <c r="BH6" s="60">
        <f t="shared" si="8"/>
        <v>298.45399974425965</v>
      </c>
      <c r="BI6" s="60">
        <f ca="1">AVERAGE(OFFSET($BH$3,0,0,'Données projet'!$E$11+1,1))-AVERAGE(OFFSET($H$3,0,0,'Données projet'!$E$11+1,1))</f>
        <v>373.7520752235389</v>
      </c>
      <c r="BJ6" s="60">
        <f t="shared" si="38"/>
        <v>205.19966474305761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3.4358974358974361</v>
      </c>
      <c r="BY6" s="13">
        <f>IF('Données projet'!$A$114&gt;35,BY5+BX6-CG5,IF(A6&lt;'Données projet'!$A$114,$BV$205^A6,IF(A6='Données projet'!$A$114,'Données projet'!$B$114,BY5+BX6-CG5)))</f>
        <v>1.5897035519718676</v>
      </c>
      <c r="BZ6" s="14">
        <f>BY6*VLOOKUP('Données projet'!$B$12,Paramètres!$A$1:$I$89,3,0)*VLOOKUP('Données projet'!$B$12,Paramètres!$A$1:$I$89,5,0)</f>
        <v>0.74398126232283412</v>
      </c>
      <c r="CA6" s="14">
        <f t="shared" si="39"/>
        <v>0.35486588134445163</v>
      </c>
      <c r="CB6" s="22">
        <f t="shared" si="10"/>
        <v>1.9138254418871894</v>
      </c>
      <c r="CC6" s="60">
        <f t="shared" si="11"/>
        <v>295.2471587752205</v>
      </c>
      <c r="CD6" s="60">
        <f ca="1">AVERAGE(OFFSET($CC$3,0,0,'Données projet'!$E$12+1,1))-AVERAGE(OFFSET($H$3,0,0,'Données projet'!$E$12+1,1))</f>
        <v>141.31558705818316</v>
      </c>
      <c r="CE6" s="60">
        <f t="shared" si="40"/>
        <v>67.142010893211364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1.5303825988496398</v>
      </c>
      <c r="CV6" s="14">
        <f t="shared" si="41"/>
        <v>0.67118363922790714</v>
      </c>
      <c r="CW6" s="22">
        <f t="shared" si="13"/>
        <v>3.8343945313183934</v>
      </c>
      <c r="CX6" s="60">
        <f t="shared" si="14"/>
        <v>297.16772786465168</v>
      </c>
      <c r="CY6" s="60">
        <f ca="1">AVERAGE(OFFSET($CX$3,0,0,'Données projet'!$E$13+1,1))-AVERAGE(OFFSET($H$3,0,0,'Données projet'!$E$13+1,1))</f>
        <v>281.8501448773884</v>
      </c>
      <c r="CZ6" s="60">
        <f t="shared" si="42"/>
        <v>161.7340631691518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1.5850391202371266</v>
      </c>
      <c r="DQ6" s="14">
        <f t="shared" si="43"/>
        <v>0.69232082604846479</v>
      </c>
      <c r="DR6" s="22">
        <f t="shared" si="16"/>
        <v>3.966401906447405</v>
      </c>
      <c r="DS6" s="60">
        <f t="shared" si="17"/>
        <v>297.29973523978072</v>
      </c>
      <c r="DT6" s="60">
        <f ca="1">AVERAGE(OFFSET($DS$3,0,0,'Données projet'!$E$14+1,1))-AVERAGE(OFFSET($H$3,0,0,'Données projet'!$E$14+1,1))</f>
        <v>295.19398489974265</v>
      </c>
      <c r="DU6" s="60">
        <f t="shared" si="44"/>
        <v>168.80998104712489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4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60">
        <f t="shared" si="0"/>
        <v>298.63579511828317</v>
      </c>
      <c r="S7" s="60">
        <f ca="1">AVERAGE(OFFSET($R$3,0,0,'Données projet'!$E$9+1,1))-AVERAGE(OFFSET($H$3,0,0,'Données projet'!$E$9+1,1))</f>
        <v>341.82426415364569</v>
      </c>
      <c r="T7" s="60">
        <f t="shared" si="34"/>
        <v>193.53376539568887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7.4312217194570129</v>
      </c>
      <c r="AI7" s="14">
        <f>IF('Données projet'!$A$62&gt;35,AI6+AH7-AQ6,IF(A7&lt;'Données projet'!$A$62,$AF$205^A7,IF(A7='Données projet'!$A$62,'Données projet'!$B$62,AI6+AH7-AQ6)))</f>
        <v>3.1222864114491768</v>
      </c>
      <c r="AJ7" s="14">
        <f>AI7*VLOOKUP('Données projet'!$B$10,Paramètres!$A$1:$I$89,3,0)*VLOOKUP('Données projet'!$B$10,Paramètres!$A$1:$I$89,5,0)</f>
        <v>1.8671272740466078</v>
      </c>
      <c r="AK7" s="14">
        <f t="shared" si="35"/>
        <v>0.80013145376589556</v>
      </c>
      <c r="AL7" s="22">
        <f t="shared" si="4"/>
        <v>4.6454756176067766</v>
      </c>
      <c r="AM7" s="60">
        <f t="shared" si="5"/>
        <v>297.97880895094011</v>
      </c>
      <c r="AN7" s="60">
        <f ca="1">AVERAGE(OFFSET($AM$3,0,0,'Données projet'!$E$10+1,1))-AVERAGE(OFFSET($H$3,0,0,'Données projet'!$E$10+1,1))</f>
        <v>189.8516574130017</v>
      </c>
      <c r="AO7" s="60">
        <f t="shared" si="36"/>
        <v>191.91100863555891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2.0085470085470085</v>
      </c>
      <c r="BD7" s="13">
        <f>IF('Données projet'!$A$88&gt;35,BD6+BC7-BL6,IF(A7&lt;'Données projet'!$A$88,$BA$205^A7,IF(A7='Données projet'!$A$88,'Données projet'!$B$88,BD6+BC7-BL6)))</f>
        <v>2.4796641843030387</v>
      </c>
      <c r="BE7" s="14">
        <f>BD7*VLOOKUP('Données projet'!$B$11,Paramètres!$A$1:$I$89,3,0)*VLOOKUP('Données projet'!$B$11,Paramètres!$A$1:$I$89,5,0)</f>
        <v>2.5917450054335363</v>
      </c>
      <c r="BF7" s="14">
        <f t="shared" si="37"/>
        <v>1.069060282146026</v>
      </c>
      <c r="BG7" s="22">
        <f t="shared" si="7"/>
        <v>6.375902542534404</v>
      </c>
      <c r="BH7" s="60">
        <f t="shared" si="8"/>
        <v>299.70923587586771</v>
      </c>
      <c r="BI7" s="60">
        <f ca="1">AVERAGE(OFFSET($BH$3,0,0,'Données projet'!$E$11+1,1))-AVERAGE(OFFSET($H$3,0,0,'Données projet'!$E$11+1,1))</f>
        <v>373.7520752235389</v>
      </c>
      <c r="BJ7" s="60">
        <f t="shared" si="38"/>
        <v>205.19966474305761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3.4358974358974361</v>
      </c>
      <c r="BY7" s="13">
        <f>IF('Données projet'!$A$114&gt;35,BY6+BX7-CG6,IF(A7&lt;'Données projet'!$A$114,$BV$205^A7,IF(A7='Données projet'!$A$114,'Données projet'!$B$114,BY6+BX7-CG6)))</f>
        <v>1.8553315342091854</v>
      </c>
      <c r="BZ7" s="14">
        <f>BY7*VLOOKUP('Données projet'!$B$12,Paramètres!$A$1:$I$89,3,0)*VLOOKUP('Données projet'!$B$12,Paramètres!$A$1:$I$89,5,0)</f>
        <v>0.86829515800989876</v>
      </c>
      <c r="CA7" s="14">
        <f t="shared" si="39"/>
        <v>0.4067790344719715</v>
      </c>
      <c r="CB7" s="22">
        <f t="shared" si="10"/>
        <v>2.2207542185725906</v>
      </c>
      <c r="CC7" s="60">
        <f t="shared" si="11"/>
        <v>295.55408755190592</v>
      </c>
      <c r="CD7" s="60">
        <f ca="1">AVERAGE(OFFSET($CC$3,0,0,'Données projet'!$E$12+1,1))-AVERAGE(OFFSET($H$3,0,0,'Données projet'!$E$12+1,1))</f>
        <v>141.31558705818316</v>
      </c>
      <c r="CE7" s="60">
        <f t="shared" si="40"/>
        <v>67.142010893211364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1.8448560442749571</v>
      </c>
      <c r="CV7" s="14">
        <f t="shared" si="41"/>
        <v>0.7916924717675391</v>
      </c>
      <c r="CW7" s="22">
        <f t="shared" si="13"/>
        <v>4.5919886654406801</v>
      </c>
      <c r="CX7" s="60">
        <f t="shared" si="14"/>
        <v>297.925321998774</v>
      </c>
      <c r="CY7" s="60">
        <f ca="1">AVERAGE(OFFSET($CX$3,0,0,'Données projet'!$E$13+1,1))-AVERAGE(OFFSET($H$3,0,0,'Données projet'!$E$13+1,1))</f>
        <v>281.8501448773884</v>
      </c>
      <c r="CZ7" s="60">
        <f t="shared" si="42"/>
        <v>161.7340631691518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1.9107437601419195</v>
      </c>
      <c r="DQ7" s="14">
        <f t="shared" si="43"/>
        <v>0.81662477151702284</v>
      </c>
      <c r="DR7" s="22">
        <f t="shared" si="16"/>
        <v>4.7501668593059909</v>
      </c>
      <c r="DS7" s="60">
        <f t="shared" si="17"/>
        <v>298.08350019263929</v>
      </c>
      <c r="DT7" s="60">
        <f ca="1">AVERAGE(OFFSET($DS$3,0,0,'Données projet'!$E$14+1,1))-AVERAGE(OFFSET($H$3,0,0,'Données projet'!$E$14+1,1))</f>
        <v>295.19398489974265</v>
      </c>
      <c r="DU7" s="60">
        <f t="shared" si="44"/>
        <v>168.80998104712489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4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60">
        <f t="shared" si="0"/>
        <v>299.68457884920798</v>
      </c>
      <c r="S8" s="60">
        <f ca="1">AVERAGE(OFFSET($R$3,0,0,'Données projet'!$E$9+1,1))-AVERAGE(OFFSET($H$3,0,0,'Données projet'!$E$9+1,1))</f>
        <v>341.82426415364569</v>
      </c>
      <c r="T8" s="60">
        <f t="shared" si="34"/>
        <v>193.53376539568887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7.4312217194570129</v>
      </c>
      <c r="AI8" s="14">
        <f>IF('Données projet'!$A$62&gt;35,AI7+AH8-AQ7,IF(A8&lt;'Données projet'!$A$62,$AF$205^A8,IF(A8='Données projet'!$A$62,'Données projet'!$B$62,AI7+AH8-AQ7)))</f>
        <v>4.1504092632222056</v>
      </c>
      <c r="AJ8" s="14">
        <f>AI8*VLOOKUP('Données projet'!$B$10,Paramètres!$A$1:$I$89,3,0)*VLOOKUP('Données projet'!$B$10,Paramètres!$A$1:$I$89,5,0)</f>
        <v>2.4819447394068792</v>
      </c>
      <c r="AK8" s="14">
        <f t="shared" si="35"/>
        <v>1.0289407593154982</v>
      </c>
      <c r="AL8" s="22">
        <f t="shared" si="4"/>
        <v>6.1147922436081394</v>
      </c>
      <c r="AM8" s="60">
        <f t="shared" si="5"/>
        <v>299.44812557694144</v>
      </c>
      <c r="AN8" s="60">
        <f ca="1">AVERAGE(OFFSET($AM$3,0,0,'Données projet'!$E$10+1,1))-AVERAGE(OFFSET($H$3,0,0,'Données projet'!$E$10+1,1))</f>
        <v>189.8516574130017</v>
      </c>
      <c r="AO8" s="60">
        <f t="shared" si="36"/>
        <v>191.91100863555891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2.0085470085470085</v>
      </c>
      <c r="BD8" s="13">
        <f>IF('Données projet'!$A$88&gt;35,BD7+BC8-BL7,IF(A8&lt;'Données projet'!$A$88,$BA$205^A8,IF(A8='Données projet'!$A$88,'Données projet'!$B$88,BD7+BC8-BL7)))</f>
        <v>3.1116524728023753</v>
      </c>
      <c r="BE8" s="14">
        <f>BD8*VLOOKUP('Données projet'!$B$11,Paramètres!$A$1:$I$89,3,0)*VLOOKUP('Données projet'!$B$11,Paramètres!$A$1:$I$89,5,0)</f>
        <v>3.2522991645730426</v>
      </c>
      <c r="BF8" s="14">
        <f t="shared" si="37"/>
        <v>1.3065426155602187</v>
      </c>
      <c r="BG8" s="22">
        <f t="shared" si="7"/>
        <v>7.9399827670654304</v>
      </c>
      <c r="BH8" s="60">
        <f t="shared" si="8"/>
        <v>301.27331610039874</v>
      </c>
      <c r="BI8" s="60">
        <f ca="1">AVERAGE(OFFSET($BH$3,0,0,'Données projet'!$E$11+1,1))-AVERAGE(OFFSET($H$3,0,0,'Données projet'!$E$11+1,1))</f>
        <v>373.7520752235389</v>
      </c>
      <c r="BJ8" s="60">
        <f t="shared" si="38"/>
        <v>205.19966474305761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3.4358974358974361</v>
      </c>
      <c r="BY8" s="13">
        <f>IF('Données projet'!$A$114&gt;35,BY7+BX8-CG7,IF(A8&lt;'Données projet'!$A$114,$BV$205^A8,IF(A8='Données projet'!$A$114,'Données projet'!$B$114,BY7+BX8-CG7)))</f>
        <v>2.1653440338365213</v>
      </c>
      <c r="BZ8" s="14">
        <f>BY8*VLOOKUP('Données projet'!$B$12,Paramètres!$A$1:$I$89,3,0)*VLOOKUP('Données projet'!$B$12,Paramètres!$A$1:$I$89,5,0)</f>
        <v>1.0133810078354919</v>
      </c>
      <c r="CA8" s="14">
        <f t="shared" si="39"/>
        <v>0.46628653692783789</v>
      </c>
      <c r="CB8" s="22">
        <f t="shared" si="10"/>
        <v>2.5770876404627994</v>
      </c>
      <c r="CC8" s="60">
        <f t="shared" si="11"/>
        <v>295.91042097379614</v>
      </c>
      <c r="CD8" s="60">
        <f ca="1">AVERAGE(OFFSET($CC$3,0,0,'Données projet'!$E$12+1,1))-AVERAGE(OFFSET($H$3,0,0,'Données projet'!$E$12+1,1))</f>
        <v>141.31558705818316</v>
      </c>
      <c r="CE8" s="60">
        <f t="shared" si="40"/>
        <v>67.142010893211364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2.2239496362910725</v>
      </c>
      <c r="CV8" s="14">
        <f t="shared" si="41"/>
        <v>0.9338382720031817</v>
      </c>
      <c r="CW8" s="22">
        <f t="shared" si="13"/>
        <v>5.4998139402791582</v>
      </c>
      <c r="CX8" s="60">
        <f t="shared" si="14"/>
        <v>298.8331472736125</v>
      </c>
      <c r="CY8" s="60">
        <f ca="1">AVERAGE(OFFSET($CX$3,0,0,'Données projet'!$E$13+1,1))-AVERAGE(OFFSET($H$3,0,0,'Données projet'!$E$13+1,1))</f>
        <v>281.8501448773884</v>
      </c>
      <c r="CZ8" s="60">
        <f t="shared" si="42"/>
        <v>161.7340631691518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2.3033764090157529</v>
      </c>
      <c r="DQ8" s="14">
        <f t="shared" si="43"/>
        <v>0.96324708482559218</v>
      </c>
      <c r="DR8" s="22">
        <f t="shared" si="16"/>
        <v>5.6893692517736758</v>
      </c>
      <c r="DS8" s="60">
        <f t="shared" si="17"/>
        <v>299.02270258510697</v>
      </c>
      <c r="DT8" s="60">
        <f ca="1">AVERAGE(OFFSET($DS$3,0,0,'Données projet'!$E$14+1,1))-AVERAGE(OFFSET($H$3,0,0,'Données projet'!$E$14+1,1))</f>
        <v>295.19398489974265</v>
      </c>
      <c r="DU8" s="60">
        <f t="shared" si="44"/>
        <v>168.80998104712489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4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60">
        <f t="shared" si="0"/>
        <v>300.9415478972038</v>
      </c>
      <c r="S9" s="60">
        <f ca="1">AVERAGE(OFFSET($R$3,0,0,'Données projet'!$E$9+1,1))-AVERAGE(OFFSET($H$3,0,0,'Données projet'!$E$9+1,1))</f>
        <v>341.82426415364569</v>
      </c>
      <c r="T9" s="60">
        <f t="shared" si="34"/>
        <v>193.53376539568887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7.4312217194570129</v>
      </c>
      <c r="AI9" s="14">
        <f>IF('Données projet'!$A$62&gt;35,AI8+AH9-AQ8,IF(A9&lt;'Données projet'!$A$62,$AF$205^A9,IF(A9='Données projet'!$A$62,'Données projet'!$B$62,AI8+AH9-AQ8)))</f>
        <v>5.5170778020474653</v>
      </c>
      <c r="AJ9" s="14">
        <f>AI9*VLOOKUP('Données projet'!$B$10,Paramètres!$A$1:$I$89,3,0)*VLOOKUP('Données projet'!$B$10,Paramètres!$A$1:$I$89,5,0)</f>
        <v>3.2992125256243843</v>
      </c>
      <c r="AK9" s="14">
        <f t="shared" si="35"/>
        <v>1.3231814362474952</v>
      </c>
      <c r="AL9" s="22">
        <f t="shared" si="4"/>
        <v>8.0506694835935235</v>
      </c>
      <c r="AM9" s="60">
        <f t="shared" si="5"/>
        <v>301.38400281692685</v>
      </c>
      <c r="AN9" s="60">
        <f ca="1">AVERAGE(OFFSET($AM$3,0,0,'Données projet'!$E$10+1,1))-AVERAGE(OFFSET($H$3,0,0,'Données projet'!$E$10+1,1))</f>
        <v>189.8516574130017</v>
      </c>
      <c r="AO9" s="60">
        <f t="shared" si="36"/>
        <v>191.91100863555891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2.0085470085470085</v>
      </c>
      <c r="BD9" s="13">
        <f>IF('Données projet'!$A$88&gt;35,BD8+BC9-BL8,IF(A9&lt;'Données projet'!$A$88,$BA$205^A9,IF(A9='Données projet'!$A$88,'Données projet'!$B$88,BD8+BC9-BL8)))</f>
        <v>3.9047146677317404</v>
      </c>
      <c r="BE9" s="14">
        <f>BD9*VLOOKUP('Données projet'!$B$11,Paramètres!$A$1:$I$89,3,0)*VLOOKUP('Données projet'!$B$11,Paramètres!$A$1:$I$89,5,0)</f>
        <v>4.0812077707132151</v>
      </c>
      <c r="BF9" s="14">
        <f t="shared" si="37"/>
        <v>1.5967795593792025</v>
      </c>
      <c r="BG9" s="22">
        <f t="shared" si="7"/>
        <v>9.8891612665776254</v>
      </c>
      <c r="BH9" s="60">
        <f t="shared" si="8"/>
        <v>303.22249459991093</v>
      </c>
      <c r="BI9" s="60">
        <f ca="1">AVERAGE(OFFSET($BH$3,0,0,'Données projet'!$E$11+1,1))-AVERAGE(OFFSET($H$3,0,0,'Données projet'!$E$11+1,1))</f>
        <v>373.7520752235389</v>
      </c>
      <c r="BJ9" s="60">
        <f t="shared" si="38"/>
        <v>205.19966474305761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3.4358974358974361</v>
      </c>
      <c r="BY9" s="13">
        <f>IF('Données projet'!$A$114&gt;35,BY8+BX9-CG8,IF(A9&lt;'Données projet'!$A$114,$BV$205^A9,IF(A9='Données projet'!$A$114,'Données projet'!$B$114,BY8+BX9-CG8)))</f>
        <v>2.5271573831519722</v>
      </c>
      <c r="BZ9" s="14">
        <f>BY9*VLOOKUP('Données projet'!$B$12,Paramètres!$A$1:$I$89,3,0)*VLOOKUP('Données projet'!$B$12,Paramètres!$A$1:$I$89,5,0)</f>
        <v>1.1827096553151231</v>
      </c>
      <c r="CA9" s="14">
        <f t="shared" si="39"/>
        <v>0.53449936229478223</v>
      </c>
      <c r="CB9" s="22">
        <f t="shared" si="10"/>
        <v>2.990805705670585</v>
      </c>
      <c r="CC9" s="60">
        <f t="shared" si="11"/>
        <v>296.32413903900391</v>
      </c>
      <c r="CD9" s="60">
        <f ca="1">AVERAGE(OFFSET($CC$3,0,0,'Données projet'!$E$12+1,1))-AVERAGE(OFFSET($H$3,0,0,'Données projet'!$E$12+1,1))</f>
        <v>141.31558705818316</v>
      </c>
      <c r="CE9" s="60">
        <f t="shared" si="40"/>
        <v>67.142010893211364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2.6809419629828031</v>
      </c>
      <c r="CV9" s="14">
        <f t="shared" si="41"/>
        <v>1.1015058868893037</v>
      </c>
      <c r="CW9" s="22">
        <f t="shared" si="13"/>
        <v>6.5877633385272532</v>
      </c>
      <c r="CX9" s="60">
        <f t="shared" si="14"/>
        <v>299.9210966718606</v>
      </c>
      <c r="CY9" s="60">
        <f ca="1">AVERAGE(OFFSET($CX$3,0,0,'Données projet'!$E$13+1,1))-AVERAGE(OFFSET($H$3,0,0,'Données projet'!$E$13+1,1))</f>
        <v>281.8501448773884</v>
      </c>
      <c r="CZ9" s="60">
        <f t="shared" si="42"/>
        <v>161.7340631691518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2.7766898902321886</v>
      </c>
      <c r="DQ9" s="14">
        <f t="shared" si="43"/>
        <v>1.1361949561012803</v>
      </c>
      <c r="DR9" s="22">
        <f t="shared" si="16"/>
        <v>6.8149411073641248</v>
      </c>
      <c r="DS9" s="60">
        <f t="shared" si="17"/>
        <v>300.14827444069743</v>
      </c>
      <c r="DT9" s="60">
        <f ca="1">AVERAGE(OFFSET($DS$3,0,0,'Données projet'!$E$14+1,1))-AVERAGE(OFFSET($H$3,0,0,'Données projet'!$E$14+1,1))</f>
        <v>295.19398489974265</v>
      </c>
      <c r="DU9" s="60">
        <f t="shared" si="44"/>
        <v>168.80998104712489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4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60">
        <f t="shared" si="0"/>
        <v>302.44816625650515</v>
      </c>
      <c r="S10" s="60">
        <f ca="1">AVERAGE(OFFSET($R$3,0,0,'Données projet'!$E$9+1,1))-AVERAGE(OFFSET($H$3,0,0,'Données projet'!$E$9+1,1))</f>
        <v>341.82426415364569</v>
      </c>
      <c r="T10" s="60">
        <f t="shared" si="34"/>
        <v>193.53376539568887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7.4312217194570129</v>
      </c>
      <c r="AI10" s="14">
        <f>IF('Données projet'!$A$62&gt;35,AI9+AH10-AQ9,IF(A10&lt;'Données projet'!$A$62,$AF$205^A10,IF(A10='Données projet'!$A$62,'Données projet'!$B$62,AI9+AH10-AQ9)))</f>
        <v>7.3337701280605696</v>
      </c>
      <c r="AJ10" s="14">
        <f>AI10*VLOOKUP('Données projet'!$B$10,Paramètres!$A$1:$I$89,3,0)*VLOOKUP('Données projet'!$B$10,Paramètres!$A$1:$I$89,5,0)</f>
        <v>4.3855945365802205</v>
      </c>
      <c r="AK10" s="14">
        <f t="shared" si="35"/>
        <v>1.7015645433219191</v>
      </c>
      <c r="AL10" s="22">
        <f t="shared" si="4"/>
        <v>10.601802064162893</v>
      </c>
      <c r="AM10" s="60">
        <f t="shared" si="5"/>
        <v>303.9351353974962</v>
      </c>
      <c r="AN10" s="60">
        <f ca="1">AVERAGE(OFFSET($AM$3,0,0,'Données projet'!$E$10+1,1))-AVERAGE(OFFSET($H$3,0,0,'Données projet'!$E$10+1,1))</f>
        <v>189.8516574130017</v>
      </c>
      <c r="AO10" s="60">
        <f t="shared" si="36"/>
        <v>191.91100863555891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2.0085470085470085</v>
      </c>
      <c r="BD10" s="13">
        <f>IF('Données projet'!$A$88&gt;35,BD9+BC10-BL9,IF(A10&lt;'Données projet'!$A$88,$BA$205^A10,IF(A10='Données projet'!$A$88,'Données projet'!$B$88,BD9+BC10-BL9)))</f>
        <v>4.899903433839456</v>
      </c>
      <c r="BE10" s="14">
        <f>BD10*VLOOKUP('Données projet'!$B$11,Paramètres!$A$1:$I$89,3,0)*VLOOKUP('Données projet'!$B$11,Paramètres!$A$1:$I$89,5,0)</f>
        <v>5.1213790690489995</v>
      </c>
      <c r="BF10" s="14">
        <f t="shared" si="37"/>
        <v>1.9514900860374758</v>
      </c>
      <c r="BG10" s="22">
        <f t="shared" si="7"/>
        <v>12.318580445108942</v>
      </c>
      <c r="BH10" s="60">
        <f t="shared" si="8"/>
        <v>305.65191377844224</v>
      </c>
      <c r="BI10" s="60">
        <f ca="1">AVERAGE(OFFSET($BH$3,0,0,'Données projet'!$E$11+1,1))-AVERAGE(OFFSET($H$3,0,0,'Données projet'!$E$11+1,1))</f>
        <v>373.7520752235389</v>
      </c>
      <c r="BJ10" s="60">
        <f t="shared" si="38"/>
        <v>205.19966474305761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3.4358974358974361</v>
      </c>
      <c r="BY10" s="13">
        <f>IF('Données projet'!$A$114&gt;35,BY9+BX10-CG9,IF(A10&lt;'Données projet'!$A$114,$BV$205^A10,IF(A10='Données projet'!$A$114,'Données projet'!$B$114,BY9+BX10-CG9)))</f>
        <v>2.9494271300177566</v>
      </c>
      <c r="BZ10" s="14">
        <f>BY10*VLOOKUP('Données projet'!$B$12,Paramètres!$A$1:$I$89,3,0)*VLOOKUP('Données projet'!$B$12,Paramètres!$A$1:$I$89,5,0)</f>
        <v>1.38033189684831</v>
      </c>
      <c r="CA10" s="14">
        <f t="shared" si="39"/>
        <v>0.6126910079279041</v>
      </c>
      <c r="CB10" s="22">
        <f t="shared" si="10"/>
        <v>3.4711815591519066</v>
      </c>
      <c r="CC10" s="60">
        <f t="shared" si="11"/>
        <v>296.8045148924852</v>
      </c>
      <c r="CD10" s="60">
        <f ca="1">AVERAGE(OFFSET($CC$3,0,0,'Données projet'!$E$12+1,1))-AVERAGE(OFFSET($H$3,0,0,'Données projet'!$E$12+1,1))</f>
        <v>141.31558705818316</v>
      </c>
      <c r="CE10" s="60">
        <f t="shared" si="40"/>
        <v>67.142010893211364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3.2318401872034968</v>
      </c>
      <c r="CV10" s="14">
        <f t="shared" si="41"/>
        <v>1.2992776749758848</v>
      </c>
      <c r="CW10" s="22">
        <f t="shared" si="13"/>
        <v>7.8916969432957558</v>
      </c>
      <c r="CX10" s="60">
        <f t="shared" si="14"/>
        <v>301.22503027662907</v>
      </c>
      <c r="CY10" s="60">
        <f ca="1">AVERAGE(OFFSET($CX$3,0,0,'Données projet'!$E$13+1,1))-AVERAGE(OFFSET($H$3,0,0,'Données projet'!$E$13+1,1))</f>
        <v>281.8501448773884</v>
      </c>
      <c r="CZ10" s="60">
        <f t="shared" si="42"/>
        <v>161.7340631691518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3.3472630510321921</v>
      </c>
      <c r="DQ10" s="14">
        <f t="shared" si="43"/>
        <v>1.34019505338418</v>
      </c>
      <c r="DR10" s="22">
        <f t="shared" si="16"/>
        <v>8.1639895318585136</v>
      </c>
      <c r="DS10" s="60">
        <f t="shared" si="17"/>
        <v>301.49732286519185</v>
      </c>
      <c r="DT10" s="60">
        <f ca="1">AVERAGE(OFFSET($DS$3,0,0,'Données projet'!$E$14+1,1))-AVERAGE(OFFSET($H$3,0,0,'Données projet'!$E$14+1,1))</f>
        <v>295.19398489974265</v>
      </c>
      <c r="DU10" s="60">
        <f t="shared" si="44"/>
        <v>168.80998104712489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4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60">
        <f t="shared" si="0"/>
        <v>304.25418205982345</v>
      </c>
      <c r="S11" s="60">
        <f ca="1">AVERAGE(OFFSET($R$3,0,0,'Données projet'!$E$9+1,1))-AVERAGE(OFFSET($H$3,0,0,'Données projet'!$E$9+1,1))</f>
        <v>341.82426415364569</v>
      </c>
      <c r="T11" s="60">
        <f t="shared" si="34"/>
        <v>193.53376539568887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7.4312217194570129</v>
      </c>
      <c r="AI11" s="14">
        <f>IF('Données projet'!$A$62&gt;35,AI10+AH11-AQ10,IF(A11&lt;'Données projet'!$A$62,$AF$205^A11,IF(A11='Données projet'!$A$62,'Données projet'!$B$62,AI10+AH11-AQ10)))</f>
        <v>9.748672435120179</v>
      </c>
      <c r="AJ11" s="14">
        <f>AI11*VLOOKUP('Données projet'!$B$10,Paramètres!$A$1:$I$89,3,0)*VLOOKUP('Données projet'!$B$10,Paramètres!$A$1:$I$89,5,0)</f>
        <v>5.8297061162018684</v>
      </c>
      <c r="AK11" s="14">
        <f t="shared" si="35"/>
        <v>2.1881518405377438</v>
      </c>
      <c r="AL11" s="22">
        <f t="shared" si="4"/>
        <v>13.96443594132149</v>
      </c>
      <c r="AM11" s="60">
        <f t="shared" si="5"/>
        <v>307.2977692746548</v>
      </c>
      <c r="AN11" s="60">
        <f ca="1">AVERAGE(OFFSET($AM$3,0,0,'Données projet'!$E$10+1,1))-AVERAGE(OFFSET($H$3,0,0,'Données projet'!$E$10+1,1))</f>
        <v>189.8516574130017</v>
      </c>
      <c r="AO11" s="60">
        <f t="shared" si="36"/>
        <v>191.91100863555891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2.0085470085470085</v>
      </c>
      <c r="BD11" s="13">
        <f>IF('Données projet'!$A$88&gt;35,BD10+BC11-BL10,IF(A11&lt;'Données projet'!$A$88,$BA$205^A11,IF(A11='Données projet'!$A$88,'Données projet'!$B$88,BD10+BC11-BL10)))</f>
        <v>6.1487344669152542</v>
      </c>
      <c r="BE11" s="14">
        <f>BD11*VLOOKUP('Données projet'!$B$11,Paramètres!$A$1:$I$89,3,0)*VLOOKUP('Données projet'!$B$11,Paramètres!$A$1:$I$89,5,0)</f>
        <v>6.4266572648198244</v>
      </c>
      <c r="BF11" s="14">
        <f t="shared" si="37"/>
        <v>2.3849964345630501</v>
      </c>
      <c r="BG11" s="22">
        <f t="shared" si="7"/>
        <v>15.346963526425172</v>
      </c>
      <c r="BH11" s="60">
        <f t="shared" si="8"/>
        <v>308.68029685975847</v>
      </c>
      <c r="BI11" s="60">
        <f ca="1">AVERAGE(OFFSET($BH$3,0,0,'Données projet'!$E$11+1,1))-AVERAGE(OFFSET($H$3,0,0,'Données projet'!$E$11+1,1))</f>
        <v>373.7520752235389</v>
      </c>
      <c r="BJ11" s="60">
        <f t="shared" si="38"/>
        <v>205.19966474305761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3.4358974358974361</v>
      </c>
      <c r="BY11" s="13">
        <f>IF('Données projet'!$A$114&gt;35,BY10+BX11-CG10,IF(A11&lt;'Données projet'!$A$114,$BV$205^A11,IF(A11='Données projet'!$A$114,'Données projet'!$B$114,BY10+BX11-CG10)))</f>
        <v>3.4422551018310097</v>
      </c>
      <c r="BZ11" s="14">
        <f>BY11*VLOOKUP('Données projet'!$B$12,Paramètres!$A$1:$I$89,3,0)*VLOOKUP('Données projet'!$B$12,Paramètres!$A$1:$I$89,5,0)</f>
        <v>1.6109753876569124</v>
      </c>
      <c r="CA11" s="14">
        <f t="shared" si="39"/>
        <v>0.70232127047642601</v>
      </c>
      <c r="CB11" s="22">
        <f t="shared" si="10"/>
        <v>4.0289916795822309</v>
      </c>
      <c r="CC11" s="60">
        <f t="shared" si="11"/>
        <v>297.36232501291556</v>
      </c>
      <c r="CD11" s="60">
        <f ca="1">AVERAGE(OFFSET($CC$3,0,0,'Données projet'!$E$12+1,1))-AVERAGE(OFFSET($H$3,0,0,'Données projet'!$E$12+1,1))</f>
        <v>141.31558705818316</v>
      </c>
      <c r="CE11" s="60">
        <f t="shared" si="40"/>
        <v>67.142010893211364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3.8959407327127313</v>
      </c>
      <c r="CV11" s="14">
        <f t="shared" si="41"/>
        <v>1.5325587423396034</v>
      </c>
      <c r="CW11" s="22">
        <f t="shared" si="13"/>
        <v>9.4546365857161501</v>
      </c>
      <c r="CX11" s="60">
        <f t="shared" si="14"/>
        <v>302.78796991904949</v>
      </c>
      <c r="CY11" s="60">
        <f ca="1">AVERAGE(OFFSET($CX$3,0,0,'Données projet'!$E$13+1,1))-AVERAGE(OFFSET($H$3,0,0,'Données projet'!$E$13+1,1))</f>
        <v>281.8501448773884</v>
      </c>
      <c r="CZ11" s="60">
        <f t="shared" si="42"/>
        <v>161.7340631691518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4.0350814731667564</v>
      </c>
      <c r="DQ11" s="14">
        <f t="shared" si="43"/>
        <v>1.5808227025391921</v>
      </c>
      <c r="DR11" s="22">
        <f t="shared" si="16"/>
        <v>9.7810331060211926</v>
      </c>
      <c r="DS11" s="60">
        <f t="shared" si="17"/>
        <v>303.11436643935451</v>
      </c>
      <c r="DT11" s="60">
        <f ca="1">AVERAGE(OFFSET($DS$3,0,0,'Données projet'!$E$14+1,1))-AVERAGE(OFFSET($H$3,0,0,'Données projet'!$E$14+1,1))</f>
        <v>295.19398489974265</v>
      </c>
      <c r="DU11" s="60">
        <f t="shared" si="44"/>
        <v>168.80998104712489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4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60">
        <f t="shared" si="0"/>
        <v>306.4192874568086</v>
      </c>
      <c r="S12" s="60">
        <f ca="1">AVERAGE(OFFSET($R$3,0,0,'Données projet'!$E$9+1,1))-AVERAGE(OFFSET($H$3,0,0,'Données projet'!$E$9+1,1))</f>
        <v>341.82426415364569</v>
      </c>
      <c r="T12" s="60">
        <f t="shared" si="34"/>
        <v>193.53376539568887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7.4312217194570129</v>
      </c>
      <c r="AI12" s="14">
        <f>IF('Données projet'!$A$62&gt;35,AI11+AH12-AQ11,IF(A12&lt;'Données projet'!$A$62,$AF$205^A12,IF(A12='Données projet'!$A$62,'Données projet'!$B$62,AI11+AH12-AQ11)))</f>
        <v>12.958766444511483</v>
      </c>
      <c r="AJ12" s="14">
        <f>AI12*VLOOKUP('Données projet'!$B$10,Paramètres!$A$1:$I$89,3,0)*VLOOKUP('Données projet'!$B$10,Paramètres!$A$1:$I$89,5,0)</f>
        <v>7.7493423338178671</v>
      </c>
      <c r="AK12" s="14">
        <f t="shared" si="35"/>
        <v>2.8138859005026107</v>
      </c>
      <c r="AL12" s="22">
        <f t="shared" si="4"/>
        <v>18.397622508108167</v>
      </c>
      <c r="AM12" s="60">
        <f t="shared" si="5"/>
        <v>311.73095584144147</v>
      </c>
      <c r="AN12" s="60">
        <f ca="1">AVERAGE(OFFSET($AM$3,0,0,'Données projet'!$E$10+1,1))-AVERAGE(OFFSET($H$3,0,0,'Données projet'!$E$10+1,1))</f>
        <v>189.8516574130017</v>
      </c>
      <c r="AO12" s="60">
        <f t="shared" si="36"/>
        <v>191.91100863555891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2.0085470085470085</v>
      </c>
      <c r="BD12" s="13">
        <f>IF('Données projet'!$A$88&gt;35,BD11+BC12-BL11,IF(A12&lt;'Données projet'!$A$88,$BA$205^A12,IF(A12='Données projet'!$A$88,'Données projet'!$B$88,BD11+BC12-BL11)))</f>
        <v>7.715853190806035</v>
      </c>
      <c r="BE12" s="14">
        <f>BD12*VLOOKUP('Données projet'!$B$11,Paramètres!$A$1:$I$89,3,0)*VLOOKUP('Données projet'!$B$11,Paramètres!$A$1:$I$89,5,0)</f>
        <v>8.0646097550304692</v>
      </c>
      <c r="BF12" s="14">
        <f t="shared" si="37"/>
        <v>2.9148024033411493</v>
      </c>
      <c r="BG12" s="22">
        <f t="shared" si="7"/>
        <v>19.122476175830567</v>
      </c>
      <c r="BH12" s="60">
        <f t="shared" si="8"/>
        <v>312.45580950916388</v>
      </c>
      <c r="BI12" s="60">
        <f ca="1">AVERAGE(OFFSET($BH$3,0,0,'Données projet'!$E$11+1,1))-AVERAGE(OFFSET($H$3,0,0,'Données projet'!$E$11+1,1))</f>
        <v>373.7520752235389</v>
      </c>
      <c r="BJ12" s="60">
        <f t="shared" si="38"/>
        <v>205.19966474305761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3.4358974358974361</v>
      </c>
      <c r="BY12" s="13">
        <f>IF('Données projet'!$A$114&gt;35,BY11+BX12-CG11,IF(A12&lt;'Données projet'!$A$114,$BV$205^A12,IF(A12='Données projet'!$A$114,'Données projet'!$B$114,BY11+BX12-CG11)))</f>
        <v>4.0174310683886194</v>
      </c>
      <c r="BZ12" s="14">
        <f>BY12*VLOOKUP('Données projet'!$B$12,Paramètres!$A$1:$I$89,3,0)*VLOOKUP('Données projet'!$B$12,Paramètres!$A$1:$I$89,5,0)</f>
        <v>1.8801577400058738</v>
      </c>
      <c r="CA12" s="14">
        <f t="shared" si="39"/>
        <v>0.80506349951468992</v>
      </c>
      <c r="CB12" s="22">
        <f t="shared" si="10"/>
        <v>4.6767603254983152</v>
      </c>
      <c r="CC12" s="60">
        <f t="shared" si="11"/>
        <v>298.01009365883164</v>
      </c>
      <c r="CD12" s="60">
        <f ca="1">AVERAGE(OFFSET($CC$3,0,0,'Données projet'!$E$12+1,1))-AVERAGE(OFFSET($H$3,0,0,'Données projet'!$E$12+1,1))</f>
        <v>141.31558705818316</v>
      </c>
      <c r="CE12" s="60">
        <f t="shared" si="40"/>
        <v>67.142010893211364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4.6965051839224783</v>
      </c>
      <c r="CV12" s="14">
        <f t="shared" si="41"/>
        <v>1.8077246642178633</v>
      </c>
      <c r="CW12" s="22">
        <f t="shared" si="13"/>
        <v>11.328200318844425</v>
      </c>
      <c r="CX12" s="60">
        <f t="shared" si="14"/>
        <v>304.66153365217775</v>
      </c>
      <c r="CY12" s="60">
        <f ca="1">AVERAGE(OFFSET($CX$3,0,0,'Données projet'!$E$13+1,1))-AVERAGE(OFFSET($H$3,0,0,'Données projet'!$E$13+1,1))</f>
        <v>281.8501448773884</v>
      </c>
      <c r="CZ12" s="60">
        <f t="shared" si="42"/>
        <v>161.7340631691518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4.8642375119197085</v>
      </c>
      <c r="DQ12" s="14">
        <f t="shared" si="43"/>
        <v>1.8646542609995393</v>
      </c>
      <c r="DR12" s="22">
        <f t="shared" si="16"/>
        <v>11.719486504501022</v>
      </c>
      <c r="DS12" s="60">
        <f t="shared" si="17"/>
        <v>305.05281983783436</v>
      </c>
      <c r="DT12" s="60">
        <f ca="1">AVERAGE(OFFSET($DS$3,0,0,'Données projet'!$E$14+1,1))-AVERAGE(OFFSET($H$3,0,0,'Données projet'!$E$14+1,1))</f>
        <v>295.19398489974265</v>
      </c>
      <c r="DU12" s="60">
        <f t="shared" si="44"/>
        <v>168.80998104712489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4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60">
        <f t="shared" si="0"/>
        <v>309.01511196236879</v>
      </c>
      <c r="S13" s="60">
        <f ca="1">AVERAGE(OFFSET($R$3,0,0,'Données projet'!$E$9+1,1))-AVERAGE(OFFSET($H$3,0,0,'Données projet'!$E$9+1,1))</f>
        <v>341.82426415364569</v>
      </c>
      <c r="T13" s="60">
        <f t="shared" si="34"/>
        <v>193.53376539568887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7.4312217194570129</v>
      </c>
      <c r="AI13" s="14">
        <f>IF('Données projet'!$A$62&gt;35,AI12+AH13-AQ12,IF(A13&lt;'Données projet'!$A$62,$AF$205^A13,IF(A13='Données projet'!$A$62,'Données projet'!$B$62,AI12+AH13-AQ12)))</f>
        <v>17.225897052240693</v>
      </c>
      <c r="AJ13" s="14">
        <f>AI13*VLOOKUP('Données projet'!$B$10,Paramètres!$A$1:$I$89,3,0)*VLOOKUP('Données projet'!$B$10,Paramètres!$A$1:$I$89,5,0)</f>
        <v>10.301086437239935</v>
      </c>
      <c r="AK13" s="14">
        <f t="shared" si="35"/>
        <v>3.6185577775542006</v>
      </c>
      <c r="AL13" s="22">
        <f t="shared" si="4"/>
        <v>24.243380340766453</v>
      </c>
      <c r="AM13" s="60">
        <f t="shared" si="5"/>
        <v>317.57671367409978</v>
      </c>
      <c r="AN13" s="60">
        <f ca="1">AVERAGE(OFFSET($AM$3,0,0,'Données projet'!$E$10+1,1))-AVERAGE(OFFSET($H$3,0,0,'Données projet'!$E$10+1,1))</f>
        <v>189.8516574130017</v>
      </c>
      <c r="AO13" s="60">
        <f t="shared" si="36"/>
        <v>191.91100863555891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2.0085470085470085</v>
      </c>
      <c r="BD13" s="13">
        <f>IF('Données projet'!$A$88&gt;35,BD12+BC13-BL12,IF(A13&lt;'Données projet'!$A$88,$BA$205^A13,IF(A13='Données projet'!$A$88,'Données projet'!$B$88,BD12+BC13-BL12)))</f>
        <v>9.6823811114971363</v>
      </c>
      <c r="BE13" s="14">
        <f>BD13*VLOOKUP('Données projet'!$B$11,Paramètres!$A$1:$I$89,3,0)*VLOOKUP('Données projet'!$B$11,Paramètres!$A$1:$I$89,5,0)</f>
        <v>10.120024737736808</v>
      </c>
      <c r="BF13" s="14">
        <f t="shared" si="37"/>
        <v>3.5623001055261061</v>
      </c>
      <c r="BG13" s="22">
        <f t="shared" si="7"/>
        <v>23.830049102016243</v>
      </c>
      <c r="BH13" s="60">
        <f t="shared" si="8"/>
        <v>317.16338243534955</v>
      </c>
      <c r="BI13" s="60">
        <f ca="1">AVERAGE(OFFSET($BH$3,0,0,'Données projet'!$E$11+1,1))-AVERAGE(OFFSET($H$3,0,0,'Données projet'!$E$11+1,1))</f>
        <v>373.7520752235389</v>
      </c>
      <c r="BJ13" s="60">
        <f t="shared" si="38"/>
        <v>205.19966474305761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3.4358974358974361</v>
      </c>
      <c r="BY13" s="13">
        <f>IF('Données projet'!$A$114&gt;35,BY12+BX13-CG12,IF(A13&lt;'Données projet'!$A$114,$BV$205^A13,IF(A13='Données projet'!$A$114,'Données projet'!$B$114,BY12+BX13-CG12)))</f>
        <v>4.6887147848714186</v>
      </c>
      <c r="BZ13" s="14">
        <f>BY13*VLOOKUP('Données projet'!$B$12,Paramètres!$A$1:$I$89,3,0)*VLOOKUP('Données projet'!$B$12,Paramètres!$A$1:$I$89,5,0)</f>
        <v>2.194318519319824</v>
      </c>
      <c r="CA13" s="14">
        <f t="shared" si="39"/>
        <v>0.9228358380932653</v>
      </c>
      <c r="CB13" s="22">
        <f t="shared" si="10"/>
        <v>5.4290438391611309</v>
      </c>
      <c r="CC13" s="60">
        <f t="shared" si="11"/>
        <v>298.76237717249444</v>
      </c>
      <c r="CD13" s="60">
        <f ca="1">AVERAGE(OFFSET($CC$3,0,0,'Données projet'!$E$12+1,1))-AVERAGE(OFFSET($H$3,0,0,'Données projet'!$E$12+1,1))</f>
        <v>141.31558705818316</v>
      </c>
      <c r="CE13" s="60">
        <f t="shared" si="40"/>
        <v>67.142010893211364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5.6615750741291127</v>
      </c>
      <c r="CV13" s="14">
        <f t="shared" si="41"/>
        <v>2.1322957295802305</v>
      </c>
      <c r="CW13" s="22">
        <f t="shared" si="13"/>
        <v>13.574324983127106</v>
      </c>
      <c r="CX13" s="60">
        <f t="shared" si="14"/>
        <v>306.90765831646041</v>
      </c>
      <c r="CY13" s="60">
        <f ca="1">AVERAGE(OFFSET($CX$3,0,0,'Données projet'!$E$13+1,1))-AVERAGE(OFFSET($H$3,0,0,'Données projet'!$E$13+1,1))</f>
        <v>281.8501448773884</v>
      </c>
      <c r="CZ13" s="60">
        <f t="shared" si="42"/>
        <v>161.7340631691518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5.8637741839194364</v>
      </c>
      <c r="DQ13" s="14">
        <f t="shared" si="43"/>
        <v>2.1994468497187687</v>
      </c>
      <c r="DR13" s="22">
        <f t="shared" si="16"/>
        <v>14.043443300253207</v>
      </c>
      <c r="DS13" s="60">
        <f t="shared" si="17"/>
        <v>307.37677663358653</v>
      </c>
      <c r="DT13" s="60">
        <f ca="1">AVERAGE(OFFSET($DS$3,0,0,'Données projet'!$E$14+1,1))-AVERAGE(OFFSET($H$3,0,0,'Données projet'!$E$14+1,1))</f>
        <v>295.19398489974265</v>
      </c>
      <c r="DU13" s="60">
        <f t="shared" si="44"/>
        <v>168.80998104712489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4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60">
        <f t="shared" si="0"/>
        <v>312.12761643157052</v>
      </c>
      <c r="S14" s="60">
        <f ca="1">AVERAGE(OFFSET($R$3,0,0,'Données projet'!$E$9+1,1))-AVERAGE(OFFSET($H$3,0,0,'Données projet'!$E$9+1,1))</f>
        <v>341.82426415364569</v>
      </c>
      <c r="T14" s="60">
        <f t="shared" si="34"/>
        <v>193.53376539568887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7.4312217194570129</v>
      </c>
      <c r="AI14" s="14">
        <f>IF('Données projet'!$A$62&gt;35,AI13+AH14-AQ13,IF(A14&lt;'Données projet'!$A$62,$AF$205^A14,IF(A14='Données projet'!$A$62,'Données projet'!$B$62,AI13+AH14-AQ13)))</f>
        <v>22.89813081553541</v>
      </c>
      <c r="AJ14" s="14">
        <f>AI14*VLOOKUP('Données projet'!$B$10,Paramètres!$A$1:$I$89,3,0)*VLOOKUP('Données projet'!$B$10,Paramètres!$A$1:$I$89,5,0)</f>
        <v>13.693082227690176</v>
      </c>
      <c r="AK14" s="14">
        <f t="shared" si="35"/>
        <v>4.6533373606794726</v>
      </c>
      <c r="AL14" s="22">
        <f t="shared" si="4"/>
        <v>31.953347449743802</v>
      </c>
      <c r="AM14" s="60">
        <f t="shared" si="5"/>
        <v>325.28668078307714</v>
      </c>
      <c r="AN14" s="60">
        <f ca="1">AVERAGE(OFFSET($AM$3,0,0,'Données projet'!$E$10+1,1))-AVERAGE(OFFSET($H$3,0,0,'Données projet'!$E$10+1,1))</f>
        <v>189.8516574130017</v>
      </c>
      <c r="AO14" s="60">
        <f t="shared" si="36"/>
        <v>191.91100863555891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2.0085470085470085</v>
      </c>
      <c r="BD14" s="13">
        <f>IF('Données projet'!$A$88&gt;35,BD13+BC14-BL13,IF(A14&lt;'Données projet'!$A$88,$BA$205^A14,IF(A14='Données projet'!$A$88,'Données projet'!$B$88,BD13+BC14-BL13)))</f>
        <v>12.150115051435174</v>
      </c>
      <c r="BE14" s="14">
        <f>BD14*VLOOKUP('Données projet'!$B$11,Paramètres!$A$1:$I$89,3,0)*VLOOKUP('Données projet'!$B$11,Paramètres!$A$1:$I$89,5,0)</f>
        <v>12.699300251760045</v>
      </c>
      <c r="BF14" s="14">
        <f t="shared" si="37"/>
        <v>4.3536337239482048</v>
      </c>
      <c r="BG14" s="22">
        <f t="shared" si="7"/>
        <v>29.700526674358532</v>
      </c>
      <c r="BH14" s="60">
        <f t="shared" si="8"/>
        <v>323.03386000769183</v>
      </c>
      <c r="BI14" s="60">
        <f ca="1">AVERAGE(OFFSET($BH$3,0,0,'Données projet'!$E$11+1,1))-AVERAGE(OFFSET($H$3,0,0,'Données projet'!$E$11+1,1))</f>
        <v>373.7520752235389</v>
      </c>
      <c r="BJ14" s="60">
        <f t="shared" si="38"/>
        <v>205.19966474305761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3.4358974358974361</v>
      </c>
      <c r="BY14" s="13">
        <f>IF('Données projet'!$A$114&gt;35,BY13+BX14-CG13,IF(A14&lt;'Données projet'!$A$114,$BV$205^A14,IF(A14='Données projet'!$A$114,'Données projet'!$B$114,BY13+BX14-CG13)))</f>
        <v>5.472165162174039</v>
      </c>
      <c r="BZ14" s="14">
        <f>BY14*VLOOKUP('Données projet'!$B$12,Paramètres!$A$1:$I$89,3,0)*VLOOKUP('Données projet'!$B$12,Paramètres!$A$1:$I$89,5,0)</f>
        <v>2.5609732958974503</v>
      </c>
      <c r="CA14" s="14">
        <f t="shared" si="39"/>
        <v>1.0578370334547251</v>
      </c>
      <c r="CB14" s="22">
        <f t="shared" si="10"/>
        <v>6.3027613236217057</v>
      </c>
      <c r="CC14" s="60">
        <f t="shared" si="11"/>
        <v>299.63609465695504</v>
      </c>
      <c r="CD14" s="60">
        <f ca="1">AVERAGE(OFFSET($CC$3,0,0,'Données projet'!$E$12+1,1))-AVERAGE(OFFSET($H$3,0,0,'Données projet'!$E$12+1,1))</f>
        <v>141.31558705818316</v>
      </c>
      <c r="CE14" s="60">
        <f t="shared" si="40"/>
        <v>67.142010893211364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6.8249541019838356</v>
      </c>
      <c r="CV14" s="14">
        <f t="shared" si="41"/>
        <v>2.515142470744169</v>
      </c>
      <c r="CW14" s="22">
        <f t="shared" si="13"/>
        <v>16.267334864167939</v>
      </c>
      <c r="CX14" s="60">
        <f t="shared" si="14"/>
        <v>309.60066819750125</v>
      </c>
      <c r="CY14" s="60">
        <f ca="1">AVERAGE(OFFSET($CX$3,0,0,'Données projet'!$E$13+1,1))-AVERAGE(OFFSET($H$3,0,0,'Données projet'!$E$13+1,1))</f>
        <v>281.8501448773884</v>
      </c>
      <c r="CZ14" s="60">
        <f t="shared" si="42"/>
        <v>161.7340631691518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7.0687024627689707</v>
      </c>
      <c r="DQ14" s="14">
        <f t="shared" si="43"/>
        <v>2.5943503554083325</v>
      </c>
      <c r="DR14" s="22">
        <f t="shared" si="16"/>
        <v>16.829816991658799</v>
      </c>
      <c r="DS14" s="60">
        <f t="shared" si="17"/>
        <v>310.1631503249921</v>
      </c>
      <c r="DT14" s="60">
        <f ca="1">AVERAGE(OFFSET($DS$3,0,0,'Données projet'!$E$14+1,1))-AVERAGE(OFFSET($H$3,0,0,'Données projet'!$E$14+1,1))</f>
        <v>295.19398489974265</v>
      </c>
      <c r="DU14" s="60">
        <f t="shared" si="44"/>
        <v>168.80998104712489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4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60">
        <f t="shared" si="0"/>
        <v>315.85996837222763</v>
      </c>
      <c r="S15" s="60">
        <f ca="1">AVERAGE(OFFSET($R$3,0,0,'Données projet'!$E$9+1,1))-AVERAGE(OFFSET($H$3,0,0,'Données projet'!$E$9+1,1))</f>
        <v>341.82426415364569</v>
      </c>
      <c r="T15" s="60">
        <f t="shared" si="34"/>
        <v>193.53376539568887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7.4312217194570129</v>
      </c>
      <c r="AI15" s="14">
        <f>IF('Données projet'!$A$62&gt;35,AI14+AH15-AQ14,IF(A15&lt;'Données projet'!$A$62,$AF$205^A15,IF(A15='Données projet'!$A$62,'Données projet'!$B$62,AI14+AH15-AQ14)))</f>
        <v>30.438147473844893</v>
      </c>
      <c r="AJ15" s="14">
        <f>AI15*VLOOKUP('Données projet'!$B$10,Paramètres!$A$1:$I$89,3,0)*VLOOKUP('Données projet'!$B$10,Paramètres!$A$1:$I$89,5,0)</f>
        <v>18.202012189359248</v>
      </c>
      <c r="AK15" s="14">
        <f t="shared" si="35"/>
        <v>5.984027317903192</v>
      </c>
      <c r="AL15" s="22">
        <f t="shared" si="4"/>
        <v>42.124018808482084</v>
      </c>
      <c r="AM15" s="60">
        <f t="shared" si="5"/>
        <v>335.45735214181542</v>
      </c>
      <c r="AN15" s="60">
        <f ca="1">AVERAGE(OFFSET($AM$3,0,0,'Données projet'!$E$10+1,1))-AVERAGE(OFFSET($H$3,0,0,'Données projet'!$E$10+1,1))</f>
        <v>189.8516574130017</v>
      </c>
      <c r="AO15" s="60">
        <f t="shared" si="36"/>
        <v>191.91100863555891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2.0085470085470085</v>
      </c>
      <c r="BD15" s="13">
        <f>IF('Données projet'!$A$88&gt;35,BD14+BC15-BL14,IF(A15&lt;'Données projet'!$A$88,$BA$205^A15,IF(A15='Données projet'!$A$88,'Données projet'!$B$88,BD14+BC15-BL14)))</f>
        <v>15.246796636399393</v>
      </c>
      <c r="BE15" s="14">
        <f>BD15*VLOOKUP('Données projet'!$B$11,Paramètres!$A$1:$I$89,3,0)*VLOOKUP('Données projet'!$B$11,Paramètres!$A$1:$I$89,5,0)</f>
        <v>15.935951844364647</v>
      </c>
      <c r="BF15" s="14">
        <f t="shared" si="37"/>
        <v>5.3207551415716088</v>
      </c>
      <c r="BG15" s="22">
        <f t="shared" si="7"/>
        <v>37.022098000505643</v>
      </c>
      <c r="BH15" s="60">
        <f t="shared" si="8"/>
        <v>330.35543133383896</v>
      </c>
      <c r="BI15" s="60">
        <f ca="1">AVERAGE(OFFSET($BH$3,0,0,'Données projet'!$E$11+1,1))-AVERAGE(OFFSET($H$3,0,0,'Données projet'!$E$11+1,1))</f>
        <v>373.7520752235389</v>
      </c>
      <c r="BJ15" s="60">
        <f t="shared" si="38"/>
        <v>205.19966474305761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3.4358974358974361</v>
      </c>
      <c r="BY15" s="13">
        <f>IF('Données projet'!$A$114&gt;35,BY14+BX15-CG14,IF(A15&lt;'Données projet'!$A$114,$BV$205^A15,IF(A15='Données projet'!$A$114,'Données projet'!$B$114,BY14+BX15-CG14)))</f>
        <v>6.3865244392195226</v>
      </c>
      <c r="BZ15" s="14">
        <f>BY15*VLOOKUP('Données projet'!$B$12,Paramètres!$A$1:$I$89,3,0)*VLOOKUP('Données projet'!$B$12,Paramètres!$A$1:$I$89,5,0)</f>
        <v>2.9888934375547365</v>
      </c>
      <c r="CA15" s="14">
        <f t="shared" si="39"/>
        <v>1.2125874864812094</v>
      </c>
      <c r="CB15" s="22">
        <f t="shared" si="10"/>
        <v>7.3175792760292708</v>
      </c>
      <c r="CC15" s="60">
        <f t="shared" si="11"/>
        <v>300.65091260936259</v>
      </c>
      <c r="CD15" s="60">
        <f ca="1">AVERAGE(OFFSET($CC$3,0,0,'Données projet'!$E$12+1,1))-AVERAGE(OFFSET($H$3,0,0,'Données projet'!$E$12+1,1))</f>
        <v>141.31558705818316</v>
      </c>
      <c r="CE15" s="60">
        <f t="shared" si="40"/>
        <v>67.142010893211364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8.2273921804968939</v>
      </c>
      <c r="CV15" s="14">
        <f t="shared" si="41"/>
        <v>2.9667280951626824</v>
      </c>
      <c r="CW15" s="22">
        <f t="shared" si="13"/>
        <v>19.496426146773764</v>
      </c>
      <c r="CX15" s="60">
        <f t="shared" si="14"/>
        <v>312.8297594801071</v>
      </c>
      <c r="CY15" s="60">
        <f ca="1">AVERAGE(OFFSET($CX$3,0,0,'Données projet'!$E$13+1,1))-AVERAGE(OFFSET($H$3,0,0,'Données projet'!$E$13+1,1))</f>
        <v>281.8501448773884</v>
      </c>
      <c r="CZ15" s="60">
        <f t="shared" si="42"/>
        <v>161.7340631691518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8.521227615514638</v>
      </c>
      <c r="DQ15" s="14">
        <f t="shared" si="43"/>
        <v>3.0601574970852128</v>
      </c>
      <c r="DR15" s="22">
        <f t="shared" si="16"/>
        <v>20.170912404444739</v>
      </c>
      <c r="DS15" s="60">
        <f t="shared" si="17"/>
        <v>313.50424573777804</v>
      </c>
      <c r="DT15" s="60">
        <f ca="1">AVERAGE(OFFSET($DS$3,0,0,'Données projet'!$E$14+1,1))-AVERAGE(OFFSET($H$3,0,0,'Données projet'!$E$14+1,1))</f>
        <v>295.19398489974265</v>
      </c>
      <c r="DU15" s="60">
        <f t="shared" si="44"/>
        <v>168.80998104712489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4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60">
        <f t="shared" si="0"/>
        <v>320.33599560186519</v>
      </c>
      <c r="S16" s="60">
        <f ca="1">AVERAGE(OFFSET($R$3,0,0,'Données projet'!$E$9+1,1))-AVERAGE(OFFSET($H$3,0,0,'Données projet'!$E$9+1,1))</f>
        <v>341.82426415364569</v>
      </c>
      <c r="T16" s="60">
        <f t="shared" si="34"/>
        <v>193.53376539568887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7.4312217194570129</v>
      </c>
      <c r="AI16" s="14">
        <f>IF('Données projet'!$A$62&gt;35,AI15+AH16-AQ15,IF(A16&lt;'Données projet'!$A$62,$AF$205^A16,IF(A16='Données projet'!$A$62,'Données projet'!$B$62,AI15+AH16-AQ15)))</f>
        <v>40.460980378841768</v>
      </c>
      <c r="AJ16" s="14">
        <f>AI16*VLOOKUP('Données projet'!$B$10,Paramètres!$A$1:$I$89,3,0)*VLOOKUP('Données projet'!$B$10,Paramètres!$A$1:$I$89,5,0)</f>
        <v>24.195666266547377</v>
      </c>
      <c r="AK16" s="14">
        <f t="shared" si="35"/>
        <v>7.6952475537219458</v>
      </c>
      <c r="AL16" s="22">
        <f t="shared" si="4"/>
        <v>55.543341570302402</v>
      </c>
      <c r="AM16" s="60">
        <f t="shared" si="5"/>
        <v>348.87667490363572</v>
      </c>
      <c r="AN16" s="60">
        <f ca="1">AVERAGE(OFFSET($AM$3,0,0,'Données projet'!$E$10+1,1))-AVERAGE(OFFSET($H$3,0,0,'Données projet'!$E$10+1,1))</f>
        <v>189.8516574130017</v>
      </c>
      <c r="AO16" s="60">
        <f t="shared" si="36"/>
        <v>191.91100863555891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2.0085470085470085</v>
      </c>
      <c r="BD16" s="13">
        <f>IF('Données projet'!$A$88&gt;35,BD15+BC16-BL15,IF(A16&lt;'Données projet'!$A$88,$BA$205^A16,IF(A16='Données projet'!$A$88,'Données projet'!$B$88,BD15+BC16-BL15)))</f>
        <v>19.132724808582047</v>
      </c>
      <c r="BE16" s="14">
        <f>BD16*VLOOKUP('Données projet'!$B$11,Paramètres!$A$1:$I$89,3,0)*VLOOKUP('Données projet'!$B$11,Paramètres!$A$1:$I$89,5,0)</f>
        <v>19.997523969929958</v>
      </c>
      <c r="BF16" s="14">
        <f t="shared" si="37"/>
        <v>6.5027140709684383</v>
      </c>
      <c r="BG16" s="22">
        <f t="shared" si="7"/>
        <v>46.154581254564704</v>
      </c>
      <c r="BH16" s="60">
        <f t="shared" si="8"/>
        <v>339.48791458789799</v>
      </c>
      <c r="BI16" s="60">
        <f ca="1">AVERAGE(OFFSET($BH$3,0,0,'Données projet'!$E$11+1,1))-AVERAGE(OFFSET($H$3,0,0,'Données projet'!$E$11+1,1))</f>
        <v>373.7520752235389</v>
      </c>
      <c r="BJ16" s="60">
        <f t="shared" si="38"/>
        <v>205.19966474305761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3.4358974358974361</v>
      </c>
      <c r="BY16" s="13">
        <f>IF('Données projet'!$A$114&gt;35,BY15+BX16-CG15,IF(A16&lt;'Données projet'!$A$114,$BV$205^A16,IF(A16='Données projet'!$A$114,'Données projet'!$B$114,BY15+BX16-CG15)))</f>
        <v>7.4536665476931043</v>
      </c>
      <c r="BZ16" s="14">
        <f>BY16*VLOOKUP('Données projet'!$B$12,Paramètres!$A$1:$I$89,3,0)*VLOOKUP('Données projet'!$B$12,Paramètres!$A$1:$I$89,5,0)</f>
        <v>3.4883159443203726</v>
      </c>
      <c r="CA16" s="14">
        <f t="shared" si="39"/>
        <v>1.3899763062452366</v>
      </c>
      <c r="CB16" s="22">
        <f t="shared" si="10"/>
        <v>8.4963590030684362</v>
      </c>
      <c r="CC16" s="60">
        <f t="shared" si="11"/>
        <v>301.82969233640176</v>
      </c>
      <c r="CD16" s="60">
        <f ca="1">AVERAGE(OFFSET($CC$3,0,0,'Données projet'!$E$12+1,1))-AVERAGE(OFFSET($H$3,0,0,'Données projet'!$E$12+1,1))</f>
        <v>141.31558705818316</v>
      </c>
      <c r="CE16" s="60">
        <f t="shared" si="40"/>
        <v>67.142010893211364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9.9180127925000576</v>
      </c>
      <c r="CV16" s="14">
        <f t="shared" si="41"/>
        <v>3.4993944450484582</v>
      </c>
      <c r="CW16" s="22">
        <f t="shared" si="13"/>
        <v>23.36865093873033</v>
      </c>
      <c r="CX16" s="60">
        <f t="shared" si="14"/>
        <v>316.70198427206367</v>
      </c>
      <c r="CY16" s="60">
        <f ca="1">AVERAGE(OFFSET($CX$3,0,0,'Données projet'!$E$13+1,1))-AVERAGE(OFFSET($H$3,0,0,'Données projet'!$E$13+1,1))</f>
        <v>281.8501448773884</v>
      </c>
      <c r="CZ16" s="60">
        <f t="shared" si="42"/>
        <v>161.7340631691518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10.272227535089344</v>
      </c>
      <c r="DQ16" s="14">
        <f t="shared" si="43"/>
        <v>3.6095987912522753</v>
      </c>
      <c r="DR16" s="22">
        <f t="shared" si="16"/>
        <v>24.177514185044988</v>
      </c>
      <c r="DS16" s="60">
        <f t="shared" si="17"/>
        <v>317.51084751837828</v>
      </c>
      <c r="DT16" s="60">
        <f ca="1">AVERAGE(OFFSET($DS$3,0,0,'Données projet'!$E$14+1,1))-AVERAGE(OFFSET($H$3,0,0,'Données projet'!$E$14+1,1))</f>
        <v>295.19398489974265</v>
      </c>
      <c r="DU16" s="60">
        <f t="shared" si="44"/>
        <v>168.80998104712489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4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60">
        <f t="shared" si="0"/>
        <v>325.70433484786309</v>
      </c>
      <c r="S17" s="60">
        <f ca="1">AVERAGE(OFFSET($R$3,0,0,'Données projet'!$E$9+1,1))-AVERAGE(OFFSET($H$3,0,0,'Données projet'!$E$9+1,1))</f>
        <v>341.82426415364569</v>
      </c>
      <c r="T17" s="60">
        <f t="shared" si="34"/>
        <v>193.53376539568887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7.4312217194570129</v>
      </c>
      <c r="AI17" s="14">
        <f>IF('Données projet'!$A$62&gt;35,AI16+AH17-AQ16,IF(A17&lt;'Données projet'!$A$62,$AF$205^A17,IF(A17='Données projet'!$A$62,'Données projet'!$B$62,AI16+AH17-AQ16)))</f>
        <v>53.784184291233551</v>
      </c>
      <c r="AJ17" s="14">
        <f>AI17*VLOOKUP('Données projet'!$B$10,Paramètres!$A$1:$I$89,3,0)*VLOOKUP('Données projet'!$B$10,Paramètres!$A$1:$I$89,5,0)</f>
        <v>32.162942206157666</v>
      </c>
      <c r="AK17" s="14">
        <f t="shared" si="35"/>
        <v>9.8958162734145461</v>
      </c>
      <c r="AL17" s="22">
        <f t="shared" si="4"/>
        <v>73.252337685254929</v>
      </c>
      <c r="AM17" s="60">
        <f t="shared" si="5"/>
        <v>366.58567101858824</v>
      </c>
      <c r="AN17" s="60">
        <f ca="1">AVERAGE(OFFSET($AM$3,0,0,'Données projet'!$E$10+1,1))-AVERAGE(OFFSET($H$3,0,0,'Données projet'!$E$10+1,1))</f>
        <v>189.8516574130017</v>
      </c>
      <c r="AO17" s="60">
        <f t="shared" si="36"/>
        <v>191.91100863555891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2.0085470085470085</v>
      </c>
      <c r="BD17" s="13">
        <f>IF('Données projet'!$A$88&gt;35,BD16+BC17-BL16,IF(A17&lt;'Données projet'!$A$88,$BA$205^A17,IF(A17='Données projet'!$A$88,'Données projet'!$B$88,BD16+BC17-BL16)))</f>
        <v>24.009053660951697</v>
      </c>
      <c r="BE17" s="14">
        <f>BD17*VLOOKUP('Données projet'!$B$11,Paramètres!$A$1:$I$89,3,0)*VLOOKUP('Données projet'!$B$11,Paramètres!$A$1:$I$89,5,0)</f>
        <v>25.094262886426712</v>
      </c>
      <c r="BF17" s="14">
        <f t="shared" si="37"/>
        <v>7.9472347747017285</v>
      </c>
      <c r="BG17" s="22">
        <f t="shared" si="7"/>
        <v>57.547275093132022</v>
      </c>
      <c r="BH17" s="60">
        <f t="shared" si="8"/>
        <v>350.88060842646536</v>
      </c>
      <c r="BI17" s="60">
        <f ca="1">AVERAGE(OFFSET($BH$3,0,0,'Données projet'!$E$11+1,1))-AVERAGE(OFFSET($H$3,0,0,'Données projet'!$E$11+1,1))</f>
        <v>373.7520752235389</v>
      </c>
      <c r="BJ17" s="60">
        <f t="shared" si="38"/>
        <v>205.19966474305761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3.4358974358974361</v>
      </c>
      <c r="BY17" s="13">
        <f>IF('Données projet'!$A$114&gt;35,BY16+BX17-CG16,IF(A17&lt;'Données projet'!$A$114,$BV$205^A17,IF(A17='Données projet'!$A$114,'Données projet'!$B$114,BY16+BX17-CG16)))</f>
        <v>8.6991203952847798</v>
      </c>
      <c r="BZ17" s="14">
        <f>BY17*VLOOKUP('Données projet'!$B$12,Paramètres!$A$1:$I$89,3,0)*VLOOKUP('Données projet'!$B$12,Paramètres!$A$1:$I$89,5,0)</f>
        <v>4.0711883449932769</v>
      </c>
      <c r="CA17" s="14">
        <f t="shared" si="39"/>
        <v>1.5933152481473272</v>
      </c>
      <c r="CB17" s="22">
        <f t="shared" si="10"/>
        <v>9.8656770913865515</v>
      </c>
      <c r="CC17" s="60">
        <f t="shared" si="11"/>
        <v>303.19901042471986</v>
      </c>
      <c r="CD17" s="60">
        <f ca="1">AVERAGE(OFFSET($CC$3,0,0,'Données projet'!$E$12+1,1))-AVERAGE(OFFSET($H$3,0,0,'Données projet'!$E$12+1,1))</f>
        <v>141.31558705818316</v>
      </c>
      <c r="CE17" s="60">
        <f t="shared" si="40"/>
        <v>67.142010893211364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11.956033648836456</v>
      </c>
      <c r="CV17" s="14">
        <f t="shared" si="41"/>
        <v>4.1276993001155038</v>
      </c>
      <c r="CW17" s="22">
        <f t="shared" si="13"/>
        <v>28.012501552757996</v>
      </c>
      <c r="CX17" s="60">
        <f t="shared" si="14"/>
        <v>321.34583488609132</v>
      </c>
      <c r="CY17" s="60">
        <f ca="1">AVERAGE(OFFSET($CX$3,0,0,'Données projet'!$E$13+1,1))-AVERAGE(OFFSET($H$3,0,0,'Données projet'!$E$13+1,1))</f>
        <v>281.8501448773884</v>
      </c>
      <c r="CZ17" s="60">
        <f t="shared" si="42"/>
        <v>161.7340631691518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12.383034850580612</v>
      </c>
      <c r="DQ17" s="14">
        <f t="shared" si="43"/>
        <v>4.2576904771143838</v>
      </c>
      <c r="DR17" s="22">
        <f t="shared" si="16"/>
        <v>28.982596612402116</v>
      </c>
      <c r="DS17" s="60">
        <f t="shared" si="17"/>
        <v>322.31592994573543</v>
      </c>
      <c r="DT17" s="60">
        <f ca="1">AVERAGE(OFFSET($DS$3,0,0,'Données projet'!$E$14+1,1))-AVERAGE(OFFSET($H$3,0,0,'Données projet'!$E$14+1,1))</f>
        <v>295.19398489974265</v>
      </c>
      <c r="DU17" s="60">
        <f t="shared" si="44"/>
        <v>168.80998104712489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4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60">
        <f t="shared" si="0"/>
        <v>332.14341544631719</v>
      </c>
      <c r="S18" s="60">
        <f ca="1">AVERAGE(OFFSET($R$3,0,0,'Données projet'!$E$9+1,1))-AVERAGE(OFFSET($H$3,0,0,'Données projet'!$E$9+1,1))</f>
        <v>341.82426415364569</v>
      </c>
      <c r="T18" s="60">
        <f t="shared" si="34"/>
        <v>193.53376539568887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7.4312217194570129</v>
      </c>
      <c r="AI18" s="14">
        <f>IF('Données projet'!$A$62&gt;35,AI17+AH18-AQ17,IF(A18&lt;'Données projet'!$A$62,$AF$205^A18,IF(A18='Données projet'!$A$62,'Données projet'!$B$62,AI17+AH18-AQ17)))</f>
        <v>71.494522692931866</v>
      </c>
      <c r="AJ18" s="14">
        <f>AI18*VLOOKUP('Données projet'!$B$10,Paramètres!$A$1:$I$89,3,0)*VLOOKUP('Données projet'!$B$10,Paramètres!$A$1:$I$89,5,0)</f>
        <v>42.753724570373258</v>
      </c>
      <c r="AK18" s="14">
        <f t="shared" si="35"/>
        <v>12.725669841487028</v>
      </c>
      <c r="AL18" s="22">
        <f t="shared" si="4"/>
        <v>96.626611933989992</v>
      </c>
      <c r="AM18" s="60">
        <f t="shared" si="5"/>
        <v>389.95994526732329</v>
      </c>
      <c r="AN18" s="60">
        <f ca="1">AVERAGE(OFFSET($AM$3,0,0,'Données projet'!$E$10+1,1))-AVERAGE(OFFSET($H$3,0,0,'Données projet'!$E$10+1,1))</f>
        <v>189.8516574130017</v>
      </c>
      <c r="AO18" s="60">
        <f t="shared" si="36"/>
        <v>191.91100863555891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30.128205128205128</v>
      </c>
      <c r="BB18" s="13">
        <f>VLOOKUP(A18,'Données projet'!$A$87:$I$107,9,0)</f>
        <v>2.0085470085470085</v>
      </c>
      <c r="BC18" s="13">
        <f t="array" ref="BC18">INDEX(BB:BB,MIN(IF(ISNUMBER(BB18:BB214),ROW(BB18:BB214),"")))</f>
        <v>2.0085470085470085</v>
      </c>
      <c r="BD18" s="13">
        <f>IF('Données projet'!$A$88&gt;35,BD17+BC18-BL17,IF(A18&lt;'Données projet'!$A$88,$BA$205^A18,IF(A18='Données projet'!$A$88,'Données projet'!$B$88,BD17+BC18-BL17)))</f>
        <v>30.128205128205128</v>
      </c>
      <c r="BE18" s="14">
        <f>BD18*VLOOKUP('Données projet'!$B$11,Paramètres!$A$1:$I$89,3,0)*VLOOKUP('Données projet'!$B$11,Paramètres!$A$1:$I$89,5,0)</f>
        <v>31.490000000000006</v>
      </c>
      <c r="BF18" s="14">
        <f t="shared" si="37"/>
        <v>9.7126430402655597</v>
      </c>
      <c r="BG18" s="22">
        <f t="shared" si="7"/>
        <v>71.761269961795847</v>
      </c>
      <c r="BH18" s="60">
        <f t="shared" si="8"/>
        <v>365.09460329512916</v>
      </c>
      <c r="BI18" s="60">
        <f ca="1">AVERAGE(OFFSET($BH$3,0,0,'Données projet'!$E$11+1,1))-AVERAGE(OFFSET($H$3,0,0,'Données projet'!$E$11+1,1))</f>
        <v>373.7520752235389</v>
      </c>
      <c r="BJ18" s="60">
        <f t="shared" si="38"/>
        <v>205.19966474305761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3.4358974358974361</v>
      </c>
      <c r="BY18" s="13">
        <f>IF('Données projet'!$A$114&gt;35,BY17+BX18-CG17,IF(A18&lt;'Données projet'!$A$114,$BV$205^A18,IF(A18='Données projet'!$A$114,'Données projet'!$B$114,BY17+BX18-CG17)))</f>
        <v>10.152680585782415</v>
      </c>
      <c r="BZ18" s="14">
        <f>BY18*VLOOKUP('Données projet'!$B$12,Paramètres!$A$1:$I$89,3,0)*VLOOKUP('Données projet'!$B$12,Paramètres!$A$1:$I$89,5,0)</f>
        <v>4.7514545141461699</v>
      </c>
      <c r="CA18" s="14">
        <f t="shared" si="39"/>
        <v>1.8264005426369321</v>
      </c>
      <c r="CB18" s="22">
        <f t="shared" si="10"/>
        <v>11.456430890563903</v>
      </c>
      <c r="CC18" s="60">
        <f t="shared" si="11"/>
        <v>304.78976422389724</v>
      </c>
      <c r="CD18" s="60">
        <f ca="1">AVERAGE(OFFSET($CC$3,0,0,'Données projet'!$E$12+1,1))-AVERAGE(OFFSET($H$3,0,0,'Données projet'!$E$12+1,1))</f>
        <v>141.31558705818316</v>
      </c>
      <c r="CE18" s="60">
        <f t="shared" si="40"/>
        <v>67.142010893211364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14.412840919120923</v>
      </c>
      <c r="CV18" s="14">
        <f t="shared" si="41"/>
        <v>4.8688142419275326</v>
      </c>
      <c r="CW18" s="22">
        <f t="shared" si="13"/>
        <v>33.58221607215939</v>
      </c>
      <c r="CX18" s="60">
        <f t="shared" si="14"/>
        <v>326.9155494054927</v>
      </c>
      <c r="CY18" s="60">
        <f ca="1">AVERAGE(OFFSET($CX$3,0,0,'Données projet'!$E$13+1,1))-AVERAGE(OFFSET($H$3,0,0,'Données projet'!$E$13+1,1))</f>
        <v>281.8501448773884</v>
      </c>
      <c r="CZ18" s="60">
        <f t="shared" si="42"/>
        <v>161.7340631691518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14.927585237660953</v>
      </c>
      <c r="DQ18" s="14">
        <f t="shared" si="43"/>
        <v>5.0221449106318534</v>
      </c>
      <c r="DR18" s="22">
        <f t="shared" si="16"/>
        <v>34.745780008276633</v>
      </c>
      <c r="DS18" s="60">
        <f t="shared" si="17"/>
        <v>328.07911334160997</v>
      </c>
      <c r="DT18" s="60">
        <f ca="1">AVERAGE(OFFSET($DS$3,0,0,'Données projet'!$E$14+1,1))-AVERAGE(OFFSET($H$3,0,0,'Données projet'!$E$14+1,1))</f>
        <v>295.19398489974265</v>
      </c>
      <c r="DU18" s="60">
        <f t="shared" si="44"/>
        <v>168.80998104712489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4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60">
        <f t="shared" si="0"/>
        <v>339.8674466201702</v>
      </c>
      <c r="S19" s="60">
        <f ca="1">AVERAGE(OFFSET($R$3,0,0,'Données projet'!$E$9+1,1))-AVERAGE(OFFSET($H$3,0,0,'Données projet'!$E$9+1,1))</f>
        <v>341.82426415364569</v>
      </c>
      <c r="T19" s="60">
        <f t="shared" si="34"/>
        <v>193.53376539568887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7.4312217194570129</v>
      </c>
      <c r="AI19" s="14">
        <f>IF('Données projet'!$A$62&gt;35,AI18+AH19-AQ18,IF(A19&lt;'Données projet'!$A$62,$AF$205^A19,IF(A19='Données projet'!$A$62,'Données projet'!$B$62,AI18+AH19-AQ18)))</f>
        <v>95.036614247271999</v>
      </c>
      <c r="AJ19" s="14">
        <f>AI19*VLOOKUP('Données projet'!$B$10,Paramètres!$A$1:$I$89,3,0)*VLOOKUP('Données projet'!$B$10,Paramètres!$A$1:$I$89,5,0)</f>
        <v>56.831895319868664</v>
      </c>
      <c r="AK19" s="14">
        <f t="shared" si="35"/>
        <v>16.364761474967661</v>
      </c>
      <c r="AL19" s="22">
        <f t="shared" si="4"/>
        <v>127.4841772510066</v>
      </c>
      <c r="AM19" s="60">
        <f t="shared" si="5"/>
        <v>420.81751058433991</v>
      </c>
      <c r="AN19" s="60">
        <f ca="1">AVERAGE(OFFSET($AM$3,0,0,'Données projet'!$E$10+1,1))-AVERAGE(OFFSET($H$3,0,0,'Données projet'!$E$10+1,1))</f>
        <v>189.8516574130017</v>
      </c>
      <c r="AO19" s="60">
        <f t="shared" si="36"/>
        <v>191.91100863555891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5.7692307692307683</v>
      </c>
      <c r="BD19" s="13">
        <f>IF('Données projet'!$A$88&gt;35,BD18+BC19-BL18,IF(A19&lt;'Données projet'!$A$88,$BA$205^A19,IF(A19='Données projet'!$A$88,'Données projet'!$B$88,BD18+BC19-BL18)))</f>
        <v>35.897435897435898</v>
      </c>
      <c r="BE19" s="14">
        <f>BD19*VLOOKUP('Données projet'!$B$11,Paramètres!$A$1:$I$89,3,0)*VLOOKUP('Données projet'!$B$11,Paramètres!$A$1:$I$89,5,0)</f>
        <v>37.520000000000003</v>
      </c>
      <c r="BF19" s="14">
        <f t="shared" si="37"/>
        <v>11.338894152047692</v>
      </c>
      <c r="BG19" s="22">
        <f t="shared" si="7"/>
        <v>85.095907314816401</v>
      </c>
      <c r="BH19" s="60">
        <f t="shared" si="8"/>
        <v>378.42924064814974</v>
      </c>
      <c r="BI19" s="60">
        <f ca="1">AVERAGE(OFFSET($BH$3,0,0,'Données projet'!$E$11+1,1))-AVERAGE(OFFSET($H$3,0,0,'Données projet'!$E$11+1,1))</f>
        <v>373.7520752235389</v>
      </c>
      <c r="BJ19" s="60">
        <f t="shared" si="38"/>
        <v>205.19966474305761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3.4358974358974361</v>
      </c>
      <c r="BY19" s="13">
        <f>IF('Données projet'!$A$114&gt;35,BY18+BX19-CG18,IF(A19&lt;'Données projet'!$A$114,$BV$205^A19,IF(A19='Données projet'!$A$114,'Données projet'!$B$114,BY18+BX19-CG18)))</f>
        <v>11.849120186081615</v>
      </c>
      <c r="BZ19" s="14">
        <f>BY19*VLOOKUP('Données projet'!$B$12,Paramètres!$A$1:$I$89,3,0)*VLOOKUP('Données projet'!$B$12,Paramètres!$A$1:$I$89,5,0)</f>
        <v>5.545388247086195</v>
      </c>
      <c r="CA19" s="14">
        <f t="shared" si="39"/>
        <v>2.0935837688261665</v>
      </c>
      <c r="CB19" s="22">
        <f t="shared" si="10"/>
        <v>13.304542927714031</v>
      </c>
      <c r="CC19" s="60">
        <f t="shared" si="11"/>
        <v>306.63787626104732</v>
      </c>
      <c r="CD19" s="60">
        <f ca="1">AVERAGE(OFFSET($CC$3,0,0,'Données projet'!$E$12+1,1))-AVERAGE(OFFSET($H$3,0,0,'Données projet'!$E$12+1,1))</f>
        <v>141.31558705818316</v>
      </c>
      <c r="CE19" s="60">
        <f t="shared" si="40"/>
        <v>67.142010893211364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17.374489689572126</v>
      </c>
      <c r="CV19" s="14">
        <f t="shared" si="41"/>
        <v>5.7429939534919701</v>
      </c>
      <c r="CW19" s="22">
        <f t="shared" si="13"/>
        <v>40.262950678336637</v>
      </c>
      <c r="CX19" s="60">
        <f t="shared" si="14"/>
        <v>333.59628401166992</v>
      </c>
      <c r="CY19" s="60">
        <f ca="1">AVERAGE(OFFSET($CX$3,0,0,'Données projet'!$E$13+1,1))-AVERAGE(OFFSET($H$3,0,0,'Données projet'!$E$13+1,1))</f>
        <v>281.8501448773884</v>
      </c>
      <c r="CZ19" s="60">
        <f t="shared" si="42"/>
        <v>161.7340631691518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17.995007178485412</v>
      </c>
      <c r="DQ19" s="14">
        <f t="shared" si="43"/>
        <v>5.9238546434872337</v>
      </c>
      <c r="DR19" s="22">
        <f t="shared" si="16"/>
        <v>41.658684339935689</v>
      </c>
      <c r="DS19" s="60">
        <f t="shared" si="17"/>
        <v>334.992017673269</v>
      </c>
      <c r="DT19" s="60">
        <f ca="1">AVERAGE(OFFSET($DS$3,0,0,'Données projet'!$E$14+1,1))-AVERAGE(OFFSET($H$3,0,0,'Données projet'!$E$14+1,1))</f>
        <v>295.19398489974265</v>
      </c>
      <c r="DU19" s="60">
        <f t="shared" si="44"/>
        <v>168.80998104712489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4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60">
        <f t="shared" si="0"/>
        <v>349.13361087728867</v>
      </c>
      <c r="S20" s="60">
        <f ca="1">AVERAGE(OFFSET($R$3,0,0,'Données projet'!$E$9+1,1))-AVERAGE(OFFSET($H$3,0,0,'Données projet'!$E$9+1,1))</f>
        <v>341.82426415364569</v>
      </c>
      <c r="T20" s="60">
        <f t="shared" si="34"/>
        <v>193.53376539568887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>
        <f>VLOOKUP(A20,'Données projet'!$A$61:$I$81,2,0)</f>
        <v>126.33076923076922</v>
      </c>
      <c r="AG20" s="13">
        <f>VLOOKUP(A20,'Données projet'!$A$61:$I$81,9,0)</f>
        <v>7.4312217194570129</v>
      </c>
      <c r="AH20" s="13">
        <f t="array" ref="AH20">INDEX(AG:AG,MIN(IF(ISNUMBER(AG20:AG216),ROW(AG20:AG216),"")))</f>
        <v>7.4312217194570129</v>
      </c>
      <c r="AI20" s="14">
        <f>IF('Données projet'!$A$62&gt;35,AI19+AH20-AQ19,IF(A20&lt;'Données projet'!$A$62,$AF$205^A20,IF(A20='Données projet'!$A$62,'Données projet'!$B$62,AI19+AH20-AQ19)))</f>
        <v>126.33076923076922</v>
      </c>
      <c r="AJ20" s="14">
        <f>AI20*VLOOKUP('Données projet'!$B$10,Paramètres!$A$1:$I$89,3,0)*VLOOKUP('Données projet'!$B$10,Paramètres!$A$1:$I$89,5,0)</f>
        <v>75.5458</v>
      </c>
      <c r="AK20" s="14">
        <f t="shared" si="35"/>
        <v>21.044504648353485</v>
      </c>
      <c r="AL20" s="22">
        <f t="shared" si="4"/>
        <v>168.22811392921565</v>
      </c>
      <c r="AM20" s="60">
        <f t="shared" si="5"/>
        <v>461.561447262549</v>
      </c>
      <c r="AN20" s="60">
        <f ca="1">AVERAGE(OFFSET($AM$3,0,0,'Données projet'!$E$10+1,1))-AVERAGE(OFFSET($H$3,0,0,'Données projet'!$E$10+1,1))</f>
        <v>189.8516574130017</v>
      </c>
      <c r="AO20" s="60">
        <f t="shared" si="36"/>
        <v>191.91100863555891</v>
      </c>
      <c r="AP20" s="16">
        <f>IF(ISNA(VLOOKUP(A20,'Données projet'!$A$61:$I$81,3,0)),0,VLOOKUP(A20,'Données projet'!$A$61:$I$81,3,0))</f>
        <v>1</v>
      </c>
      <c r="AQ20" s="16">
        <f>IF(ISNA(VLOOKUP(A20,'Données projet'!$A$61:$I$81,4,0)),0,VLOOKUP(A20,'Données projet'!$A$61:$I$81,4,0))</f>
        <v>71.12299999999999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0.22500000000000001</v>
      </c>
      <c r="AT20" s="17">
        <f>IF(ISNA(VLOOKUP(A20,'Données projet'!$A$61:$I$81,7,0)),0%,VLOOKUP(A20,'Données projet'!$A$61:$I$81,7,0))</f>
        <v>0.5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12.644706913943516</v>
      </c>
      <c r="AW20" s="23">
        <f>EXP(-LN(2)/2)*AW19+(1-EXP(-LN(2)/2))/(LN(2)/2)*AQ20*AT20*VLOOKUP('Données projet'!$B$10,Paramètres!$A$1:$I$89,3,0)*0.475*44/12</f>
        <v>24.077799551395472</v>
      </c>
      <c r="AX20" s="23">
        <f t="shared" si="6"/>
        <v>36.722506465338988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5.7692307692307683</v>
      </c>
      <c r="BD20" s="13">
        <f>IF('Données projet'!$A$88&gt;35,BD19+BC20-BL19,IF(A20&lt;'Données projet'!$A$88,$BA$205^A20,IF(A20='Données projet'!$A$88,'Données projet'!$B$88,BD19+BC20-BL19)))</f>
        <v>41.666666666666664</v>
      </c>
      <c r="BE20" s="14">
        <f>BD20*VLOOKUP('Données projet'!$B$11,Paramètres!$A$1:$I$89,3,0)*VLOOKUP('Données projet'!$B$11,Paramètres!$A$1:$I$89,5,0)</f>
        <v>43.550000000000004</v>
      </c>
      <c r="BF20" s="14">
        <f t="shared" si="37"/>
        <v>12.934868040345785</v>
      </c>
      <c r="BG20" s="22">
        <f t="shared" si="7"/>
        <v>98.377811836935564</v>
      </c>
      <c r="BH20" s="60">
        <f t="shared" si="8"/>
        <v>391.71114517026888</v>
      </c>
      <c r="BI20" s="60">
        <f ca="1">AVERAGE(OFFSET($BH$3,0,0,'Données projet'!$E$11+1,1))-AVERAGE(OFFSET($H$3,0,0,'Données projet'!$E$11+1,1))</f>
        <v>373.7520752235389</v>
      </c>
      <c r="BJ20" s="60">
        <f t="shared" si="38"/>
        <v>205.19966474305761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3.4358974358974361</v>
      </c>
      <c r="BY20" s="13">
        <f>IF('Données projet'!$A$114&gt;35,BY19+BX20-CG19,IF(A20&lt;'Données projet'!$A$114,$BV$205^A20,IF(A20='Données projet'!$A$114,'Données projet'!$B$114,BY19+BX20-CG19)))</f>
        <v>13.82902259141513</v>
      </c>
      <c r="BZ20" s="14">
        <f>BY20*VLOOKUP('Données projet'!$B$12,Paramètres!$A$1:$I$89,3,0)*VLOOKUP('Données projet'!$B$12,Paramètres!$A$1:$I$89,5,0)</f>
        <v>6.4719825727822808</v>
      </c>
      <c r="CA20" s="14">
        <f t="shared" si="39"/>
        <v>2.399853096169215</v>
      </c>
      <c r="CB20" s="22">
        <f t="shared" si="10"/>
        <v>15.45178045675719</v>
      </c>
      <c r="CC20" s="60">
        <f t="shared" si="11"/>
        <v>308.78511379009052</v>
      </c>
      <c r="CD20" s="60">
        <f ca="1">AVERAGE(OFFSET($CC$3,0,0,'Données projet'!$E$12+1,1))-AVERAGE(OFFSET($H$3,0,0,'Données projet'!$E$12+1,1))</f>
        <v>141.31558705818316</v>
      </c>
      <c r="CE20" s="60">
        <f t="shared" si="40"/>
        <v>67.142010893211364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20.944718231959794</v>
      </c>
      <c r="CV20" s="14">
        <f t="shared" si="41"/>
        <v>6.7741297800648796</v>
      </c>
      <c r="CW20" s="22">
        <f t="shared" si="13"/>
        <v>48.276993620942967</v>
      </c>
      <c r="CX20" s="60">
        <f t="shared" si="14"/>
        <v>341.61032695427627</v>
      </c>
      <c r="CY20" s="60">
        <f ca="1">AVERAGE(OFFSET($CX$3,0,0,'Données projet'!$E$13+1,1))-AVERAGE(OFFSET($H$3,0,0,'Données projet'!$E$13+1,1))</f>
        <v>281.8501448773884</v>
      </c>
      <c r="CZ20" s="60">
        <f t="shared" si="42"/>
        <v>161.7340631691518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21.692743883101215</v>
      </c>
      <c r="DQ20" s="14">
        <f t="shared" si="43"/>
        <v>6.98746341685115</v>
      </c>
      <c r="DR20" s="22">
        <f t="shared" si="16"/>
        <v>49.951361047417038</v>
      </c>
      <c r="DS20" s="60">
        <f t="shared" si="17"/>
        <v>343.28469438075035</v>
      </c>
      <c r="DT20" s="60">
        <f ca="1">AVERAGE(OFFSET($DS$3,0,0,'Données projet'!$E$14+1,1))-AVERAGE(OFFSET($H$3,0,0,'Données projet'!$E$14+1,1))</f>
        <v>295.19398489974265</v>
      </c>
      <c r="DU20" s="60">
        <f t="shared" si="44"/>
        <v>168.80998104712489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4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60">
        <f t="shared" si="0"/>
        <v>360.2507070275775</v>
      </c>
      <c r="S21" s="60">
        <f ca="1">AVERAGE(OFFSET($R$3,0,0,'Données projet'!$E$9+1,1))-AVERAGE(OFFSET($H$3,0,0,'Données projet'!$E$9+1,1))</f>
        <v>341.82426415364569</v>
      </c>
      <c r="T21" s="60">
        <f t="shared" si="34"/>
        <v>193.53376539568887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19.766653846153844</v>
      </c>
      <c r="AI21" s="14">
        <f>IF('Données projet'!$A$62&gt;35,AI20+AH21-AQ20,IF(A21&lt;'Données projet'!$A$62,$AF$205^A21,IF(A21='Données projet'!$A$62,'Données projet'!$B$62,AI20+AH21-AQ20)))</f>
        <v>74.974423076923074</v>
      </c>
      <c r="AJ21" s="14">
        <f>AI21*VLOOKUP('Données projet'!$B$10,Paramètres!$A$1:$I$89,3,0)*VLOOKUP('Données projet'!$B$10,Paramètres!$A$1:$I$89,5,0)</f>
        <v>44.834705</v>
      </c>
      <c r="AK21" s="14">
        <f t="shared" si="35"/>
        <v>13.271453049135978</v>
      </c>
      <c r="AL21" s="22">
        <f t="shared" si="4"/>
        <v>101.20155860224514</v>
      </c>
      <c r="AM21" s="60">
        <f t="shared" si="5"/>
        <v>394.53489193557846</v>
      </c>
      <c r="AN21" s="60">
        <f ca="1">AVERAGE(OFFSET($AM$3,0,0,'Données projet'!$E$10+1,1))-AVERAGE(OFFSET($H$3,0,0,'Données projet'!$E$10+1,1))</f>
        <v>189.8516574130017</v>
      </c>
      <c r="AO21" s="60">
        <f t="shared" si="36"/>
        <v>191.91100863555891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12.298936738425494</v>
      </c>
      <c r="AW21" s="23">
        <f>EXP(-LN(2)/2)*AW20+(1-EXP(-LN(2)/2))/(LN(2)/2)*AQ21*AT21*VLOOKUP('Données projet'!$B$10,Paramètres!$A$1:$I$89,3,0)*0.475*44/12</f>
        <v>17.025575338842152</v>
      </c>
      <c r="AX21" s="23">
        <f t="shared" si="6"/>
        <v>29.324512077267649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5.7692307692307683</v>
      </c>
      <c r="BD21" s="13">
        <f>IF('Données projet'!$A$88&gt;35,BD20+BC21-BL20,IF(A21&lt;'Données projet'!$A$88,$BA$205^A21,IF(A21='Données projet'!$A$88,'Données projet'!$B$88,BD20+BC21-BL20)))</f>
        <v>47.435897435897431</v>
      </c>
      <c r="BE21" s="14">
        <f>BD21*VLOOKUP('Données projet'!$B$11,Paramètres!$A$1:$I$89,3,0)*VLOOKUP('Données projet'!$B$11,Paramètres!$A$1:$I$89,5,0)</f>
        <v>49.58</v>
      </c>
      <c r="BF21" s="14">
        <f t="shared" si="37"/>
        <v>14.505239638165149</v>
      </c>
      <c r="BG21" s="22">
        <f t="shared" si="7"/>
        <v>111.61512570313762</v>
      </c>
      <c r="BH21" s="60">
        <f t="shared" si="8"/>
        <v>404.94845903647092</v>
      </c>
      <c r="BI21" s="60">
        <f ca="1">AVERAGE(OFFSET($BH$3,0,0,'Données projet'!$E$11+1,1))-AVERAGE(OFFSET($H$3,0,0,'Données projet'!$E$11+1,1))</f>
        <v>373.7520752235389</v>
      </c>
      <c r="BJ21" s="60">
        <f t="shared" si="38"/>
        <v>205.19966474305761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3.4358974358974361</v>
      </c>
      <c r="BY21" s="13">
        <f>IF('Données projet'!$A$114&gt;35,BY20+BX21-CG20,IF(A21&lt;'Données projet'!$A$114,$BV$205^A21,IF(A21='Données projet'!$A$114,'Données projet'!$B$114,BY20+BX21-CG20)))</f>
        <v>16.139752389254127</v>
      </c>
      <c r="BZ21" s="14">
        <f>BY21*VLOOKUP('Données projet'!$B$12,Paramètres!$A$1:$I$89,3,0)*VLOOKUP('Données projet'!$B$12,Paramètres!$A$1:$I$89,5,0)</f>
        <v>7.5534041181709313</v>
      </c>
      <c r="CA21" s="14">
        <f t="shared" si="39"/>
        <v>2.7509264109465743</v>
      </c>
      <c r="CB21" s="22">
        <f t="shared" si="10"/>
        <v>17.946709004879654</v>
      </c>
      <c r="CC21" s="60">
        <f t="shared" si="11"/>
        <v>311.28004233821298</v>
      </c>
      <c r="CD21" s="60">
        <f ca="1">AVERAGE(OFFSET($CC$3,0,0,'Données projet'!$E$12+1,1))-AVERAGE(OFFSET($H$3,0,0,'Données projet'!$E$12+1,1))</f>
        <v>141.31558705818316</v>
      </c>
      <c r="CE21" s="60">
        <f t="shared" si="40"/>
        <v>67.142010893211364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25.248581665076358</v>
      </c>
      <c r="CV21" s="14">
        <f t="shared" si="41"/>
        <v>7.9904026799923065</v>
      </c>
      <c r="CW21" s="22">
        <f t="shared" si="13"/>
        <v>57.891231067661259</v>
      </c>
      <c r="CX21" s="60">
        <f t="shared" si="14"/>
        <v>351.22456440099455</v>
      </c>
      <c r="CY21" s="60">
        <f ca="1">AVERAGE(OFFSET($CX$3,0,0,'Données projet'!$E$13+1,1))-AVERAGE(OFFSET($H$3,0,0,'Données projet'!$E$13+1,1))</f>
        <v>281.8501448773884</v>
      </c>
      <c r="CZ21" s="60">
        <f t="shared" si="42"/>
        <v>161.7340631691518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26.150316724543362</v>
      </c>
      <c r="DQ21" s="14">
        <f t="shared" si="43"/>
        <v>8.2420396752158016</v>
      </c>
      <c r="DR21" s="22">
        <f t="shared" si="16"/>
        <v>59.900020729580547</v>
      </c>
      <c r="DS21" s="60">
        <f t="shared" si="17"/>
        <v>353.23335406291386</v>
      </c>
      <c r="DT21" s="60">
        <f ca="1">AVERAGE(OFFSET($DS$3,0,0,'Données projet'!$E$14+1,1))-AVERAGE(OFFSET($H$3,0,0,'Données projet'!$E$14+1,1))</f>
        <v>295.19398489974265</v>
      </c>
      <c r="DU21" s="60">
        <f t="shared" si="44"/>
        <v>168.80998104712489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4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60">
        <f t="shared" si="0"/>
        <v>373.5895355743661</v>
      </c>
      <c r="S22" s="60">
        <f ca="1">AVERAGE(OFFSET($R$3,0,0,'Données projet'!$E$9+1,1))-AVERAGE(OFFSET($H$3,0,0,'Données projet'!$E$9+1,1))</f>
        <v>341.82426415364569</v>
      </c>
      <c r="T22" s="60">
        <f t="shared" si="34"/>
        <v>193.53376539568887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19.766653846153844</v>
      </c>
      <c r="AI22" s="14">
        <f>IF('Données projet'!$A$62&gt;35,AI21+AH22-AQ21,IF(A22&lt;'Données projet'!$A$62,$AF$205^A22,IF(A22='Données projet'!$A$62,'Données projet'!$B$62,AI21+AH22-AQ21)))</f>
        <v>94.741076923076918</v>
      </c>
      <c r="AJ22" s="14">
        <f>AI22*VLOOKUP('Données projet'!$B$10,Paramètres!$A$1:$I$89,3,0)*VLOOKUP('Données projet'!$B$10,Paramètres!$A$1:$I$89,5,0)</f>
        <v>56.655163999999999</v>
      </c>
      <c r="AK22" s="14">
        <f t="shared" si="35"/>
        <v>16.319787067222382</v>
      </c>
      <c r="AL22" s="22">
        <f t="shared" si="4"/>
        <v>127.0980397754123</v>
      </c>
      <c r="AM22" s="60">
        <f t="shared" si="5"/>
        <v>420.43137310874562</v>
      </c>
      <c r="AN22" s="60">
        <f ca="1">AVERAGE(OFFSET($AM$3,0,0,'Données projet'!$E$10+1,1))-AVERAGE(OFFSET($H$3,0,0,'Données projet'!$E$10+1,1))</f>
        <v>189.8516574130017</v>
      </c>
      <c r="AO22" s="60">
        <f t="shared" si="36"/>
        <v>191.91100863555891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11.962621666540276</v>
      </c>
      <c r="AW22" s="23">
        <f>EXP(-LN(2)/2)*AW21+(1-EXP(-LN(2)/2))/(LN(2)/2)*AQ22*AT22*VLOOKUP('Données projet'!$B$10,Paramètres!$A$1:$I$89,3,0)*0.475*44/12</f>
        <v>12.038899775697738</v>
      </c>
      <c r="AX22" s="23">
        <f t="shared" si="6"/>
        <v>24.001521442238015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5.7692307692307683</v>
      </c>
      <c r="BD22" s="13">
        <f>IF('Données projet'!$A$88&gt;35,BD21+BC22-BL21,IF(A22&lt;'Données projet'!$A$88,$BA$205^A22,IF(A22='Données projet'!$A$88,'Données projet'!$B$88,BD21+BC22-BL21)))</f>
        <v>53.205128205128197</v>
      </c>
      <c r="BE22" s="14">
        <f>BD22*VLOOKUP('Données projet'!$B$11,Paramètres!$A$1:$I$89,3,0)*VLOOKUP('Données projet'!$B$11,Paramètres!$A$1:$I$89,5,0)</f>
        <v>55.61</v>
      </c>
      <c r="BF22" s="14">
        <f t="shared" si="37"/>
        <v>16.053478951715945</v>
      </c>
      <c r="BG22" s="22">
        <f t="shared" si="7"/>
        <v>124.81389250757191</v>
      </c>
      <c r="BH22" s="60">
        <f t="shared" si="8"/>
        <v>418.14722584090521</v>
      </c>
      <c r="BI22" s="60">
        <f ca="1">AVERAGE(OFFSET($BH$3,0,0,'Données projet'!$E$11+1,1))-AVERAGE(OFFSET($H$3,0,0,'Données projet'!$E$11+1,1))</f>
        <v>373.7520752235389</v>
      </c>
      <c r="BJ22" s="60">
        <f t="shared" si="38"/>
        <v>205.19966474305761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3.4358974358974361</v>
      </c>
      <c r="BY22" s="13">
        <f>IF('Données projet'!$A$114&gt;35,BY21+BX22-CG21,IF(A22&lt;'Données projet'!$A$114,$BV$205^A22,IF(A22='Données projet'!$A$114,'Données projet'!$B$114,BY21+BX22-CG21)))</f>
        <v>18.836588447555499</v>
      </c>
      <c r="BZ22" s="14">
        <f>BY22*VLOOKUP('Données projet'!$B$12,Paramètres!$A$1:$I$89,3,0)*VLOOKUP('Données projet'!$B$12,Paramètres!$A$1:$I$89,5,0)</f>
        <v>8.8155233934559742</v>
      </c>
      <c r="CA22" s="14">
        <f t="shared" si="39"/>
        <v>3.153358066176315</v>
      </c>
      <c r="CB22" s="22">
        <f t="shared" si="10"/>
        <v>20.845801875526238</v>
      </c>
      <c r="CC22" s="60">
        <f t="shared" si="11"/>
        <v>314.17913520885958</v>
      </c>
      <c r="CD22" s="60">
        <f ca="1">AVERAGE(OFFSET($CC$3,0,0,'Données projet'!$E$12+1,1))-AVERAGE(OFFSET($H$3,0,0,'Données projet'!$E$12+1,1))</f>
        <v>141.31558705818316</v>
      </c>
      <c r="CE22" s="60">
        <f t="shared" si="40"/>
        <v>67.142010893211364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30.436832285729924</v>
      </c>
      <c r="CV22" s="14">
        <f t="shared" si="41"/>
        <v>9.4250534107447788</v>
      </c>
      <c r="CW22" s="22">
        <f t="shared" si="13"/>
        <v>69.42611758802677</v>
      </c>
      <c r="CX22" s="60">
        <f t="shared" si="14"/>
        <v>362.7594509213601</v>
      </c>
      <c r="CY22" s="60">
        <f ca="1">AVERAGE(OFFSET($CX$3,0,0,'Données projet'!$E$13+1,1))-AVERAGE(OFFSET($H$3,0,0,'Données projet'!$E$13+1,1))</f>
        <v>281.8501448773884</v>
      </c>
      <c r="CZ22" s="60">
        <f t="shared" si="42"/>
        <v>161.7340631691518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31.52386201022027</v>
      </c>
      <c r="DQ22" s="14">
        <f t="shared" si="43"/>
        <v>9.7218710074397983</v>
      </c>
      <c r="DR22" s="22">
        <f t="shared" si="16"/>
        <v>71.836318339091292</v>
      </c>
      <c r="DS22" s="60">
        <f t="shared" si="17"/>
        <v>365.16965167242461</v>
      </c>
      <c r="DT22" s="60">
        <f ca="1">AVERAGE(OFFSET($DS$3,0,0,'Données projet'!$E$14+1,1))-AVERAGE(OFFSET($H$3,0,0,'Données projet'!$E$14+1,1))</f>
        <v>295.19398489974265</v>
      </c>
      <c r="DU22" s="60">
        <f t="shared" si="44"/>
        <v>168.80998104712489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4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60">
        <f t="shared" si="0"/>
        <v>389.595378472937</v>
      </c>
      <c r="S23" s="60">
        <f ca="1">AVERAGE(OFFSET($R$3,0,0,'Données projet'!$E$9+1,1))-AVERAGE(OFFSET($H$3,0,0,'Données projet'!$E$9+1,1))</f>
        <v>341.82426415364569</v>
      </c>
      <c r="T23" s="60">
        <f t="shared" si="34"/>
        <v>193.53376539568887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19.766653846153844</v>
      </c>
      <c r="AI23" s="14">
        <f>IF('Données projet'!$A$62&gt;35,AI22+AH23-AQ22,IF(A23&lt;'Données projet'!$A$62,$AF$205^A23,IF(A23='Données projet'!$A$62,'Données projet'!$B$62,AI22+AH23-AQ22)))</f>
        <v>114.50773076923076</v>
      </c>
      <c r="AJ23" s="14">
        <f>AI23*VLOOKUP('Données projet'!$B$10,Paramètres!$A$1:$I$89,3,0)*VLOOKUP('Données projet'!$B$10,Paramètres!$A$1:$I$89,5,0)</f>
        <v>68.475622999999999</v>
      </c>
      <c r="AK23" s="14">
        <f t="shared" si="35"/>
        <v>19.29441731637063</v>
      </c>
      <c r="AL23" s="22">
        <f t="shared" si="4"/>
        <v>152.86615355101216</v>
      </c>
      <c r="AM23" s="60">
        <f t="shared" si="5"/>
        <v>446.19948688434545</v>
      </c>
      <c r="AN23" s="60">
        <f ca="1">AVERAGE(OFFSET($AM$3,0,0,'Données projet'!$E$10+1,1))-AVERAGE(OFFSET($H$3,0,0,'Données projet'!$E$10+1,1))</f>
        <v>189.8516574130017</v>
      </c>
      <c r="AO23" s="60">
        <f t="shared" si="36"/>
        <v>191.91100863555891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11.635503147981799</v>
      </c>
      <c r="AW23" s="23">
        <f>EXP(-LN(2)/2)*AW22+(1-EXP(-LN(2)/2))/(LN(2)/2)*AQ23*AT23*VLOOKUP('Données projet'!$B$10,Paramètres!$A$1:$I$89,3,0)*0.475*44/12</f>
        <v>8.5127876694210762</v>
      </c>
      <c r="AX23" s="23">
        <f t="shared" si="6"/>
        <v>20.148290817402874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58.974358974358971</v>
      </c>
      <c r="BB23" s="13">
        <f>VLOOKUP(A23,'Données projet'!$A$87:$I$107,9,0)</f>
        <v>5.7692307692307683</v>
      </c>
      <c r="BC23" s="13">
        <f t="array" ref="BC23">INDEX(BB:BB,MIN(IF(ISNUMBER(BB23:BB219),ROW(BB23:BB219),"")))</f>
        <v>5.7692307692307683</v>
      </c>
      <c r="BD23" s="13">
        <f>IF('Données projet'!$A$88&gt;35,BD22+BC23-BL22,IF(A23&lt;'Données projet'!$A$88,$BA$205^A23,IF(A23='Données projet'!$A$88,'Données projet'!$B$88,BD22+BC23-BL22)))</f>
        <v>58.974358974358964</v>
      </c>
      <c r="BE23" s="14">
        <f>BD23*VLOOKUP('Données projet'!$B$11,Paramètres!$A$1:$I$89,3,0)*VLOOKUP('Données projet'!$B$11,Paramètres!$A$1:$I$89,5,0)</f>
        <v>61.64</v>
      </c>
      <c r="BF23" s="14">
        <f t="shared" si="37"/>
        <v>17.582259466632539</v>
      </c>
      <c r="BG23" s="22">
        <f t="shared" si="7"/>
        <v>137.97876857105169</v>
      </c>
      <c r="BH23" s="60">
        <f t="shared" si="8"/>
        <v>431.31210190438503</v>
      </c>
      <c r="BI23" s="60">
        <f ca="1">AVERAGE(OFFSET($BH$3,0,0,'Données projet'!$E$11+1,1))-AVERAGE(OFFSET($H$3,0,0,'Données projet'!$E$11+1,1))</f>
        <v>373.7520752235389</v>
      </c>
      <c r="BJ23" s="60">
        <f t="shared" si="38"/>
        <v>205.19966474305761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3.4358974358974361</v>
      </c>
      <c r="BY23" s="13">
        <f>IF('Données projet'!$A$114&gt;35,BY22+BX23-CG22,IF(A23&lt;'Données projet'!$A$114,$BV$205^A23,IF(A23='Données projet'!$A$114,'Données projet'!$B$114,BY22+BX23-CG22)))</f>
        <v>21.984046333871831</v>
      </c>
      <c r="BZ23" s="14">
        <f>BY23*VLOOKUP('Données projet'!$B$12,Paramètres!$A$1:$I$89,3,0)*VLOOKUP('Données projet'!$B$12,Paramètres!$A$1:$I$89,5,0)</f>
        <v>10.288533684252016</v>
      </c>
      <c r="CA23" s="14">
        <f t="shared" si="39"/>
        <v>3.6146612479167253</v>
      </c>
      <c r="CB23" s="22">
        <f t="shared" si="10"/>
        <v>24.214731173527223</v>
      </c>
      <c r="CC23" s="60">
        <f t="shared" si="11"/>
        <v>317.54806450686056</v>
      </c>
      <c r="CD23" s="60">
        <f ca="1">AVERAGE(OFFSET($CC$3,0,0,'Données projet'!$E$12+1,1))-AVERAGE(OFFSET($H$3,0,0,'Données projet'!$E$12+1,1))</f>
        <v>141.31558705818316</v>
      </c>
      <c r="CE23" s="60">
        <f t="shared" si="40"/>
        <v>67.142010893211364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36.691200000000009</v>
      </c>
      <c r="CV23" s="14">
        <f t="shared" si="41"/>
        <v>11.117290999341371</v>
      </c>
      <c r="CW23" s="22">
        <f t="shared" si="13"/>
        <v>83.266455157186229</v>
      </c>
      <c r="CX23" s="60">
        <f t="shared" si="14"/>
        <v>376.59978849051953</v>
      </c>
      <c r="CY23" s="60">
        <f ca="1">AVERAGE(OFFSET($CX$3,0,0,'Données projet'!$E$13+1,1))-AVERAGE(OFFSET($H$3,0,0,'Données projet'!$E$13+1,1))</f>
        <v>281.8501448773884</v>
      </c>
      <c r="CZ23" s="60">
        <f t="shared" si="42"/>
        <v>161.7340631691518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38.001600000000003</v>
      </c>
      <c r="DQ23" s="14">
        <f t="shared" si="43"/>
        <v>11.467401227090512</v>
      </c>
      <c r="DR23" s="22">
        <f t="shared" si="16"/>
        <v>86.158510470515978</v>
      </c>
      <c r="DS23" s="60">
        <f t="shared" si="17"/>
        <v>379.49184380384929</v>
      </c>
      <c r="DT23" s="60">
        <f ca="1">AVERAGE(OFFSET($DS$3,0,0,'Données projet'!$E$14+1,1))-AVERAGE(OFFSET($H$3,0,0,'Données projet'!$E$14+1,1))</f>
        <v>295.19398489974265</v>
      </c>
      <c r="DU23" s="60">
        <f t="shared" si="44"/>
        <v>168.80998104712489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4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48.266400000000004</v>
      </c>
      <c r="P24" s="14">
        <f t="shared" si="33"/>
        <v>14.165134590154434</v>
      </c>
      <c r="Q24" s="22">
        <f t="shared" si="2"/>
        <v>108.73492274451898</v>
      </c>
      <c r="R24" s="60">
        <f t="shared" si="0"/>
        <v>402.06825607785231</v>
      </c>
      <c r="S24" s="60">
        <f ca="1">AVERAGE(OFFSET($R$3,0,0,'Données projet'!$E$9+1,1))-AVERAGE(OFFSET($H$3,0,0,'Données projet'!$E$9+1,1))</f>
        <v>341.82426415364569</v>
      </c>
      <c r="T24" s="60">
        <f t="shared" si="34"/>
        <v>193.53376539568887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19.766653846153844</v>
      </c>
      <c r="AI24" s="14">
        <f>IF('Données projet'!$A$62&gt;35,AI23+AH24-AQ23,IF(A24&lt;'Données projet'!$A$62,$AF$205^A24,IF(A24='Données projet'!$A$62,'Données projet'!$B$62,AI23+AH24-AQ23)))</f>
        <v>134.27438461538461</v>
      </c>
      <c r="AJ24" s="14">
        <f>AI24*VLOOKUP('Données projet'!$B$10,Paramètres!$A$1:$I$89,3,0)*VLOOKUP('Données projet'!$B$10,Paramètres!$A$1:$I$89,5,0)</f>
        <v>80.296081999999998</v>
      </c>
      <c r="AK24" s="14">
        <f t="shared" si="35"/>
        <v>22.209562144783884</v>
      </c>
      <c r="AL24" s="22">
        <f t="shared" si="4"/>
        <v>178.53066355216527</v>
      </c>
      <c r="AM24" s="60">
        <f t="shared" si="5"/>
        <v>471.86399688549858</v>
      </c>
      <c r="AN24" s="60">
        <f ca="1">AVERAGE(OFFSET($AM$3,0,0,'Données projet'!$E$10+1,1))-AVERAGE(OFFSET($H$3,0,0,'Données projet'!$E$10+1,1))</f>
        <v>189.8516574130017</v>
      </c>
      <c r="AO24" s="60">
        <f t="shared" si="36"/>
        <v>191.91100863555891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11.317329702515719</v>
      </c>
      <c r="AW24" s="23">
        <f>EXP(-LN(2)/2)*AW23+(1-EXP(-LN(2)/2))/(LN(2)/2)*AQ24*AT24*VLOOKUP('Données projet'!$B$10,Paramètres!$A$1:$I$89,3,0)*0.475*44/12</f>
        <v>6.0194498878488689</v>
      </c>
      <c r="AX24" s="23">
        <f t="shared" si="6"/>
        <v>17.336779590364589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6.5384615384615374</v>
      </c>
      <c r="BD24" s="13">
        <f>IF('Données projet'!$A$88&gt;35,BD23+BC24-BL23,IF(A24&lt;'Données projet'!$A$88,$BA$205^A24,IF(A24='Données projet'!$A$88,'Données projet'!$B$88,BD23+BC24-BL23)))</f>
        <v>65.512820512820497</v>
      </c>
      <c r="BE24" s="14">
        <f>BD24*VLOOKUP('Données projet'!$B$11,Paramètres!$A$1:$I$89,3,0)*VLOOKUP('Données projet'!$B$11,Paramètres!$A$1:$I$89,5,0)</f>
        <v>68.47399999999999</v>
      </c>
      <c r="BF24" s="14">
        <f t="shared" si="37"/>
        <v>19.294013233443497</v>
      </c>
      <c r="BG24" s="22">
        <f t="shared" si="7"/>
        <v>152.8626230482474</v>
      </c>
      <c r="BH24" s="60">
        <f t="shared" si="8"/>
        <v>446.19595638158069</v>
      </c>
      <c r="BI24" s="60">
        <f ca="1">AVERAGE(OFFSET($BH$3,0,0,'Données projet'!$E$11+1,1))-AVERAGE(OFFSET($H$3,0,0,'Données projet'!$E$11+1,1))</f>
        <v>373.7520752235389</v>
      </c>
      <c r="BJ24" s="60">
        <f t="shared" si="38"/>
        <v>205.19966474305761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3.4358974358974361</v>
      </c>
      <c r="BY24" s="13">
        <f>IF('Données projet'!$A$114&gt;35,BY23+BX24-CG23,IF(A24&lt;'Données projet'!$A$114,$BV$205^A24,IF(A24='Données projet'!$A$114,'Données projet'!$B$114,BY23+BX24-CG23)))</f>
        <v>25.657421701143715</v>
      </c>
      <c r="BZ24" s="14">
        <f>BY24*VLOOKUP('Données projet'!$B$12,Paramètres!$A$1:$I$89,3,0)*VLOOKUP('Données projet'!$B$12,Paramètres!$A$1:$I$89,5,0)</f>
        <v>12.007673356135259</v>
      </c>
      <c r="CA24" s="14">
        <f t="shared" si="39"/>
        <v>4.1434482424744576</v>
      </c>
      <c r="CB24" s="22">
        <f t="shared" si="10"/>
        <v>28.129870117578587</v>
      </c>
      <c r="CC24" s="60">
        <f t="shared" si="11"/>
        <v>321.46320345091192</v>
      </c>
      <c r="CD24" s="60">
        <f ca="1">AVERAGE(OFFSET($CC$3,0,0,'Données projet'!$E$12+1,1))-AVERAGE(OFFSET($H$3,0,0,'Données projet'!$E$12+1,1))</f>
        <v>141.31558705818316</v>
      </c>
      <c r="CE24" s="60">
        <f t="shared" si="40"/>
        <v>67.142010893211364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41.583360000000006</v>
      </c>
      <c r="CV24" s="14">
        <f t="shared" si="41"/>
        <v>12.417363769485888</v>
      </c>
      <c r="CW24" s="22">
        <f t="shared" si="13"/>
        <v>94.051260565187931</v>
      </c>
      <c r="CX24" s="60">
        <f t="shared" si="14"/>
        <v>387.38459389852125</v>
      </c>
      <c r="CY24" s="60">
        <f ca="1">AVERAGE(OFFSET($CX$3,0,0,'Données projet'!$E$13+1,1))-AVERAGE(OFFSET($H$3,0,0,'Données projet'!$E$13+1,1))</f>
        <v>281.8501448773884</v>
      </c>
      <c r="CZ24" s="60">
        <f t="shared" si="42"/>
        <v>161.7340631691518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43.068480000000001</v>
      </c>
      <c r="DQ24" s="14">
        <f t="shared" si="43"/>
        <v>12.808416415102187</v>
      </c>
      <c r="DR24" s="22">
        <f t="shared" si="16"/>
        <v>97.318927922969635</v>
      </c>
      <c r="DS24" s="60">
        <f t="shared" si="17"/>
        <v>390.65226125630295</v>
      </c>
      <c r="DT24" s="60">
        <f ca="1">AVERAGE(OFFSET($DS$3,0,0,'Données projet'!$E$14+1,1))-AVERAGE(OFFSET($H$3,0,0,'Données projet'!$E$14+1,1))</f>
        <v>295.19398489974265</v>
      </c>
      <c r="DU24" s="60">
        <f t="shared" si="44"/>
        <v>168.80998104712489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4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53.944800000000008</v>
      </c>
      <c r="P25" s="14">
        <f t="shared" si="33"/>
        <v>15.627975445731321</v>
      </c>
      <c r="Q25" s="22">
        <f t="shared" si="2"/>
        <v>121.17258390131538</v>
      </c>
      <c r="R25" s="60">
        <f t="shared" si="0"/>
        <v>414.50591723464868</v>
      </c>
      <c r="S25" s="60">
        <f ca="1">AVERAGE(OFFSET($R$3,0,0,'Données projet'!$E$9+1,1))-AVERAGE(OFFSET($H$3,0,0,'Données projet'!$E$9+1,1))</f>
        <v>341.82426415364569</v>
      </c>
      <c r="T25" s="60">
        <f t="shared" si="34"/>
        <v>193.53376539568887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19.766653846153844</v>
      </c>
      <c r="AI25" s="14">
        <f>IF('Données projet'!$A$62&gt;35,AI24+AH25-AQ24,IF(A25&lt;'Données projet'!$A$62,$AF$205^A25,IF(A25='Données projet'!$A$62,'Données projet'!$B$62,AI24+AH25-AQ24)))</f>
        <v>154.04103846153845</v>
      </c>
      <c r="AJ25" s="14">
        <f>AI25*VLOOKUP('Données projet'!$B$10,Paramètres!$A$1:$I$89,3,0)*VLOOKUP('Données projet'!$B$10,Paramètres!$A$1:$I$89,5,0)</f>
        <v>92.116540999999998</v>
      </c>
      <c r="AK25" s="14">
        <f t="shared" si="35"/>
        <v>25.074991093206982</v>
      </c>
      <c r="AL25" s="22">
        <f t="shared" si="4"/>
        <v>204.10858506233546</v>
      </c>
      <c r="AM25" s="60">
        <f t="shared" si="5"/>
        <v>497.44191839566878</v>
      </c>
      <c r="AN25" s="60">
        <f ca="1">AVERAGE(OFFSET($AM$3,0,0,'Données projet'!$E$10+1,1))-AVERAGE(OFFSET($H$3,0,0,'Données projet'!$E$10+1,1))</f>
        <v>189.8516574130017</v>
      </c>
      <c r="AO25" s="60">
        <f t="shared" si="36"/>
        <v>191.91100863555891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11.007856726647924</v>
      </c>
      <c r="AW25" s="23">
        <f>EXP(-LN(2)/2)*AW24+(1-EXP(-LN(2)/2))/(LN(2)/2)*AQ25*AT25*VLOOKUP('Données projet'!$B$10,Paramètres!$A$1:$I$89,3,0)*0.475*44/12</f>
        <v>4.2563938347105381</v>
      </c>
      <c r="AX25" s="23">
        <f t="shared" si="6"/>
        <v>15.264250561358462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6.5384615384615374</v>
      </c>
      <c r="BD25" s="13">
        <f>IF('Données projet'!$A$88&gt;35,BD24+BC25-BL24,IF(A25&lt;'Données projet'!$A$88,$BA$205^A25,IF(A25='Données projet'!$A$88,'Données projet'!$B$88,BD24+BC25-BL24)))</f>
        <v>72.05128205128203</v>
      </c>
      <c r="BE25" s="14">
        <f>BD25*VLOOKUP('Données projet'!$B$11,Paramètres!$A$1:$I$89,3,0)*VLOOKUP('Données projet'!$B$11,Paramètres!$A$1:$I$89,5,0)</f>
        <v>75.307999999999979</v>
      </c>
      <c r="BF25" s="14">
        <f t="shared" si="37"/>
        <v>20.985961565400835</v>
      </c>
      <c r="BG25" s="22">
        <f t="shared" si="7"/>
        <v>167.71198305973977</v>
      </c>
      <c r="BH25" s="60">
        <f t="shared" si="8"/>
        <v>461.04531639307311</v>
      </c>
      <c r="BI25" s="60">
        <f ca="1">AVERAGE(OFFSET($BH$3,0,0,'Données projet'!$E$11+1,1))-AVERAGE(OFFSET($H$3,0,0,'Données projet'!$E$11+1,1))</f>
        <v>373.7520752235389</v>
      </c>
      <c r="BJ25" s="60">
        <f t="shared" si="38"/>
        <v>205.19966474305761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3.4358974358974361</v>
      </c>
      <c r="BY25" s="13">
        <f>IF('Données projet'!$A$114&gt;35,BY24+BX25-CG24,IF(A25&lt;'Données projet'!$A$114,$BV$205^A25,IF(A25='Données projet'!$A$114,'Données projet'!$B$114,BY24+BX25-CG24)))</f>
        <v>29.944591562111224</v>
      </c>
      <c r="BZ25" s="14">
        <f>BY25*VLOOKUP('Données projet'!$B$12,Paramètres!$A$1:$I$89,3,0)*VLOOKUP('Données projet'!$B$12,Paramètres!$A$1:$I$89,5,0)</f>
        <v>14.014068851068053</v>
      </c>
      <c r="CA25" s="14">
        <f t="shared" si="39"/>
        <v>4.749591223232712</v>
      </c>
      <c r="CB25" s="22">
        <f t="shared" si="10"/>
        <v>32.680041296073831</v>
      </c>
      <c r="CC25" s="60">
        <f t="shared" si="11"/>
        <v>326.01337462940717</v>
      </c>
      <c r="CD25" s="60">
        <f ca="1">AVERAGE(OFFSET($CC$3,0,0,'Données projet'!$E$12+1,1))-AVERAGE(OFFSET($H$3,0,0,'Données projet'!$E$12+1,1))</f>
        <v>141.31558705818316</v>
      </c>
      <c r="CE25" s="60">
        <f t="shared" si="40"/>
        <v>67.142010893211364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46.47552000000001</v>
      </c>
      <c r="CV25" s="14">
        <f t="shared" si="41"/>
        <v>13.699711418564323</v>
      </c>
      <c r="CW25" s="22">
        <f t="shared" si="13"/>
        <v>104.80519472066622</v>
      </c>
      <c r="CX25" s="60">
        <f t="shared" si="14"/>
        <v>398.13852805399955</v>
      </c>
      <c r="CY25" s="60">
        <f ca="1">AVERAGE(OFFSET($CX$3,0,0,'Données projet'!$E$13+1,1))-AVERAGE(OFFSET($H$3,0,0,'Données projet'!$E$13+1,1))</f>
        <v>281.8501448773884</v>
      </c>
      <c r="CZ25" s="60">
        <f t="shared" si="42"/>
        <v>161.7340631691518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48.135359999999999</v>
      </c>
      <c r="DQ25" s="14">
        <f t="shared" si="43"/>
        <v>14.131148275361113</v>
      </c>
      <c r="DR25" s="22">
        <f t="shared" si="16"/>
        <v>108.4475019129206</v>
      </c>
      <c r="DS25" s="60">
        <f t="shared" si="17"/>
        <v>401.7808352462539</v>
      </c>
      <c r="DT25" s="60">
        <f ca="1">AVERAGE(OFFSET($DS$3,0,0,'Données projet'!$E$14+1,1))-AVERAGE(OFFSET($H$3,0,0,'Données projet'!$E$14+1,1))</f>
        <v>295.19398489974265</v>
      </c>
      <c r="DU25" s="60">
        <f t="shared" si="44"/>
        <v>168.80998104712489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4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59.623200000000011</v>
      </c>
      <c r="P26" s="14">
        <f t="shared" si="33"/>
        <v>17.072967249098898</v>
      </c>
      <c r="Q26" s="22">
        <f t="shared" si="2"/>
        <v>133.57915795884725</v>
      </c>
      <c r="R26" s="60">
        <f t="shared" si="0"/>
        <v>426.91249129218056</v>
      </c>
      <c r="S26" s="60">
        <f ca="1">AVERAGE(OFFSET($R$3,0,0,'Données projet'!$E$9+1,1))-AVERAGE(OFFSET($H$3,0,0,'Données projet'!$E$9+1,1))</f>
        <v>341.82426415364569</v>
      </c>
      <c r="T26" s="60">
        <f t="shared" si="34"/>
        <v>193.53376539568887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>
        <f>VLOOKUP(A26,'Données projet'!$A$61:$I$81,2,0)</f>
        <v>173.80769230769229</v>
      </c>
      <c r="AG26" s="13">
        <f>VLOOKUP(A26,'Données projet'!$A$61:$I$81,9,0)</f>
        <v>19.766653846153844</v>
      </c>
      <c r="AH26" s="13">
        <f t="array" ref="AH26">INDEX(AG:AG,MIN(IF(ISNUMBER(AG26:AG222),ROW(AG26:AG222),"")))</f>
        <v>19.766653846153844</v>
      </c>
      <c r="AI26" s="14">
        <f>IF('Données projet'!$A$62&gt;35,AI25+AH26-AQ25,IF(A26&lt;'Données projet'!$A$62,$AF$205^A26,IF(A26='Données projet'!$A$62,'Données projet'!$B$62,AI25+AH26-AQ25)))</f>
        <v>173.80769230769229</v>
      </c>
      <c r="AJ26" s="14">
        <f>AI26*VLOOKUP('Données projet'!$B$10,Paramètres!$A$1:$I$89,3,0)*VLOOKUP('Données projet'!$B$10,Paramètres!$A$1:$I$89,5,0)</f>
        <v>103.937</v>
      </c>
      <c r="AK26" s="14">
        <f t="shared" si="35"/>
        <v>27.897815230264825</v>
      </c>
      <c r="AL26" s="22">
        <f t="shared" si="4"/>
        <v>229.61230319271124</v>
      </c>
      <c r="AM26" s="60">
        <f t="shared" si="5"/>
        <v>522.94563652604461</v>
      </c>
      <c r="AN26" s="60">
        <f ca="1">AVERAGE(OFFSET($AM$3,0,0,'Données projet'!$E$10+1,1))-AVERAGE(OFFSET($H$3,0,0,'Données projet'!$E$10+1,1))</f>
        <v>189.8516574130017</v>
      </c>
      <c r="AO26" s="60">
        <f t="shared" si="36"/>
        <v>191.91100863555891</v>
      </c>
      <c r="AP26" s="16">
        <f>IF(ISNA(VLOOKUP(A26,'Données projet'!$A$61:$I$81,3,0)),0,VLOOKUP(A26,'Données projet'!$A$61:$I$81,3,0))</f>
        <v>2</v>
      </c>
      <c r="AQ26" s="16">
        <f>IF(ISNA(VLOOKUP(A26,'Données projet'!$A$61:$I$81,4,0)),0,VLOOKUP(A26,'Données projet'!$A$61:$I$81,4,0))</f>
        <v>54.099999999999987</v>
      </c>
      <c r="AR26" s="17">
        <f>IF(ISNA(VLOOKUP(A26,'Données projet'!$A$61:$I$81,5,0)),0%,VLOOKUP(A26,'Données projet'!$A$61:$I$81,5,0)*VLOOKUP('Données projet'!$B$10,Paramètres!$A$1:$I$89,7,0))</f>
        <v>0.1125</v>
      </c>
      <c r="AS26" s="17">
        <f>IF(ISNA(VLOOKUP(A26,'Données projet'!$A$61:$I$81,6,0)),0%,VLOOKUP(A26,'Données projet'!$A$61:$I$81,6,0)*VLOOKUP('Données projet'!$B$10,Paramètres!$A$1:$I$89,7,0))</f>
        <v>0.16875000000000001</v>
      </c>
      <c r="AT26" s="17">
        <f>IF(ISNA(VLOOKUP(A26,'Données projet'!$A$61:$I$81,7,0)),0%,VLOOKUP(A26,'Données projet'!$A$61:$I$81,7,0))</f>
        <v>0.375</v>
      </c>
      <c r="AU26" s="23">
        <f>EXP(-LN(2)/35)*AU25+(1-EXP(-LN(2)/35))/(LN(2)/35)*AQ26*AR26*VLOOKUP('Données projet'!$B$10,Paramètres!$A$1:$I$89,3,0)*0.475*44/12</f>
        <v>4.8281341443175014</v>
      </c>
      <c r="AV26" s="23">
        <f>EXP(-LN(2)/25)*AV25+(1-EXP(-LN(2)/25))/(LN(2)/25)*Calculateur!AQ26*Calculateur!AS26*VLOOKUP('Données projet'!$B$10,Paramètres!$A$1:$I$89,3,0)*0.475*44/12</f>
        <v>17.92053221637169</v>
      </c>
      <c r="AW26" s="23">
        <f>EXP(-LN(2)/2)*AW25+(1-EXP(-LN(2)/2))/(LN(2)/2)*AQ26*AT26*VLOOKUP('Données projet'!$B$10,Paramètres!$A$1:$I$89,3,0)*0.475*44/12</f>
        <v>16.7458822600932</v>
      </c>
      <c r="AX26" s="23">
        <f t="shared" si="6"/>
        <v>39.494548620782396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6.5384615384615374</v>
      </c>
      <c r="BD26" s="13">
        <f>IF('Données projet'!$A$88&gt;35,BD25+BC26-BL25,IF(A26&lt;'Données projet'!$A$88,$BA$205^A26,IF(A26='Données projet'!$A$88,'Données projet'!$B$88,BD25+BC26-BL25)))</f>
        <v>78.589743589743563</v>
      </c>
      <c r="BE26" s="14">
        <f>BD26*VLOOKUP('Données projet'!$B$11,Paramètres!$A$1:$I$89,3,0)*VLOOKUP('Données projet'!$B$11,Paramètres!$A$1:$I$89,5,0)</f>
        <v>82.141999999999982</v>
      </c>
      <c r="BF26" s="14">
        <f t="shared" si="37"/>
        <v>22.660106151503225</v>
      </c>
      <c r="BG26" s="22">
        <f t="shared" si="7"/>
        <v>182.53033488053475</v>
      </c>
      <c r="BH26" s="60">
        <f t="shared" si="8"/>
        <v>475.8636682138681</v>
      </c>
      <c r="BI26" s="60">
        <f ca="1">AVERAGE(OFFSET($BH$3,0,0,'Données projet'!$E$11+1,1))-AVERAGE(OFFSET($H$3,0,0,'Données projet'!$E$11+1,1))</f>
        <v>373.7520752235389</v>
      </c>
      <c r="BJ26" s="60">
        <f t="shared" si="38"/>
        <v>205.19966474305761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3.4358974358974361</v>
      </c>
      <c r="BY26" s="13">
        <f>IF('Données projet'!$A$114&gt;35,BY25+BX26-CG25,IF(A26&lt;'Données projet'!$A$114,$BV$205^A26,IF(A26='Données projet'!$A$114,'Données projet'!$B$114,BY25+BX26-CG25)))</f>
        <v>34.948116543670167</v>
      </c>
      <c r="BZ26" s="14">
        <f>BY26*VLOOKUP('Données projet'!$B$12,Paramètres!$A$1:$I$89,3,0)*VLOOKUP('Données projet'!$B$12,Paramètres!$A$1:$I$89,5,0)</f>
        <v>16.355718542437639</v>
      </c>
      <c r="CA26" s="14">
        <f t="shared" si="39"/>
        <v>5.4444065589044843</v>
      </c>
      <c r="CB26" s="22">
        <f t="shared" si="10"/>
        <v>37.968551218170866</v>
      </c>
      <c r="CC26" s="60">
        <f t="shared" si="11"/>
        <v>331.3018845515042</v>
      </c>
      <c r="CD26" s="60">
        <f ca="1">AVERAGE(OFFSET($CC$3,0,0,'Données projet'!$E$12+1,1))-AVERAGE(OFFSET($H$3,0,0,'Données projet'!$E$12+1,1))</f>
        <v>141.31558705818316</v>
      </c>
      <c r="CE26" s="60">
        <f t="shared" si="40"/>
        <v>67.142010893211364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51.367680000000007</v>
      </c>
      <c r="CV26" s="14">
        <f t="shared" si="41"/>
        <v>14.966412327909154</v>
      </c>
      <c r="CW26" s="22">
        <f t="shared" si="13"/>
        <v>115.53187747110844</v>
      </c>
      <c r="CX26" s="60">
        <f t="shared" si="14"/>
        <v>408.86521080444174</v>
      </c>
      <c r="CY26" s="60">
        <f ca="1">AVERAGE(OFFSET($CX$3,0,0,'Données projet'!$E$13+1,1))-AVERAGE(OFFSET($H$3,0,0,'Données projet'!$E$13+1,1))</f>
        <v>281.8501448773884</v>
      </c>
      <c r="CZ26" s="60">
        <f t="shared" si="42"/>
        <v>161.7340631691518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53.202240000000003</v>
      </c>
      <c r="DQ26" s="14">
        <f t="shared" si="43"/>
        <v>15.437740642425908</v>
      </c>
      <c r="DR26" s="22">
        <f t="shared" si="16"/>
        <v>119.54796628555846</v>
      </c>
      <c r="DS26" s="60">
        <f t="shared" si="17"/>
        <v>412.88129961889177</v>
      </c>
      <c r="DT26" s="60">
        <f ca="1">AVERAGE(OFFSET($DS$3,0,0,'Données projet'!$E$14+1,1))-AVERAGE(OFFSET($H$3,0,0,'Données projet'!$E$14+1,1))</f>
        <v>295.19398489974265</v>
      </c>
      <c r="DU26" s="60">
        <f t="shared" si="44"/>
        <v>168.80998104712489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4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65.301600000000008</v>
      </c>
      <c r="P27" s="14">
        <f t="shared" si="33"/>
        <v>18.502003309535596</v>
      </c>
      <c r="Q27" s="22">
        <f t="shared" si="2"/>
        <v>145.95794243077449</v>
      </c>
      <c r="R27" s="60">
        <f t="shared" si="0"/>
        <v>439.29127576410781</v>
      </c>
      <c r="S27" s="60">
        <f ca="1">AVERAGE(OFFSET($R$3,0,0,'Données projet'!$E$9+1,1))-AVERAGE(OFFSET($H$3,0,0,'Données projet'!$E$9+1,1))</f>
        <v>341.82426415364569</v>
      </c>
      <c r="T27" s="60">
        <f t="shared" si="34"/>
        <v>193.53376539568887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15.073076923076925</v>
      </c>
      <c r="AI27" s="14">
        <f>IF('Données projet'!$A$62&gt;35,AI26+AH27-AQ26,IF(A27&lt;'Données projet'!$A$62,$AF$205^A27,IF(A27='Données projet'!$A$62,'Données projet'!$B$62,AI26+AH27-AQ26)))</f>
        <v>134.78076923076921</v>
      </c>
      <c r="AJ27" s="14">
        <f>AI27*VLOOKUP('Données projet'!$B$10,Paramètres!$A$1:$I$89,3,0)*VLOOKUP('Données projet'!$B$10,Paramètres!$A$1:$I$89,5,0)</f>
        <v>80.598899999999986</v>
      </c>
      <c r="AK27" s="14">
        <f t="shared" si="35"/>
        <v>22.283554667877272</v>
      </c>
      <c r="AL27" s="22">
        <f t="shared" si="4"/>
        <v>179.18694187988618</v>
      </c>
      <c r="AM27" s="60">
        <f t="shared" si="5"/>
        <v>472.52027521321952</v>
      </c>
      <c r="AN27" s="60">
        <f ca="1">AVERAGE(OFFSET($AM$3,0,0,'Données projet'!$E$10+1,1))-AVERAGE(OFFSET($H$3,0,0,'Données projet'!$E$10+1,1))</f>
        <v>189.8516574130017</v>
      </c>
      <c r="AO27" s="60">
        <f t="shared" si="36"/>
        <v>191.91100863555891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4.733457378618481</v>
      </c>
      <c r="AV27" s="23">
        <f>EXP(-LN(2)/25)*AV26+(1-EXP(-LN(2)/25))/(LN(2)/25)*Calculateur!AQ27*Calculateur!AS27*VLOOKUP('Données projet'!$B$10,Paramètres!$A$1:$I$89,3,0)*0.475*44/12</f>
        <v>17.430494320515177</v>
      </c>
      <c r="AW27" s="23">
        <f>EXP(-LN(2)/2)*AW26+(1-EXP(-LN(2)/2))/(LN(2)/2)*AQ27*AT27*VLOOKUP('Données projet'!$B$10,Paramètres!$A$1:$I$89,3,0)*0.475*44/12</f>
        <v>11.841126903063412</v>
      </c>
      <c r="AX27" s="23">
        <f t="shared" si="6"/>
        <v>34.005078602197074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6.5384615384615374</v>
      </c>
      <c r="BD27" s="13">
        <f>IF('Données projet'!$A$88&gt;35,BD26+BC27-BL26,IF(A27&lt;'Données projet'!$A$88,$BA$205^A27,IF(A27='Données projet'!$A$88,'Données projet'!$B$88,BD26+BC27-BL26)))</f>
        <v>85.128205128205096</v>
      </c>
      <c r="BE27" s="14">
        <f>BD27*VLOOKUP('Données projet'!$B$11,Paramètres!$A$1:$I$89,3,0)*VLOOKUP('Données projet'!$B$11,Paramètres!$A$1:$I$89,5,0)</f>
        <v>88.975999999999971</v>
      </c>
      <c r="BF27" s="14">
        <f t="shared" si="37"/>
        <v>24.318096618795476</v>
      </c>
      <c r="BG27" s="22">
        <f t="shared" si="7"/>
        <v>197.32055161106871</v>
      </c>
      <c r="BH27" s="60">
        <f t="shared" si="8"/>
        <v>490.65388494440202</v>
      </c>
      <c r="BI27" s="60">
        <f ca="1">AVERAGE(OFFSET($BH$3,0,0,'Données projet'!$E$11+1,1))-AVERAGE(OFFSET($H$3,0,0,'Données projet'!$E$11+1,1))</f>
        <v>373.7520752235389</v>
      </c>
      <c r="BJ27" s="60">
        <f t="shared" si="38"/>
        <v>205.19966474305761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3.4358974358974361</v>
      </c>
      <c r="BY27" s="13">
        <f>IF('Données projet'!$A$114&gt;35,BY26+BX27-CG26,IF(A27&lt;'Données projet'!$A$114,$BV$205^A27,IF(A27='Données projet'!$A$114,'Données projet'!$B$114,BY26+BX27-CG26)))</f>
        <v>40.787694412748245</v>
      </c>
      <c r="BZ27" s="14">
        <f>BY27*VLOOKUP('Données projet'!$B$12,Paramètres!$A$1:$I$89,3,0)*VLOOKUP('Données projet'!$B$12,Paramètres!$A$1:$I$89,5,0)</f>
        <v>19.08864098516618</v>
      </c>
      <c r="CA27" s="14">
        <f t="shared" si="39"/>
        <v>6.2408660841484478</v>
      </c>
      <c r="CB27" s="22">
        <f t="shared" si="10"/>
        <v>44.115558145722979</v>
      </c>
      <c r="CC27" s="60">
        <f t="shared" si="11"/>
        <v>337.44889147905627</v>
      </c>
      <c r="CD27" s="60">
        <f ca="1">AVERAGE(OFFSET($CC$3,0,0,'Données projet'!$E$12+1,1))-AVERAGE(OFFSET($H$3,0,0,'Données projet'!$E$12+1,1))</f>
        <v>141.31558705818316</v>
      </c>
      <c r="CE27" s="60">
        <f t="shared" si="40"/>
        <v>67.142010893211364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56.259840000000011</v>
      </c>
      <c r="CV27" s="14">
        <f t="shared" si="41"/>
        <v>16.219126200073092</v>
      </c>
      <c r="CW27" s="22">
        <f t="shared" si="13"/>
        <v>126.23419946512733</v>
      </c>
      <c r="CX27" s="60">
        <f t="shared" si="14"/>
        <v>419.56753279846066</v>
      </c>
      <c r="CY27" s="60">
        <f ca="1">AVERAGE(OFFSET($CX$3,0,0,'Données projet'!$E$13+1,1))-AVERAGE(OFFSET($H$3,0,0,'Données projet'!$E$13+1,1))</f>
        <v>281.8501448773884</v>
      </c>
      <c r="CZ27" s="60">
        <f t="shared" si="42"/>
        <v>161.7340631691518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58.269120000000008</v>
      </c>
      <c r="DQ27" s="14">
        <f t="shared" si="43"/>
        <v>16.729905486873804</v>
      </c>
      <c r="DR27" s="22">
        <f t="shared" si="16"/>
        <v>130.62330272297189</v>
      </c>
      <c r="DS27" s="60">
        <f t="shared" si="17"/>
        <v>423.95663605630523</v>
      </c>
      <c r="DT27" s="60">
        <f ca="1">AVERAGE(OFFSET($DS$3,0,0,'Données projet'!$E$14+1,1))-AVERAGE(OFFSET($H$3,0,0,'Données projet'!$E$14+1,1))</f>
        <v>295.19398489974265</v>
      </c>
      <c r="DU27" s="60">
        <f t="shared" si="44"/>
        <v>168.80998104712489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4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70.98</v>
      </c>
      <c r="P28" s="14">
        <f t="shared" si="33"/>
        <v>19.916628839746853</v>
      </c>
      <c r="Q28" s="22">
        <f t="shared" si="2"/>
        <v>158.31162856255909</v>
      </c>
      <c r="R28" s="60">
        <f t="shared" si="0"/>
        <v>451.64496189589238</v>
      </c>
      <c r="S28" s="60">
        <f ca="1">AVERAGE(OFFSET($R$3,0,0,'Données projet'!$E$9+1,1))-AVERAGE(OFFSET($H$3,0,0,'Données projet'!$E$9+1,1))</f>
        <v>341.82426415364569</v>
      </c>
      <c r="T28" s="60">
        <f t="shared" si="34"/>
        <v>193.53376539568887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15.073076923076925</v>
      </c>
      <c r="AI28" s="14">
        <f>IF('Données projet'!$A$62&gt;35,AI27+AH28-AQ27,IF(A28&lt;'Données projet'!$A$62,$AF$205^A28,IF(A28='Données projet'!$A$62,'Données projet'!$B$62,AI27+AH28-AQ27)))</f>
        <v>149.85384615384612</v>
      </c>
      <c r="AJ28" s="14">
        <f>AI28*VLOOKUP('Données projet'!$B$10,Paramètres!$A$1:$I$89,3,0)*VLOOKUP('Données projet'!$B$10,Paramètres!$A$1:$I$89,5,0)</f>
        <v>89.6126</v>
      </c>
      <c r="AK28" s="14">
        <f t="shared" si="35"/>
        <v>24.471769998555317</v>
      </c>
      <c r="AL28" s="22">
        <f t="shared" si="4"/>
        <v>198.69694441415049</v>
      </c>
      <c r="AM28" s="60">
        <f t="shared" si="5"/>
        <v>492.03027774748381</v>
      </c>
      <c r="AN28" s="60">
        <f ca="1">AVERAGE(OFFSET($AM$3,0,0,'Données projet'!$E$10+1,1))-AVERAGE(OFFSET($H$3,0,0,'Données projet'!$E$10+1,1))</f>
        <v>189.8516574130017</v>
      </c>
      <c r="AO28" s="60">
        <f t="shared" si="36"/>
        <v>191.91100863555891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4.6406371665476938</v>
      </c>
      <c r="AV28" s="23">
        <f>EXP(-LN(2)/25)*AV27+(1-EXP(-LN(2)/25))/(LN(2)/25)*Calculateur!AQ28*Calculateur!AS28*VLOOKUP('Données projet'!$B$10,Paramètres!$A$1:$I$89,3,0)*0.475*44/12</f>
        <v>16.953856536690832</v>
      </c>
      <c r="AW28" s="23">
        <f>EXP(-LN(2)/2)*AW27+(1-EXP(-LN(2)/2))/(LN(2)/2)*AQ28*AT28*VLOOKUP('Données projet'!$B$10,Paramètres!$A$1:$I$89,3,0)*0.475*44/12</f>
        <v>8.3729411300466019</v>
      </c>
      <c r="AX28" s="23">
        <f t="shared" si="6"/>
        <v>29.967434833285129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91.666666666666657</v>
      </c>
      <c r="BB28" s="13">
        <f>VLOOKUP(A28,'Données projet'!$A$87:$I$107,9,0)</f>
        <v>6.5384615384615374</v>
      </c>
      <c r="BC28" s="13">
        <f t="array" ref="BC28">INDEX(BB:BB,MIN(IF(ISNUMBER(BB28:BB224),ROW(BB28:BB224),"")))</f>
        <v>6.5384615384615374</v>
      </c>
      <c r="BD28" s="13">
        <f>IF('Données projet'!$A$88&gt;35,BD27+BC28-BL27,IF(A28&lt;'Données projet'!$A$88,$BA$205^A28,IF(A28='Données projet'!$A$88,'Données projet'!$B$88,BD27+BC28-BL27)))</f>
        <v>91.666666666666629</v>
      </c>
      <c r="BE28" s="14">
        <f>BD28*VLOOKUP('Données projet'!$B$11,Paramètres!$A$1:$I$89,3,0)*VLOOKUP('Données projet'!$B$11,Paramètres!$A$1:$I$89,5,0)</f>
        <v>95.80999999999996</v>
      </c>
      <c r="BF28" s="14">
        <f t="shared" si="37"/>
        <v>25.961314793499493</v>
      </c>
      <c r="BG28" s="22">
        <f t="shared" si="7"/>
        <v>212.08503993201154</v>
      </c>
      <c r="BH28" s="60">
        <f t="shared" si="8"/>
        <v>505.41837326534483</v>
      </c>
      <c r="BI28" s="60">
        <f ca="1">AVERAGE(OFFSET($BH$3,0,0,'Données projet'!$E$11+1,1))-AVERAGE(OFFSET($H$3,0,0,'Données projet'!$E$11+1,1))</f>
        <v>373.7520752235389</v>
      </c>
      <c r="BJ28" s="60">
        <f t="shared" si="38"/>
        <v>205.19966474305761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18.589743589743588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3.4358974358974361</v>
      </c>
      <c r="BY28" s="13">
        <f>IF('Données projet'!$A$114&gt;35,BY27+BX28-CG27,IF(A28&lt;'Données projet'!$A$114,$BV$205^A28,IF(A28='Données projet'!$A$114,'Données projet'!$B$114,BY27+BX28-CG27)))</f>
        <v>47.603023568635017</v>
      </c>
      <c r="BZ28" s="14">
        <f>BY28*VLOOKUP('Données projet'!$B$12,Paramètres!$A$1:$I$89,3,0)*VLOOKUP('Données projet'!$B$12,Paramètres!$A$1:$I$89,5,0)</f>
        <v>22.278215030121189</v>
      </c>
      <c r="CA28" s="14">
        <f t="shared" si="39"/>
        <v>7.1538392768580321</v>
      </c>
      <c r="CB28" s="22">
        <f t="shared" si="10"/>
        <v>51.260827917988813</v>
      </c>
      <c r="CC28" s="60">
        <f t="shared" si="11"/>
        <v>344.59416125132213</v>
      </c>
      <c r="CD28" s="60">
        <f ca="1">AVERAGE(OFFSET($CC$3,0,0,'Données projet'!$E$12+1,1))-AVERAGE(OFFSET($H$3,0,0,'Données projet'!$E$12+1,1))</f>
        <v>141.31558705818316</v>
      </c>
      <c r="CE28" s="60">
        <f t="shared" si="40"/>
        <v>67.142010893211364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61.152000000000008</v>
      </c>
      <c r="CV28" s="14">
        <f t="shared" si="41"/>
        <v>17.459207591071255</v>
      </c>
      <c r="CW28" s="22">
        <f t="shared" si="13"/>
        <v>136.91451988778243</v>
      </c>
      <c r="CX28" s="60">
        <f t="shared" si="14"/>
        <v>430.24785322111575</v>
      </c>
      <c r="CY28" s="60">
        <f ca="1">AVERAGE(OFFSET($CX$3,0,0,'Données projet'!$E$13+1,1))-AVERAGE(OFFSET($H$3,0,0,'Données projet'!$E$13+1,1))</f>
        <v>281.8501448773884</v>
      </c>
      <c r="CZ28" s="60">
        <f t="shared" si="42"/>
        <v>161.7340631691518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63.335999999999991</v>
      </c>
      <c r="DQ28" s="14">
        <f t="shared" si="43"/>
        <v>18.009040022946227</v>
      </c>
      <c r="DR28" s="22">
        <f t="shared" si="16"/>
        <v>141.67594470663133</v>
      </c>
      <c r="DS28" s="60">
        <f t="shared" si="17"/>
        <v>435.00927803996467</v>
      </c>
      <c r="DT28" s="60">
        <f ca="1">AVERAGE(OFFSET($DS$3,0,0,'Données projet'!$E$14+1,1))-AVERAGE(OFFSET($H$3,0,0,'Données projet'!$E$14+1,1))</f>
        <v>295.19398489974265</v>
      </c>
      <c r="DU28" s="60">
        <f t="shared" si="44"/>
        <v>168.80998104712489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4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78.078000000000003</v>
      </c>
      <c r="P29" s="14">
        <f t="shared" si="33"/>
        <v>21.666582091642084</v>
      </c>
      <c r="Q29" s="22">
        <f t="shared" si="2"/>
        <v>173.72181380960993</v>
      </c>
      <c r="R29" s="60">
        <f t="shared" si="0"/>
        <v>467.05514714294327</v>
      </c>
      <c r="S29" s="60">
        <f ca="1">AVERAGE(OFFSET($R$3,0,0,'Données projet'!$E$9+1,1))-AVERAGE(OFFSET($H$3,0,0,'Données projet'!$E$9+1,1))</f>
        <v>341.82426415364569</v>
      </c>
      <c r="T29" s="60">
        <f t="shared" si="34"/>
        <v>193.53376539568887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15.073076923076925</v>
      </c>
      <c r="AI29" s="14">
        <f>IF('Données projet'!$A$62&gt;35,AI28+AH29-AQ28,IF(A29&lt;'Données projet'!$A$62,$AF$205^A29,IF(A29='Données projet'!$A$62,'Données projet'!$B$62,AI28+AH29-AQ28)))</f>
        <v>164.92692307692306</v>
      </c>
      <c r="AJ29" s="14">
        <f>AI29*VLOOKUP('Données projet'!$B$10,Paramètres!$A$1:$I$89,3,0)*VLOOKUP('Données projet'!$B$10,Paramètres!$A$1:$I$89,5,0)</f>
        <v>98.626300000000001</v>
      </c>
      <c r="AK29" s="14">
        <f t="shared" si="35"/>
        <v>26.634469472597342</v>
      </c>
      <c r="AL29" s="22">
        <f t="shared" si="4"/>
        <v>218.16250683144037</v>
      </c>
      <c r="AM29" s="60">
        <f t="shared" si="5"/>
        <v>511.49584016477365</v>
      </c>
      <c r="AN29" s="60">
        <f ca="1">AVERAGE(OFFSET($AM$3,0,0,'Données projet'!$E$10+1,1))-AVERAGE(OFFSET($H$3,0,0,'Données projet'!$E$10+1,1))</f>
        <v>189.8516574130017</v>
      </c>
      <c r="AO29" s="60">
        <f t="shared" si="36"/>
        <v>191.91100863555891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4.5496371022208759</v>
      </c>
      <c r="AV29" s="23">
        <f>EXP(-LN(2)/25)*AV28+(1-EXP(-LN(2)/25))/(LN(2)/25)*Calculateur!AQ29*Calculateur!AS29*VLOOKUP('Données projet'!$B$10,Paramètres!$A$1:$I$89,3,0)*0.475*44/12</f>
        <v>16.490252438130454</v>
      </c>
      <c r="AW29" s="23">
        <f>EXP(-LN(2)/2)*AW28+(1-EXP(-LN(2)/2))/(LN(2)/2)*AQ29*AT29*VLOOKUP('Données projet'!$B$10,Paramètres!$A$1:$I$89,3,0)*0.475*44/12</f>
        <v>5.9205634515317067</v>
      </c>
      <c r="AX29" s="23">
        <f t="shared" si="6"/>
        <v>26.960452991883038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6.7948717948717956</v>
      </c>
      <c r="BD29" s="13">
        <f>IF('Données projet'!$A$88&gt;35,BD28+BC29-BL28,IF(A29&lt;'Données projet'!$A$88,$BA$205^A29,IF(A29='Données projet'!$A$88,'Données projet'!$B$88,BD28+BC29-BL28)))</f>
        <v>79.871794871794833</v>
      </c>
      <c r="BE29" s="14">
        <f>BD29*VLOOKUP('Données projet'!$B$11,Paramètres!$A$1:$I$89,3,0)*VLOOKUP('Données projet'!$B$11,Paramètres!$A$1:$I$89,5,0)</f>
        <v>83.481999999999971</v>
      </c>
      <c r="BF29" s="14">
        <f t="shared" si="37"/>
        <v>22.98642873386018</v>
      </c>
      <c r="BG29" s="22">
        <f t="shared" si="7"/>
        <v>185.43251337813976</v>
      </c>
      <c r="BH29" s="60">
        <f t="shared" si="8"/>
        <v>478.76584671147305</v>
      </c>
      <c r="BI29" s="60">
        <f ca="1">AVERAGE(OFFSET($BH$3,0,0,'Données projet'!$E$11+1,1))-AVERAGE(OFFSET($H$3,0,0,'Données projet'!$E$11+1,1))</f>
        <v>373.7520752235389</v>
      </c>
      <c r="BJ29" s="60">
        <f t="shared" si="38"/>
        <v>205.19966474305761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3.4358974358974361</v>
      </c>
      <c r="BY29" s="13">
        <f>IF('Données projet'!$A$114&gt;35,BY28+BX29-CG28,IF(A29&lt;'Données projet'!$A$114,$BV$205^A29,IF(A29='Données projet'!$A$114,'Données projet'!$B$114,BY28+BX29-CG28)))</f>
        <v>55.557145004199242</v>
      </c>
      <c r="BZ29" s="14">
        <f>BY29*VLOOKUP('Données projet'!$B$12,Paramètres!$A$1:$I$89,3,0)*VLOOKUP('Données projet'!$B$12,Paramètres!$A$1:$I$89,5,0)</f>
        <v>26.000743861965244</v>
      </c>
      <c r="CA29" s="14">
        <f t="shared" si="39"/>
        <v>8.2003708634455794</v>
      </c>
      <c r="CB29" s="22">
        <f t="shared" si="10"/>
        <v>59.56694148009052</v>
      </c>
      <c r="CC29" s="60">
        <f t="shared" si="11"/>
        <v>352.90027481342383</v>
      </c>
      <c r="CD29" s="60">
        <f ca="1">AVERAGE(OFFSET($CC$3,0,0,'Données projet'!$E$12+1,1))-AVERAGE(OFFSET($H$3,0,0,'Données projet'!$E$12+1,1))</f>
        <v>141.31558705818316</v>
      </c>
      <c r="CE29" s="60">
        <f t="shared" si="40"/>
        <v>67.142010893211364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77</v>
      </c>
      <c r="CU29" s="18">
        <f>CT29*VLOOKUP('Données projet'!$B$13,Paramètres!$A$1:$I$89,3,0)*VLOOKUP('Données projet'!$B$13,Paramètres!$A$1:$I$89,5,0)</f>
        <v>67.267200000000003</v>
      </c>
      <c r="CV29" s="14">
        <f t="shared" si="41"/>
        <v>18.993242158132926</v>
      </c>
      <c r="CW29" s="22">
        <f t="shared" si="13"/>
        <v>150.23693675874819</v>
      </c>
      <c r="CX29" s="60">
        <f t="shared" si="14"/>
        <v>443.5702700920815</v>
      </c>
      <c r="CY29" s="60">
        <f ca="1">AVERAGE(OFFSET($CX$3,0,0,'Données projet'!$E$13+1,1))-AVERAGE(OFFSET($H$3,0,0,'Données projet'!$E$13+1,1))</f>
        <v>281.8501448773884</v>
      </c>
      <c r="CZ29" s="60">
        <f t="shared" si="42"/>
        <v>161.7340631691518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77</v>
      </c>
      <c r="DP29" s="18">
        <f>DO29*VLOOKUP('Données projet'!$B$14,Paramètres!$A$1:$I$89,3,0)*VLOOKUP('Données projet'!$B$14,Paramètres!$A$1:$I$89,5,0)</f>
        <v>69.669600000000003</v>
      </c>
      <c r="DQ29" s="14">
        <f t="shared" si="43"/>
        <v>19.591385027476957</v>
      </c>
      <c r="DR29" s="22">
        <f t="shared" si="16"/>
        <v>155.46288225618903</v>
      </c>
      <c r="DS29" s="60">
        <f t="shared" si="17"/>
        <v>448.79621558952238</v>
      </c>
      <c r="DT29" s="60">
        <f ca="1">AVERAGE(OFFSET($DS$3,0,0,'Données projet'!$E$14+1,1))-AVERAGE(OFFSET($H$3,0,0,'Données projet'!$E$14+1,1))</f>
        <v>295.19398489974265</v>
      </c>
      <c r="DU29" s="60">
        <f t="shared" si="44"/>
        <v>168.80998104712489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4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85.176000000000002</v>
      </c>
      <c r="P30" s="14">
        <f t="shared" si="33"/>
        <v>23.398088487656441</v>
      </c>
      <c r="Q30" s="22">
        <f t="shared" si="2"/>
        <v>189.09987078266829</v>
      </c>
      <c r="R30" s="60">
        <f t="shared" si="0"/>
        <v>482.4332041160016</v>
      </c>
      <c r="S30" s="60">
        <f ca="1">AVERAGE(OFFSET($R$3,0,0,'Données projet'!$E$9+1,1))-AVERAGE(OFFSET($H$3,0,0,'Données projet'!$E$9+1,1))</f>
        <v>341.82426415364569</v>
      </c>
      <c r="T30" s="60">
        <f t="shared" si="34"/>
        <v>193.53376539568887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15.073076923076925</v>
      </c>
      <c r="AI30" s="14">
        <f>IF('Données projet'!$A$62&gt;35,AI29+AH30-AQ29,IF(A30&lt;'Données projet'!$A$62,$AF$205^A30,IF(A30='Données projet'!$A$62,'Données projet'!$B$62,AI29+AH30-AQ29)))</f>
        <v>180</v>
      </c>
      <c r="AJ30" s="14">
        <f>AI30*VLOOKUP('Données projet'!$B$10,Paramètres!$A$1:$I$89,3,0)*VLOOKUP('Données projet'!$B$10,Paramètres!$A$1:$I$89,5,0)</f>
        <v>107.64</v>
      </c>
      <c r="AK30" s="14">
        <f t="shared" si="35"/>
        <v>28.774250263353583</v>
      </c>
      <c r="AL30" s="22">
        <f t="shared" si="4"/>
        <v>237.58815254200749</v>
      </c>
      <c r="AM30" s="60">
        <f t="shared" si="5"/>
        <v>530.92148587534075</v>
      </c>
      <c r="AN30" s="60">
        <f ca="1">AVERAGE(OFFSET($AM$3,0,0,'Données projet'!$E$10+1,1))-AVERAGE(OFFSET($H$3,0,0,'Données projet'!$E$10+1,1))</f>
        <v>189.8516574130017</v>
      </c>
      <c r="AO30" s="60">
        <f t="shared" si="36"/>
        <v>191.91100863555891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4.4604214936509479</v>
      </c>
      <c r="AV30" s="23">
        <f>EXP(-LN(2)/25)*AV29+(1-EXP(-LN(2)/25))/(LN(2)/25)*Calculateur!AQ30*Calculateur!AS30*VLOOKUP('Données projet'!$B$10,Paramètres!$A$1:$I$89,3,0)*0.475*44/12</f>
        <v>16.039325618025089</v>
      </c>
      <c r="AW30" s="23">
        <f>EXP(-LN(2)/2)*AW29+(1-EXP(-LN(2)/2))/(LN(2)/2)*AQ30*AT30*VLOOKUP('Données projet'!$B$10,Paramètres!$A$1:$I$89,3,0)*0.475*44/12</f>
        <v>4.1864705650233009</v>
      </c>
      <c r="AX30" s="23">
        <f t="shared" si="6"/>
        <v>24.686217676699336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6.7948717948717956</v>
      </c>
      <c r="BD30" s="13">
        <f>IF('Données projet'!$A$88&gt;35,BD29+BC30-BL29,IF(A30&lt;'Données projet'!$A$88,$BA$205^A30,IF(A30='Données projet'!$A$88,'Données projet'!$B$88,BD29+BC30-BL29)))</f>
        <v>86.666666666666629</v>
      </c>
      <c r="BE30" s="14">
        <f>BD30*VLOOKUP('Données projet'!$B$11,Paramètres!$A$1:$I$89,3,0)*VLOOKUP('Données projet'!$B$11,Paramètres!$A$1:$I$89,5,0)</f>
        <v>90.583999999999961</v>
      </c>
      <c r="BF30" s="14">
        <f t="shared" si="37"/>
        <v>24.706018667982935</v>
      </c>
      <c r="BG30" s="22">
        <f t="shared" si="7"/>
        <v>200.79678251340351</v>
      </c>
      <c r="BH30" s="60">
        <f t="shared" si="8"/>
        <v>494.13011584673683</v>
      </c>
      <c r="BI30" s="60">
        <f ca="1">AVERAGE(OFFSET($BH$3,0,0,'Données projet'!$E$11+1,1))-AVERAGE(OFFSET($H$3,0,0,'Données projet'!$E$11+1,1))</f>
        <v>373.7520752235389</v>
      </c>
      <c r="BJ30" s="60">
        <f t="shared" si="38"/>
        <v>205.19966474305761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3.4358974358974361</v>
      </c>
      <c r="BY30" s="13">
        <f>IF('Données projet'!$A$114&gt;35,BY29+BX30-CG29,IF(A30&lt;'Données projet'!$A$114,$BV$205^A30,IF(A30='Données projet'!$A$114,'Données projet'!$B$114,BY29+BX30-CG29)))</f>
        <v>64.840342684688977</v>
      </c>
      <c r="BZ30" s="14">
        <f>BY30*VLOOKUP('Données projet'!$B$12,Paramètres!$A$1:$I$89,3,0)*VLOOKUP('Données projet'!$B$12,Paramètres!$A$1:$I$89,5,0)</f>
        <v>30.345280376434442</v>
      </c>
      <c r="CA30" s="14">
        <f t="shared" si="39"/>
        <v>9.3999990348653313</v>
      </c>
      <c r="CB30" s="22">
        <f t="shared" si="10"/>
        <v>69.223028308013781</v>
      </c>
      <c r="CC30" s="60">
        <f t="shared" si="11"/>
        <v>362.55636164134711</v>
      </c>
      <c r="CD30" s="60">
        <f ca="1">AVERAGE(OFFSET($CC$3,0,0,'Données projet'!$E$12+1,1))-AVERAGE(OFFSET($H$3,0,0,'Données projet'!$E$12+1,1))</f>
        <v>141.31558705818316</v>
      </c>
      <c r="CE30" s="60">
        <f t="shared" si="40"/>
        <v>67.142010893211364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84</v>
      </c>
      <c r="CU30" s="18">
        <f>CT30*VLOOKUP('Données projet'!$B$13,Paramètres!$A$1:$I$89,3,0)*VLOOKUP('Données projet'!$B$13,Paramètres!$A$1:$I$89,5,0)</f>
        <v>73.382400000000018</v>
      </c>
      <c r="CV30" s="14">
        <f t="shared" si="41"/>
        <v>20.511105942035552</v>
      </c>
      <c r="CW30" s="22">
        <f t="shared" si="13"/>
        <v>163.53118951571196</v>
      </c>
      <c r="CX30" s="60">
        <f t="shared" si="14"/>
        <v>456.86452284904527</v>
      </c>
      <c r="CY30" s="60">
        <f ca="1">AVERAGE(OFFSET($CX$3,0,0,'Données projet'!$E$13+1,1))-AVERAGE(OFFSET($H$3,0,0,'Données projet'!$E$13+1,1))</f>
        <v>281.8501448773884</v>
      </c>
      <c r="CZ30" s="60">
        <f t="shared" si="42"/>
        <v>161.7340631691518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84</v>
      </c>
      <c r="DP30" s="18">
        <f>DO30*VLOOKUP('Données projet'!$B$14,Paramètres!$A$1:$I$89,3,0)*VLOOKUP('Données projet'!$B$14,Paramètres!$A$1:$I$89,5,0)</f>
        <v>76.003200000000007</v>
      </c>
      <c r="DQ30" s="14">
        <f t="shared" si="43"/>
        <v>21.157049992000456</v>
      </c>
      <c r="DR30" s="22">
        <f t="shared" si="16"/>
        <v>169.22076873606747</v>
      </c>
      <c r="DS30" s="60">
        <f t="shared" si="17"/>
        <v>462.55410206940076</v>
      </c>
      <c r="DT30" s="60">
        <f ca="1">AVERAGE(OFFSET($DS$3,0,0,'Données projet'!$E$14+1,1))-AVERAGE(OFFSET($H$3,0,0,'Données projet'!$E$14+1,1))</f>
        <v>295.19398489974265</v>
      </c>
      <c r="DU30" s="60">
        <f t="shared" si="44"/>
        <v>168.80998104712489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4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92.274000000000001</v>
      </c>
      <c r="P31" s="14">
        <f t="shared" si="33"/>
        <v>25.112860036087575</v>
      </c>
      <c r="Q31" s="22">
        <f t="shared" si="2"/>
        <v>204.4487812295192</v>
      </c>
      <c r="R31" s="60">
        <f t="shared" si="0"/>
        <v>497.78211456285248</v>
      </c>
      <c r="S31" s="60">
        <f ca="1">AVERAGE(OFFSET($R$3,0,0,'Données projet'!$E$9+1,1))-AVERAGE(OFFSET($H$3,0,0,'Données projet'!$E$9+1,1))</f>
        <v>341.82426415364569</v>
      </c>
      <c r="T31" s="60">
        <f t="shared" si="34"/>
        <v>193.53376539568887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15.073076923076925</v>
      </c>
      <c r="AI31" s="14">
        <f>IF('Données projet'!$A$62&gt;35,AI30+AH31-AQ30,IF(A31&lt;'Données projet'!$A$62,$AF$205^A31,IF(A31='Données projet'!$A$62,'Données projet'!$B$62,AI30+AH31-AQ30)))</f>
        <v>195.07307692307694</v>
      </c>
      <c r="AJ31" s="14">
        <f>AI31*VLOOKUP('Données projet'!$B$10,Paramètres!$A$1:$I$89,3,0)*VLOOKUP('Données projet'!$B$10,Paramètres!$A$1:$I$89,5,0)</f>
        <v>116.65370000000001</v>
      </c>
      <c r="AK31" s="14">
        <f t="shared" si="35"/>
        <v>30.893249762406356</v>
      </c>
      <c r="AL31" s="22">
        <f t="shared" si="4"/>
        <v>256.9776041695244</v>
      </c>
      <c r="AM31" s="60">
        <f t="shared" si="5"/>
        <v>550.31093750285777</v>
      </c>
      <c r="AN31" s="60">
        <f ca="1">AVERAGE(OFFSET($AM$3,0,0,'Données projet'!$E$10+1,1))-AVERAGE(OFFSET($H$3,0,0,'Données projet'!$E$10+1,1))</f>
        <v>189.8516574130017</v>
      </c>
      <c r="AO31" s="60">
        <f t="shared" si="36"/>
        <v>191.91100863555891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4.3729553487489277</v>
      </c>
      <c r="AV31" s="23">
        <f>EXP(-LN(2)/25)*AV30+(1-EXP(-LN(2)/25))/(LN(2)/25)*Calculateur!AQ31*Calculateur!AS31*VLOOKUP('Données projet'!$B$10,Paramètres!$A$1:$I$89,3,0)*0.475*44/12</f>
        <v>15.600729415528717</v>
      </c>
      <c r="AW31" s="23">
        <f>EXP(-LN(2)/2)*AW30+(1-EXP(-LN(2)/2))/(LN(2)/2)*AQ31*AT31*VLOOKUP('Données projet'!$B$10,Paramètres!$A$1:$I$89,3,0)*0.475*44/12</f>
        <v>2.9602817257658534</v>
      </c>
      <c r="AX31" s="23">
        <f t="shared" si="6"/>
        <v>22.933966490043495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6.7948717948717956</v>
      </c>
      <c r="BD31" s="13">
        <f>IF('Données projet'!$A$88&gt;35,BD30+BC31-BL30,IF(A31&lt;'Données projet'!$A$88,$BA$205^A31,IF(A31='Données projet'!$A$88,'Données projet'!$B$88,BD30+BC31-BL30)))</f>
        <v>93.461538461538424</v>
      </c>
      <c r="BE31" s="14">
        <f>BD31*VLOOKUP('Données projet'!$B$11,Paramètres!$A$1:$I$89,3,0)*VLOOKUP('Données projet'!$B$11,Paramètres!$A$1:$I$89,5,0)</f>
        <v>97.685999999999964</v>
      </c>
      <c r="BF31" s="14">
        <f t="shared" si="37"/>
        <v>26.409970051653183</v>
      </c>
      <c r="BG31" s="22">
        <f t="shared" si="7"/>
        <v>216.13381450662925</v>
      </c>
      <c r="BH31" s="60">
        <f t="shared" si="8"/>
        <v>509.46714783996254</v>
      </c>
      <c r="BI31" s="60">
        <f ca="1">AVERAGE(OFFSET($BH$3,0,0,'Données projet'!$E$11+1,1))-AVERAGE(OFFSET($H$3,0,0,'Données projet'!$E$11+1,1))</f>
        <v>373.7520752235389</v>
      </c>
      <c r="BJ31" s="60">
        <f t="shared" si="38"/>
        <v>205.19966474305761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3.4358974358974361</v>
      </c>
      <c r="BY31" s="13">
        <f>IF('Données projet'!$A$114&gt;35,BY30+BX31-CG30,IF(A31&lt;'Données projet'!$A$114,$BV$205^A31,IF(A31='Données projet'!$A$114,'Données projet'!$B$114,BY30+BX31-CG30)))</f>
        <v>75.674695651659619</v>
      </c>
      <c r="BZ31" s="14">
        <f>BY31*VLOOKUP('Données projet'!$B$12,Paramètres!$A$1:$I$89,3,0)*VLOOKUP('Données projet'!$B$12,Paramètres!$A$1:$I$89,5,0)</f>
        <v>35.415757564976701</v>
      </c>
      <c r="CA31" s="14">
        <f t="shared" si="39"/>
        <v>10.775120214299996</v>
      </c>
      <c r="CB31" s="22">
        <f t="shared" si="10"/>
        <v>80.449112132240245</v>
      </c>
      <c r="CC31" s="60">
        <f t="shared" si="11"/>
        <v>373.78244546557357</v>
      </c>
      <c r="CD31" s="60">
        <f ca="1">AVERAGE(OFFSET($CC$3,0,0,'Données projet'!$E$12+1,1))-AVERAGE(OFFSET($H$3,0,0,'Données projet'!$E$12+1,1))</f>
        <v>141.31558705818316</v>
      </c>
      <c r="CE31" s="60">
        <f t="shared" si="40"/>
        <v>67.142010893211364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91</v>
      </c>
      <c r="CU31" s="18">
        <f>CT31*VLOOKUP('Données projet'!$B$13,Paramètres!$A$1:$I$89,3,0)*VLOOKUP('Données projet'!$B$13,Paramètres!$A$1:$I$89,5,0)</f>
        <v>79.49760000000002</v>
      </c>
      <c r="CV31" s="14">
        <f t="shared" si="41"/>
        <v>22.014299714245357</v>
      </c>
      <c r="CW31" s="22">
        <f t="shared" si="13"/>
        <v>176.79989200231068</v>
      </c>
      <c r="CX31" s="60">
        <f t="shared" si="14"/>
        <v>470.133225335644</v>
      </c>
      <c r="CY31" s="60">
        <f ca="1">AVERAGE(OFFSET($CX$3,0,0,'Données projet'!$E$13+1,1))-AVERAGE(OFFSET($H$3,0,0,'Données projet'!$E$13+1,1))</f>
        <v>281.8501448773884</v>
      </c>
      <c r="CZ31" s="60">
        <f t="shared" si="42"/>
        <v>161.7340631691518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91</v>
      </c>
      <c r="DP31" s="18">
        <f>DO31*VLOOKUP('Données projet'!$B$14,Paramètres!$A$1:$I$89,3,0)*VLOOKUP('Données projet'!$B$14,Paramètres!$A$1:$I$89,5,0)</f>
        <v>82.336799999999997</v>
      </c>
      <c r="DQ31" s="14">
        <f t="shared" si="43"/>
        <v>22.707582950885364</v>
      </c>
      <c r="DR31" s="22">
        <f t="shared" si="16"/>
        <v>182.95230030612535</v>
      </c>
      <c r="DS31" s="60">
        <f t="shared" si="17"/>
        <v>476.28563363945864</v>
      </c>
      <c r="DT31" s="60">
        <f ca="1">AVERAGE(OFFSET($DS$3,0,0,'Données projet'!$E$14+1,1))-AVERAGE(OFFSET($H$3,0,0,'Données projet'!$E$14+1,1))</f>
        <v>295.19398489974265</v>
      </c>
      <c r="DU31" s="60">
        <f t="shared" si="44"/>
        <v>168.80998104712489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4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99.372000000000014</v>
      </c>
      <c r="P32" s="14">
        <f t="shared" si="33"/>
        <v>26.812330397327713</v>
      </c>
      <c r="Q32" s="22">
        <f t="shared" si="2"/>
        <v>219.7710421086791</v>
      </c>
      <c r="R32" s="60">
        <f t="shared" si="0"/>
        <v>513.10437544201238</v>
      </c>
      <c r="S32" s="60">
        <f ca="1">AVERAGE(OFFSET($R$3,0,0,'Données projet'!$E$9+1,1))-AVERAGE(OFFSET($H$3,0,0,'Données projet'!$E$9+1,1))</f>
        <v>341.82426415364569</v>
      </c>
      <c r="T32" s="60">
        <f t="shared" si="34"/>
        <v>193.53376539568887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>
        <f>VLOOKUP(A32,'Données projet'!$A$61:$I$81,2,0)</f>
        <v>210.14615384615385</v>
      </c>
      <c r="AG32" s="13">
        <f>VLOOKUP(A32,'Données projet'!$A$61:$I$81,9,0)</f>
        <v>15.073076923076925</v>
      </c>
      <c r="AH32" s="13">
        <f t="array" ref="AH32">INDEX(AG:AG,MIN(IF(ISNUMBER(AG32:AG228),ROW(AG32:AG228),"")))</f>
        <v>15.073076923076925</v>
      </c>
      <c r="AI32" s="14">
        <f>IF('Données projet'!$A$62&gt;35,AI31+AH32-AQ31,IF(A32&lt;'Données projet'!$A$62,$AF$205^A32,IF(A32='Données projet'!$A$62,'Données projet'!$B$62,AI31+AH32-AQ31)))</f>
        <v>210.14615384615388</v>
      </c>
      <c r="AJ32" s="14">
        <f>AI32*VLOOKUP('Données projet'!$B$10,Paramètres!$A$1:$I$89,3,0)*VLOOKUP('Données projet'!$B$10,Paramètres!$A$1:$I$89,5,0)</f>
        <v>125.66740000000003</v>
      </c>
      <c r="AK32" s="14">
        <f t="shared" si="35"/>
        <v>32.993256286656127</v>
      </c>
      <c r="AL32" s="22">
        <f t="shared" si="4"/>
        <v>276.33397636592611</v>
      </c>
      <c r="AM32" s="60">
        <f t="shared" si="5"/>
        <v>569.66730969925948</v>
      </c>
      <c r="AN32" s="60">
        <f ca="1">AVERAGE(OFFSET($AM$3,0,0,'Données projet'!$E$10+1,1))-AVERAGE(OFFSET($H$3,0,0,'Données projet'!$E$10+1,1))</f>
        <v>189.8516574130017</v>
      </c>
      <c r="AO32" s="60">
        <f t="shared" si="36"/>
        <v>191.91100863555891</v>
      </c>
      <c r="AP32" s="16">
        <f>IF(ISNA(VLOOKUP(A32,'Données projet'!$A$61:$I$81,3,0)),0,VLOOKUP(A32,'Données projet'!$A$61:$I$81,3,0))</f>
        <v>3</v>
      </c>
      <c r="AQ32" s="16">
        <f>IF(ISNA(VLOOKUP(A32,'Données projet'!$A$61:$I$81,4,0)),0,VLOOKUP(A32,'Données projet'!$A$61:$I$81,4,0))</f>
        <v>47.661538461538463</v>
      </c>
      <c r="AR32" s="17">
        <f>IF(ISNA(VLOOKUP(A32,'Données projet'!$A$61:$I$81,5,0)),0%,VLOOKUP(A32,'Données projet'!$A$61:$I$81,5,0)*VLOOKUP('Données projet'!$B$10,Paramètres!$A$1:$I$89,7,0))</f>
        <v>0.27</v>
      </c>
      <c r="AS32" s="17">
        <f>IF(ISNA(VLOOKUP(A32,'Données projet'!$A$61:$I$81,6,0)),0%,VLOOKUP(A32,'Données projet'!$A$61:$I$81,6,0)*VLOOKUP('Données projet'!$B$10,Paramètres!$A$1:$I$89,7,0))</f>
        <v>9.0000000000000011E-2</v>
      </c>
      <c r="AT32" s="17">
        <f>IF(ISNA(VLOOKUP(A32,'Données projet'!$A$61:$I$81,7,0)),0%,VLOOKUP(A32,'Données projet'!$A$61:$I$81,7,0))</f>
        <v>0.2</v>
      </c>
      <c r="AU32" s="23">
        <f>EXP(-LN(2)/35)*AU31+(1-EXP(-LN(2)/35))/(LN(2)/35)*AQ32*AR32*VLOOKUP('Données projet'!$B$10,Paramètres!$A$1:$I$89,3,0)*0.475*44/12</f>
        <v>14.495690922051367</v>
      </c>
      <c r="AV32" s="23">
        <f>EXP(-LN(2)/25)*AV31+(1-EXP(-LN(2)/25))/(LN(2)/25)*Calculateur!AQ32*Calculateur!AS32*VLOOKUP('Données projet'!$B$10,Paramètres!$A$1:$I$89,3,0)*0.475*44/12</f>
        <v>18.563557268962775</v>
      </c>
      <c r="AW32" s="23">
        <f>EXP(-LN(2)/2)*AW31+(1-EXP(-LN(2)/2))/(LN(2)/2)*AQ32*AT32*VLOOKUP('Données projet'!$B$10,Paramètres!$A$1:$I$89,3,0)*0.475*44/12</f>
        <v>8.5473216927477154</v>
      </c>
      <c r="AX32" s="23">
        <f t="shared" si="6"/>
        <v>41.606569883761857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6.7948717948717956</v>
      </c>
      <c r="BD32" s="13">
        <f>IF('Données projet'!$A$88&gt;35,BD31+BC32-BL31,IF(A32&lt;'Données projet'!$A$88,$BA$205^A32,IF(A32='Données projet'!$A$88,'Données projet'!$B$88,BD31+BC32-BL31)))</f>
        <v>100.25641025641022</v>
      </c>
      <c r="BE32" s="14">
        <f>BD32*VLOOKUP('Données projet'!$B$11,Paramètres!$A$1:$I$89,3,0)*VLOOKUP('Données projet'!$B$11,Paramètres!$A$1:$I$89,5,0)</f>
        <v>104.78799999999995</v>
      </c>
      <c r="BF32" s="14">
        <f t="shared" si="37"/>
        <v>28.099549142886449</v>
      </c>
      <c r="BG32" s="22">
        <f t="shared" si="7"/>
        <v>231.4458147571938</v>
      </c>
      <c r="BH32" s="60">
        <f t="shared" si="8"/>
        <v>524.77914809052709</v>
      </c>
      <c r="BI32" s="60">
        <f ca="1">AVERAGE(OFFSET($BH$3,0,0,'Données projet'!$E$11+1,1))-AVERAGE(OFFSET($H$3,0,0,'Données projet'!$E$11+1,1))</f>
        <v>373.7520752235389</v>
      </c>
      <c r="BJ32" s="60">
        <f t="shared" si="38"/>
        <v>205.19966474305761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3.4358974358974361</v>
      </c>
      <c r="BY32" s="13">
        <f>IF('Données projet'!$A$114&gt;35,BY31+BX32-CG31,IF(A32&lt;'Données projet'!$A$114,$BV$205^A32,IF(A32='Données projet'!$A$114,'Données projet'!$B$114,BY31+BX32-CG31)))</f>
        <v>88.319390750591623</v>
      </c>
      <c r="BZ32" s="14">
        <f>BY32*VLOOKUP('Données projet'!$B$12,Paramètres!$A$1:$I$89,3,0)*VLOOKUP('Données projet'!$B$12,Paramètres!$A$1:$I$89,5,0)</f>
        <v>41.333474871276877</v>
      </c>
      <c r="CA32" s="14">
        <f t="shared" si="39"/>
        <v>12.351407186530604</v>
      </c>
      <c r="CB32" s="22">
        <f t="shared" si="10"/>
        <v>93.501169584014704</v>
      </c>
      <c r="CC32" s="60">
        <f t="shared" si="11"/>
        <v>386.834502917348</v>
      </c>
      <c r="CD32" s="60">
        <f ca="1">AVERAGE(OFFSET($CC$3,0,0,'Données projet'!$E$12+1,1))-AVERAGE(OFFSET($H$3,0,0,'Données projet'!$E$12+1,1))</f>
        <v>141.31558705818316</v>
      </c>
      <c r="CE32" s="60">
        <f t="shared" si="40"/>
        <v>67.142010893211364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98</v>
      </c>
      <c r="CU32" s="18">
        <f>CT32*VLOOKUP('Données projet'!$B$13,Paramètres!$A$1:$I$89,3,0)*VLOOKUP('Données projet'!$B$13,Paramètres!$A$1:$I$89,5,0)</f>
        <v>85.612800000000007</v>
      </c>
      <c r="CV32" s="14">
        <f t="shared" si="41"/>
        <v>23.504080242391282</v>
      </c>
      <c r="CW32" s="22">
        <f t="shared" si="13"/>
        <v>190.04523308883151</v>
      </c>
      <c r="CX32" s="60">
        <f t="shared" si="14"/>
        <v>483.37856642216479</v>
      </c>
      <c r="CY32" s="60">
        <f ca="1">AVERAGE(OFFSET($CX$3,0,0,'Données projet'!$E$13+1,1))-AVERAGE(OFFSET($H$3,0,0,'Données projet'!$E$13+1,1))</f>
        <v>281.8501448773884</v>
      </c>
      <c r="CZ32" s="60">
        <f t="shared" si="42"/>
        <v>161.7340631691518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98</v>
      </c>
      <c r="DP32" s="18">
        <f>DO32*VLOOKUP('Données projet'!$B$14,Paramètres!$A$1:$I$89,3,0)*VLOOKUP('Données projet'!$B$14,Paramètres!$A$1:$I$89,5,0)</f>
        <v>88.670400000000001</v>
      </c>
      <c r="DQ32" s="14">
        <f t="shared" si="43"/>
        <v>24.244280250395512</v>
      </c>
      <c r="DR32" s="22">
        <f t="shared" si="16"/>
        <v>196.65973476943884</v>
      </c>
      <c r="DS32" s="60">
        <f t="shared" si="17"/>
        <v>489.99306810277216</v>
      </c>
      <c r="DT32" s="60">
        <f ca="1">AVERAGE(OFFSET($DS$3,0,0,'Données projet'!$E$14+1,1))-AVERAGE(OFFSET($H$3,0,0,'Données projet'!$E$14+1,1))</f>
        <v>295.19398489974265</v>
      </c>
      <c r="DU32" s="60">
        <f t="shared" si="44"/>
        <v>168.80998104712489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4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106.47</v>
      </c>
      <c r="P33" s="14">
        <f t="shared" si="33"/>
        <v>28.49771681771891</v>
      </c>
      <c r="Q33" s="22">
        <f t="shared" si="2"/>
        <v>235.06877345752704</v>
      </c>
      <c r="R33" s="60">
        <f t="shared" si="0"/>
        <v>528.40210679086033</v>
      </c>
      <c r="S33" s="60">
        <f ca="1">AVERAGE(OFFSET($R$3,0,0,'Données projet'!$E$9+1,1))-AVERAGE(OFFSET($H$3,0,0,'Données projet'!$E$9+1,1))</f>
        <v>341.82426415364569</v>
      </c>
      <c r="T33" s="60">
        <f t="shared" si="34"/>
        <v>193.53376539568887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14.298901098901101</v>
      </c>
      <c r="AI33" s="14">
        <f>IF('Données projet'!$A$62&gt;35,AI32+AH33-AQ32,IF(A33&lt;'Données projet'!$A$62,$AF$205^A33,IF(A33='Données projet'!$A$62,'Données projet'!$B$62,AI32+AH33-AQ32)))</f>
        <v>176.78351648351651</v>
      </c>
      <c r="AJ33" s="14">
        <f>AI33*VLOOKUP('Données projet'!$B$10,Paramètres!$A$1:$I$89,3,0)*VLOOKUP('Données projet'!$B$10,Paramètres!$A$1:$I$89,5,0)</f>
        <v>105.71654285714287</v>
      </c>
      <c r="AK33" s="14">
        <f t="shared" si="35"/>
        <v>28.319447591123378</v>
      </c>
      <c r="AL33" s="22">
        <f t="shared" si="4"/>
        <v>233.44601669739703</v>
      </c>
      <c r="AM33" s="60">
        <f t="shared" si="5"/>
        <v>526.77935003073037</v>
      </c>
      <c r="AN33" s="60">
        <f ca="1">AVERAGE(OFFSET($AM$3,0,0,'Données projet'!$E$10+1,1))-AVERAGE(OFFSET($H$3,0,0,'Données projet'!$E$10+1,1))</f>
        <v>189.8516574130017</v>
      </c>
      <c r="AO33" s="60">
        <f t="shared" si="36"/>
        <v>191.91100863555891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14.211439264568376</v>
      </c>
      <c r="AV33" s="23">
        <f>EXP(-LN(2)/25)*AV32+(1-EXP(-LN(2)/25))/(LN(2)/25)*Calculateur!AQ33*Calculateur!AS33*VLOOKUP('Données projet'!$B$10,Paramètres!$A$1:$I$89,3,0)*0.475*44/12</f>
        <v>18.05593581922794</v>
      </c>
      <c r="AW33" s="23">
        <f>EXP(-LN(2)/2)*AW32+(1-EXP(-LN(2)/2))/(LN(2)/2)*AQ33*AT33*VLOOKUP('Données projet'!$B$10,Paramètres!$A$1:$I$89,3,0)*0.475*44/12</f>
        <v>6.04386912992479</v>
      </c>
      <c r="AX33" s="23">
        <f t="shared" si="6"/>
        <v>38.31124421372111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107.05128205128204</v>
      </c>
      <c r="BB33" s="13">
        <f>VLOOKUP(A33,'Données projet'!$A$87:$I$107,9,0)</f>
        <v>6.7948717948717956</v>
      </c>
      <c r="BC33" s="13">
        <f t="array" ref="BC33">INDEX(BB:BB,MIN(IF(ISNUMBER(BB33:BB229),ROW(BB33:BB229),"")))</f>
        <v>6.7948717948717956</v>
      </c>
      <c r="BD33" s="13">
        <f>IF('Données projet'!$A$88&gt;35,BD32+BC33-BL32,IF(A33&lt;'Données projet'!$A$88,$BA$205^A33,IF(A33='Données projet'!$A$88,'Données projet'!$B$88,BD32+BC33-BL32)))</f>
        <v>107.05128205128202</v>
      </c>
      <c r="BE33" s="14">
        <f>BD33*VLOOKUP('Données projet'!$B$11,Paramètres!$A$1:$I$89,3,0)*VLOOKUP('Données projet'!$B$11,Paramètres!$A$1:$I$89,5,0)</f>
        <v>111.88999999999997</v>
      </c>
      <c r="BF33" s="14">
        <f t="shared" si="37"/>
        <v>29.775840844916228</v>
      </c>
      <c r="BG33" s="22">
        <f t="shared" si="7"/>
        <v>246.73467280489569</v>
      </c>
      <c r="BH33" s="60">
        <f t="shared" si="8"/>
        <v>540.06800613822907</v>
      </c>
      <c r="BI33" s="60">
        <f ca="1">AVERAGE(OFFSET($BH$3,0,0,'Données projet'!$E$11+1,1))-AVERAGE(OFFSET($H$3,0,0,'Données projet'!$E$11+1,1))</f>
        <v>373.7520752235389</v>
      </c>
      <c r="BJ33" s="60">
        <f t="shared" si="38"/>
        <v>205.19966474305761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103.07692307692308</v>
      </c>
      <c r="BW33" s="13">
        <f>VLOOKUP(A33,'Données projet'!$A$113:$I$133,9,0)</f>
        <v>3.4358974358974361</v>
      </c>
      <c r="BX33" s="13">
        <f t="array" ref="BX33">INDEX(BW:BW,MIN(IF(ISNUMBER(BW33:BW229),ROW(BW33:BW229),"")))</f>
        <v>3.4358974358974361</v>
      </c>
      <c r="BY33" s="13">
        <f>IF('Données projet'!$A$114&gt;35,BY32+BX33-CG32,IF(A33&lt;'Données projet'!$A$114,$BV$205^A33,IF(A33='Données projet'!$A$114,'Données projet'!$B$114,BY32+BX33-CG32)))</f>
        <v>103.07692307692308</v>
      </c>
      <c r="BZ33" s="14">
        <f>BY33*VLOOKUP('Données projet'!$B$12,Paramètres!$A$1:$I$89,3,0)*VLOOKUP('Données projet'!$B$12,Paramètres!$A$1:$I$89,5,0)</f>
        <v>48.240000000000009</v>
      </c>
      <c r="CA33" s="14">
        <f t="shared" si="39"/>
        <v>14.15828839524373</v>
      </c>
      <c r="CB33" s="22">
        <f t="shared" si="10"/>
        <v>108.6770189550495</v>
      </c>
      <c r="CC33" s="60">
        <f t="shared" si="11"/>
        <v>402.01035228838282</v>
      </c>
      <c r="CD33" s="60">
        <f ca="1">AVERAGE(OFFSET($CC$3,0,0,'Données projet'!$E$12+1,1))-AVERAGE(OFFSET($H$3,0,0,'Données projet'!$E$12+1,1))</f>
        <v>141.31558705818316</v>
      </c>
      <c r="CE33" s="60">
        <f t="shared" si="40"/>
        <v>67.142010893211364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105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105</v>
      </c>
      <c r="CU33" s="18">
        <f>CT33*VLOOKUP('Données projet'!$B$13,Paramètres!$A$1:$I$89,3,0)*VLOOKUP('Données projet'!$B$13,Paramètres!$A$1:$I$89,5,0)</f>
        <v>91.728000000000009</v>
      </c>
      <c r="CV33" s="14">
        <f t="shared" si="41"/>
        <v>24.981514582386563</v>
      </c>
      <c r="CW33" s="22">
        <f t="shared" si="13"/>
        <v>203.26907123098991</v>
      </c>
      <c r="CX33" s="60">
        <f t="shared" si="14"/>
        <v>496.60240456432325</v>
      </c>
      <c r="CY33" s="60">
        <f ca="1">AVERAGE(OFFSET($CX$3,0,0,'Données projet'!$E$13+1,1))-AVERAGE(OFFSET($H$3,0,0,'Données projet'!$E$13+1,1))</f>
        <v>281.8501448773884</v>
      </c>
      <c r="CZ33" s="60">
        <f t="shared" si="42"/>
        <v>161.7340631691518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105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105</v>
      </c>
      <c r="DP33" s="18">
        <f>DO33*VLOOKUP('Données projet'!$B$14,Paramètres!$A$1:$I$89,3,0)*VLOOKUP('Données projet'!$B$14,Paramètres!$A$1:$I$89,5,0)</f>
        <v>95.004000000000005</v>
      </c>
      <c r="DQ33" s="14">
        <f t="shared" si="43"/>
        <v>25.768242550600785</v>
      </c>
      <c r="DR33" s="22">
        <f t="shared" si="16"/>
        <v>210.34498910896306</v>
      </c>
      <c r="DS33" s="60">
        <f t="shared" si="17"/>
        <v>503.67832244229635</v>
      </c>
      <c r="DT33" s="60">
        <f ca="1">AVERAGE(OFFSET($DS$3,0,0,'Données projet'!$E$14+1,1))-AVERAGE(OFFSET($H$3,0,0,'Données projet'!$E$14+1,1))</f>
        <v>295.19398489974265</v>
      </c>
      <c r="DU33" s="60">
        <f t="shared" si="44"/>
        <v>168.80998104712489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29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4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85.176000000000002</v>
      </c>
      <c r="P34" s="14">
        <f t="shared" si="33"/>
        <v>23.398088487656441</v>
      </c>
      <c r="Q34" s="22">
        <f t="shared" si="2"/>
        <v>189.09987078266829</v>
      </c>
      <c r="R34" s="60">
        <f t="shared" si="0"/>
        <v>482.4332041160016</v>
      </c>
      <c r="S34" s="60">
        <f ca="1">AVERAGE(OFFSET($R$3,0,0,'Données projet'!$E$9+1,1))-AVERAGE(OFFSET($H$3,0,0,'Données projet'!$E$9+1,1))</f>
        <v>341.82426415364569</v>
      </c>
      <c r="T34" s="60">
        <f t="shared" si="34"/>
        <v>193.53376539568887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14.298901098901101</v>
      </c>
      <c r="AI34" s="14">
        <f>IF('Données projet'!$A$62&gt;35,AI33+AH34-AQ33,IF(A34&lt;'Données projet'!$A$62,$AF$205^A34,IF(A34='Données projet'!$A$62,'Données projet'!$B$62,AI33+AH34-AQ33)))</f>
        <v>191.08241758241761</v>
      </c>
      <c r="AJ34" s="14">
        <f>AI34*VLOOKUP('Données projet'!$B$10,Paramètres!$A$1:$I$89,3,0)*VLOOKUP('Données projet'!$B$10,Paramètres!$A$1:$I$89,5,0)</f>
        <v>114.26728571428573</v>
      </c>
      <c r="AK34" s="14">
        <f t="shared" si="35"/>
        <v>30.334152496808123</v>
      </c>
      <c r="AL34" s="22">
        <f t="shared" si="4"/>
        <v>251.84750488432181</v>
      </c>
      <c r="AM34" s="60">
        <f t="shared" si="5"/>
        <v>545.18083821765515</v>
      </c>
      <c r="AN34" s="60">
        <f ca="1">AVERAGE(OFFSET($AM$3,0,0,'Données projet'!$E$10+1,1))-AVERAGE(OFFSET($H$3,0,0,'Données projet'!$E$10+1,1))</f>
        <v>189.8516574130017</v>
      </c>
      <c r="AO34" s="60">
        <f t="shared" si="36"/>
        <v>191.91100863555891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13.932761608712235</v>
      </c>
      <c r="AV34" s="23">
        <f>EXP(-LN(2)/25)*AV33+(1-EXP(-LN(2)/25))/(LN(2)/25)*Calculateur!AQ34*Calculateur!AS34*VLOOKUP('Données projet'!$B$10,Paramètres!$A$1:$I$89,3,0)*0.475*44/12</f>
        <v>17.562195304730754</v>
      </c>
      <c r="AW34" s="23">
        <f>EXP(-LN(2)/2)*AW33+(1-EXP(-LN(2)/2))/(LN(2)/2)*AQ34*AT34*VLOOKUP('Données projet'!$B$10,Paramètres!$A$1:$I$89,3,0)*0.475*44/12</f>
        <v>4.2736608463738586</v>
      </c>
      <c r="AX34" s="23">
        <f t="shared" si="6"/>
        <v>35.768617759816848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6.7948717948717956</v>
      </c>
      <c r="BD34" s="13">
        <f>IF('Données projet'!$A$88&gt;35,BD33+BC34-BL33,IF(A34&lt;'Données projet'!$A$88,$BA$205^A34,IF(A34='Données projet'!$A$88,'Données projet'!$B$88,BD33+BC34-BL33)))</f>
        <v>113.84615384615381</v>
      </c>
      <c r="BE34" s="14">
        <f>BD34*VLOOKUP('Données projet'!$B$11,Paramètres!$A$1:$I$89,3,0)*VLOOKUP('Données projet'!$B$11,Paramètres!$A$1:$I$89,5,0)</f>
        <v>118.99199999999998</v>
      </c>
      <c r="BF34" s="14">
        <f t="shared" si="37"/>
        <v>31.439784551060573</v>
      </c>
      <c r="BG34" s="22">
        <f t="shared" si="7"/>
        <v>262.0020247597638</v>
      </c>
      <c r="BH34" s="60">
        <f t="shared" si="8"/>
        <v>555.33535809309706</v>
      </c>
      <c r="BI34" s="60">
        <f ca="1">AVERAGE(OFFSET($BH$3,0,0,'Données projet'!$E$11+1,1))-AVERAGE(OFFSET($H$3,0,0,'Données projet'!$E$11+1,1))</f>
        <v>373.7520752235389</v>
      </c>
      <c r="BJ34" s="60">
        <f t="shared" si="38"/>
        <v>205.19966474305761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10.402930402930403</v>
      </c>
      <c r="BY34" s="13">
        <f>IF('Données projet'!$A$114&gt;35,BY33+BX34-CG33,IF(A34&lt;'Données projet'!$A$114,$BV$205^A34,IF(A34='Données projet'!$A$114,'Données projet'!$B$114,BY33+BX34-CG33)))</f>
        <v>113.47985347985349</v>
      </c>
      <c r="BZ34" s="14">
        <f>BY34*VLOOKUP('Données projet'!$B$12,Paramètres!$A$1:$I$89,3,0)*VLOOKUP('Données projet'!$B$12,Paramètres!$A$1:$I$89,5,0)</f>
        <v>53.108571428571437</v>
      </c>
      <c r="CA34" s="14">
        <f t="shared" si="39"/>
        <v>15.413722027781299</v>
      </c>
      <c r="CB34" s="22">
        <f t="shared" si="10"/>
        <v>119.34299443648099</v>
      </c>
      <c r="CC34" s="60">
        <f t="shared" si="11"/>
        <v>412.67632776981429</v>
      </c>
      <c r="CD34" s="60">
        <f ca="1">AVERAGE(OFFSET($CC$3,0,0,'Données projet'!$E$12+1,1))-AVERAGE(OFFSET($H$3,0,0,'Données projet'!$E$12+1,1))</f>
        <v>141.31558705818316</v>
      </c>
      <c r="CE34" s="60">
        <f t="shared" si="40"/>
        <v>67.142010893211364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84</v>
      </c>
      <c r="CU34" s="18">
        <f>CT34*VLOOKUP('Données projet'!$B$13,Paramètres!$A$1:$I$89,3,0)*VLOOKUP('Données projet'!$B$13,Paramètres!$A$1:$I$89,5,0)</f>
        <v>73.382400000000018</v>
      </c>
      <c r="CV34" s="14">
        <f t="shared" si="41"/>
        <v>20.511105942035552</v>
      </c>
      <c r="CW34" s="22">
        <f t="shared" si="13"/>
        <v>163.53118951571196</v>
      </c>
      <c r="CX34" s="60">
        <f t="shared" si="14"/>
        <v>456.86452284904527</v>
      </c>
      <c r="CY34" s="60">
        <f ca="1">AVERAGE(OFFSET($CX$3,0,0,'Données projet'!$E$13+1,1))-AVERAGE(OFFSET($H$3,0,0,'Données projet'!$E$13+1,1))</f>
        <v>281.8501448773884</v>
      </c>
      <c r="CZ34" s="60">
        <f t="shared" si="42"/>
        <v>161.7340631691518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84</v>
      </c>
      <c r="DP34" s="18">
        <f>DO34*VLOOKUP('Données projet'!$B$14,Paramètres!$A$1:$I$89,3,0)*VLOOKUP('Données projet'!$B$14,Paramètres!$A$1:$I$89,5,0)</f>
        <v>76.003200000000007</v>
      </c>
      <c r="DQ34" s="14">
        <f t="shared" si="43"/>
        <v>21.157049992000456</v>
      </c>
      <c r="DR34" s="22">
        <f t="shared" si="16"/>
        <v>169.22076873606747</v>
      </c>
      <c r="DS34" s="60">
        <f t="shared" si="17"/>
        <v>462.55410206940076</v>
      </c>
      <c r="DT34" s="60">
        <f ca="1">AVERAGE(OFFSET($DS$3,0,0,'Données projet'!$E$14+1,1))-AVERAGE(OFFSET($H$3,0,0,'Données projet'!$E$14+1,1))</f>
        <v>295.19398489974265</v>
      </c>
      <c r="DU34" s="60">
        <f t="shared" si="44"/>
        <v>168.80998104712489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4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93.288000000000011</v>
      </c>
      <c r="P35" s="14">
        <f t="shared" si="33"/>
        <v>25.356547829040977</v>
      </c>
      <c r="Q35" s="22">
        <f t="shared" ref="Q35:Q66" si="53">(O35+P35)*0.475*44/12</f>
        <v>206.63925413557971</v>
      </c>
      <c r="R35" s="60">
        <f t="shared" si="0"/>
        <v>499.97258746891305</v>
      </c>
      <c r="S35" s="60">
        <f ca="1">AVERAGE(OFFSET($R$3,0,0,'Données projet'!$E$9+1,1))-AVERAGE(OFFSET($H$3,0,0,'Données projet'!$E$9+1,1))</f>
        <v>341.82426415364569</v>
      </c>
      <c r="T35" s="60">
        <f t="shared" si="34"/>
        <v>193.53376539568887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14.298901098901101</v>
      </c>
      <c r="AI35" s="14">
        <f>IF('Données projet'!$A$62&gt;35,AI34+AH35-AQ34,IF(A35&lt;'Données projet'!$A$62,$AF$205^A35,IF(A35='Données projet'!$A$62,'Données projet'!$B$62,AI34+AH35-AQ34)))</f>
        <v>205.3813186813187</v>
      </c>
      <c r="AJ35" s="14">
        <f>AI35*VLOOKUP('Données projet'!$B$10,Paramètres!$A$1:$I$89,3,0)*VLOOKUP('Données projet'!$B$10,Paramètres!$A$1:$I$89,5,0)</f>
        <v>122.81802857142858</v>
      </c>
      <c r="AK35" s="14">
        <f t="shared" si="35"/>
        <v>32.331367630744694</v>
      </c>
      <c r="AL35" s="22">
        <f t="shared" si="4"/>
        <v>270.21853171878513</v>
      </c>
      <c r="AM35" s="60">
        <f t="shared" si="5"/>
        <v>563.5518650521185</v>
      </c>
      <c r="AN35" s="60">
        <f ca="1">AVERAGE(OFFSET($AM$3,0,0,'Données projet'!$E$10+1,1))-AVERAGE(OFFSET($H$3,0,0,'Données projet'!$E$10+1,1))</f>
        <v>189.8516574130017</v>
      </c>
      <c r="AO35" s="60">
        <f t="shared" si="36"/>
        <v>191.91100863555891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13.659548651710848</v>
      </c>
      <c r="AV35" s="23">
        <f>EXP(-LN(2)/25)*AV34+(1-EXP(-LN(2)/25))/(LN(2)/25)*Calculateur!AQ35*Calculateur!AS35*VLOOKUP('Données projet'!$B$10,Paramètres!$A$1:$I$89,3,0)*0.475*44/12</f>
        <v>17.08195615056718</v>
      </c>
      <c r="AW35" s="23">
        <f>EXP(-LN(2)/2)*AW34+(1-EXP(-LN(2)/2))/(LN(2)/2)*AQ35*AT35*VLOOKUP('Données projet'!$B$10,Paramètres!$A$1:$I$89,3,0)*0.475*44/12</f>
        <v>3.0219345649623959</v>
      </c>
      <c r="AX35" s="23">
        <f t="shared" si="6"/>
        <v>33.763439367240423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6.7948717948717956</v>
      </c>
      <c r="BD35" s="13">
        <f>IF('Données projet'!$A$88&gt;35,BD34+BC35-BL34,IF(A35&lt;'Données projet'!$A$88,$BA$205^A35,IF(A35='Données projet'!$A$88,'Données projet'!$B$88,BD34+BC35-BL34)))</f>
        <v>120.64102564102561</v>
      </c>
      <c r="BE35" s="14">
        <f>BD35*VLOOKUP('Données projet'!$B$11,Paramètres!$A$1:$I$89,3,0)*VLOOKUP('Données projet'!$B$11,Paramètres!$A$1:$I$89,5,0)</f>
        <v>126.09399999999998</v>
      </c>
      <c r="BF35" s="14">
        <f t="shared" si="37"/>
        <v>33.092201184673563</v>
      </c>
      <c r="BG35" s="22">
        <f t="shared" si="7"/>
        <v>277.24930039663974</v>
      </c>
      <c r="BH35" s="60">
        <f t="shared" si="8"/>
        <v>570.58263372997305</v>
      </c>
      <c r="BI35" s="60">
        <f ca="1">AVERAGE(OFFSET($BH$3,0,0,'Données projet'!$E$11+1,1))-AVERAGE(OFFSET($H$3,0,0,'Données projet'!$E$11+1,1))</f>
        <v>373.7520752235389</v>
      </c>
      <c r="BJ35" s="60">
        <f t="shared" si="38"/>
        <v>205.19966474305761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10.402930402930403</v>
      </c>
      <c r="BY35" s="13">
        <f>IF('Données projet'!$A$114&gt;35,BY34+BX35-CG34,IF(A35&lt;'Données projet'!$A$114,$BV$205^A35,IF(A35='Données projet'!$A$114,'Données projet'!$B$114,BY34+BX35-CG34)))</f>
        <v>123.8827838827839</v>
      </c>
      <c r="BZ35" s="14">
        <f>BY35*VLOOKUP('Données projet'!$B$12,Paramètres!$A$1:$I$89,3,0)*VLOOKUP('Données projet'!$B$12,Paramètres!$A$1:$I$89,5,0)</f>
        <v>57.977142857142866</v>
      </c>
      <c r="CA35" s="14">
        <f t="shared" si="39"/>
        <v>16.655810903261287</v>
      </c>
      <c r="CB35" s="22">
        <f t="shared" si="10"/>
        <v>129.98572779937055</v>
      </c>
      <c r="CC35" s="60">
        <f t="shared" si="11"/>
        <v>423.31906113270384</v>
      </c>
      <c r="CD35" s="60">
        <f ca="1">AVERAGE(OFFSET($CC$3,0,0,'Données projet'!$E$12+1,1))-AVERAGE(OFFSET($H$3,0,0,'Données projet'!$E$12+1,1))</f>
        <v>141.31558705818316</v>
      </c>
      <c r="CE35" s="60">
        <f t="shared" si="40"/>
        <v>67.142010893211364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92</v>
      </c>
      <c r="CU35" s="18">
        <f>CT35*VLOOKUP('Données projet'!$B$13,Paramètres!$A$1:$I$89,3,0)*VLOOKUP('Données projet'!$B$13,Paramètres!$A$1:$I$89,5,0)</f>
        <v>80.371200000000002</v>
      </c>
      <c r="CV35" s="14">
        <f t="shared" si="41"/>
        <v>22.22791999099082</v>
      </c>
      <c r="CW35" s="22">
        <f t="shared" si="13"/>
        <v>178.69346731764233</v>
      </c>
      <c r="CX35" s="60">
        <f t="shared" si="14"/>
        <v>472.02680065097564</v>
      </c>
      <c r="CY35" s="60">
        <f ca="1">AVERAGE(OFFSET($CX$3,0,0,'Données projet'!$E$13+1,1))-AVERAGE(OFFSET($H$3,0,0,'Données projet'!$E$13+1,1))</f>
        <v>281.8501448773884</v>
      </c>
      <c r="CZ35" s="60">
        <f t="shared" si="42"/>
        <v>161.7340631691518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92</v>
      </c>
      <c r="DP35" s="18">
        <f>DO35*VLOOKUP('Données projet'!$B$14,Paramètres!$A$1:$I$89,3,0)*VLOOKUP('Données projet'!$B$14,Paramètres!$A$1:$I$89,5,0)</f>
        <v>83.241600000000005</v>
      </c>
      <c r="DQ35" s="14">
        <f t="shared" si="43"/>
        <v>22.927930643846508</v>
      </c>
      <c r="DR35" s="22">
        <f t="shared" si="16"/>
        <v>184.91193253803269</v>
      </c>
      <c r="DS35" s="60">
        <f t="shared" si="17"/>
        <v>478.24526587136597</v>
      </c>
      <c r="DT35" s="60">
        <f ca="1">AVERAGE(OFFSET($DS$3,0,0,'Données projet'!$E$14+1,1))-AVERAGE(OFFSET($H$3,0,0,'Données projet'!$E$14+1,1))</f>
        <v>295.19398489974265</v>
      </c>
      <c r="DU35" s="60">
        <f t="shared" si="44"/>
        <v>168.80998104712489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4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101.4</v>
      </c>
      <c r="P36" s="14">
        <f t="shared" si="33"/>
        <v>27.295257887453797</v>
      </c>
      <c r="Q36" s="22">
        <f t="shared" si="53"/>
        <v>224.14424082064872</v>
      </c>
      <c r="R36" s="60">
        <f t="shared" si="0"/>
        <v>517.477574153982</v>
      </c>
      <c r="S36" s="60">
        <f ca="1">AVERAGE(OFFSET($R$3,0,0,'Données projet'!$E$9+1,1))-AVERAGE(OFFSET($H$3,0,0,'Données projet'!$E$9+1,1))</f>
        <v>341.82426415364569</v>
      </c>
      <c r="T36" s="60">
        <f t="shared" si="34"/>
        <v>193.53376539568887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14.298901098901101</v>
      </c>
      <c r="AI36" s="14">
        <f>IF('Données projet'!$A$62&gt;35,AI35+AH36-AQ35,IF(A36&lt;'Données projet'!$A$62,$AF$205^A36,IF(A36='Données projet'!$A$62,'Données projet'!$B$62,AI35+AH36-AQ35)))</f>
        <v>219.6802197802198</v>
      </c>
      <c r="AJ36" s="14">
        <f>AI36*VLOOKUP('Données projet'!$B$10,Paramètres!$A$1:$I$89,3,0)*VLOOKUP('Données projet'!$B$10,Paramètres!$A$1:$I$89,5,0)</f>
        <v>131.36877142857145</v>
      </c>
      <c r="AK36" s="14">
        <f t="shared" si="35"/>
        <v>34.312449162076589</v>
      </c>
      <c r="AL36" s="22">
        <f t="shared" si="4"/>
        <v>288.56145919537863</v>
      </c>
      <c r="AM36" s="60">
        <f t="shared" si="5"/>
        <v>581.89479252871195</v>
      </c>
      <c r="AN36" s="60">
        <f ca="1">AVERAGE(OFFSET($AM$3,0,0,'Données projet'!$E$10+1,1))-AVERAGE(OFFSET($H$3,0,0,'Données projet'!$E$10+1,1))</f>
        <v>189.8516574130017</v>
      </c>
      <c r="AO36" s="60">
        <f t="shared" si="36"/>
        <v>191.91100863555891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13.391693234152807</v>
      </c>
      <c r="AV36" s="23">
        <f>EXP(-LN(2)/25)*AV35+(1-EXP(-LN(2)/25))/(LN(2)/25)*Calculateur!AQ36*Calculateur!AS36*VLOOKUP('Données projet'!$B$10,Paramètres!$A$1:$I$89,3,0)*0.475*44/12</f>
        <v>16.614849161328888</v>
      </c>
      <c r="AW36" s="23">
        <f>EXP(-LN(2)/2)*AW35+(1-EXP(-LN(2)/2))/(LN(2)/2)*AQ36*AT36*VLOOKUP('Données projet'!$B$10,Paramètres!$A$1:$I$89,3,0)*0.475*44/12</f>
        <v>2.1368304231869297</v>
      </c>
      <c r="AX36" s="23">
        <f t="shared" si="6"/>
        <v>32.143372818668624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6.7948717948717956</v>
      </c>
      <c r="BD36" s="13">
        <f>IF('Données projet'!$A$88&gt;35,BD35+BC36-BL35,IF(A36&lt;'Données projet'!$A$88,$BA$205^A36,IF(A36='Données projet'!$A$88,'Données projet'!$B$88,BD35+BC36-BL35)))</f>
        <v>127.4358974358974</v>
      </c>
      <c r="BE36" s="14">
        <f>BD36*VLOOKUP('Données projet'!$B$11,Paramètres!$A$1:$I$89,3,0)*VLOOKUP('Données projet'!$B$11,Paramètres!$A$1:$I$89,5,0)</f>
        <v>133.19599999999997</v>
      </c>
      <c r="BF36" s="14">
        <f t="shared" si="37"/>
        <v>34.733813972308901</v>
      </c>
      <c r="BG36" s="22">
        <f t="shared" si="7"/>
        <v>292.47775933510462</v>
      </c>
      <c r="BH36" s="60">
        <f t="shared" si="8"/>
        <v>585.81109266843794</v>
      </c>
      <c r="BI36" s="60">
        <f ca="1">AVERAGE(OFFSET($BH$3,0,0,'Données projet'!$E$11+1,1))-AVERAGE(OFFSET($H$3,0,0,'Données projet'!$E$11+1,1))</f>
        <v>373.7520752235389</v>
      </c>
      <c r="BJ36" s="60">
        <f t="shared" si="38"/>
        <v>205.19966474305761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10.402930402930403</v>
      </c>
      <c r="BY36" s="13">
        <f>IF('Données projet'!$A$114&gt;35,BY35+BX36-CG35,IF(A36&lt;'Données projet'!$A$114,$BV$205^A36,IF(A36='Données projet'!$A$114,'Données projet'!$B$114,BY35+BX36-CG35)))</f>
        <v>134.28571428571431</v>
      </c>
      <c r="BZ36" s="14">
        <f>BY36*VLOOKUP('Données projet'!$B$12,Paramètres!$A$1:$I$89,3,0)*VLOOKUP('Données projet'!$B$12,Paramètres!$A$1:$I$89,5,0)</f>
        <v>62.845714285714294</v>
      </c>
      <c r="CA36" s="14">
        <f t="shared" si="39"/>
        <v>17.885803038990584</v>
      </c>
      <c r="CB36" s="22">
        <f t="shared" si="10"/>
        <v>140.60739267386097</v>
      </c>
      <c r="CC36" s="60">
        <f t="shared" si="11"/>
        <v>433.94072600719426</v>
      </c>
      <c r="CD36" s="60">
        <f ca="1">AVERAGE(OFFSET($CC$3,0,0,'Données projet'!$E$12+1,1))-AVERAGE(OFFSET($H$3,0,0,'Données projet'!$E$12+1,1))</f>
        <v>141.31558705818316</v>
      </c>
      <c r="CE36" s="60">
        <f t="shared" si="40"/>
        <v>67.142010893211364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100</v>
      </c>
      <c r="CU36" s="18">
        <f>CT36*VLOOKUP('Données projet'!$B$13,Paramètres!$A$1:$I$89,3,0)*VLOOKUP('Données projet'!$B$13,Paramètres!$A$1:$I$89,5,0)</f>
        <v>87.360000000000014</v>
      </c>
      <c r="CV36" s="14">
        <f t="shared" si="41"/>
        <v>23.927421530185931</v>
      </c>
      <c r="CW36" s="22">
        <f t="shared" si="13"/>
        <v>193.82559249840719</v>
      </c>
      <c r="CX36" s="60">
        <f t="shared" si="14"/>
        <v>487.15892583174048</v>
      </c>
      <c r="CY36" s="60">
        <f ca="1">AVERAGE(OFFSET($CX$3,0,0,'Données projet'!$E$13+1,1))-AVERAGE(OFFSET($H$3,0,0,'Données projet'!$E$13+1,1))</f>
        <v>281.8501448773884</v>
      </c>
      <c r="CZ36" s="60">
        <f t="shared" si="42"/>
        <v>161.7340631691518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100</v>
      </c>
      <c r="DP36" s="18">
        <f>DO36*VLOOKUP('Données projet'!$B$14,Paramètres!$A$1:$I$89,3,0)*VLOOKUP('Données projet'!$B$14,Paramètres!$A$1:$I$89,5,0)</f>
        <v>90.47999999999999</v>
      </c>
      <c r="DQ36" s="14">
        <f t="shared" si="43"/>
        <v>24.680953573367994</v>
      </c>
      <c r="DR36" s="22">
        <f t="shared" si="16"/>
        <v>200.57199414028256</v>
      </c>
      <c r="DS36" s="60">
        <f t="shared" si="17"/>
        <v>493.9053274736159</v>
      </c>
      <c r="DT36" s="60">
        <f ca="1">AVERAGE(OFFSET($DS$3,0,0,'Données projet'!$E$14+1,1))-AVERAGE(OFFSET($H$3,0,0,'Données projet'!$E$14+1,1))</f>
        <v>295.19398489974265</v>
      </c>
      <c r="DU36" s="60">
        <f t="shared" si="44"/>
        <v>168.80998104712489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4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109.51200000000001</v>
      </c>
      <c r="P37" s="14">
        <f t="shared" si="33"/>
        <v>29.215978230632555</v>
      </c>
      <c r="Q37" s="22">
        <f t="shared" si="53"/>
        <v>241.61789541835174</v>
      </c>
      <c r="R37" s="60">
        <f t="shared" si="0"/>
        <v>534.95122875168499</v>
      </c>
      <c r="S37" s="60">
        <f ca="1">AVERAGE(OFFSET($R$3,0,0,'Données projet'!$E$9+1,1))-AVERAGE(OFFSET($H$3,0,0,'Données projet'!$E$9+1,1))</f>
        <v>341.82426415364569</v>
      </c>
      <c r="T37" s="60">
        <f t="shared" si="34"/>
        <v>193.53376539568887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14.298901098901101</v>
      </c>
      <c r="AI37" s="14">
        <f>IF('Données projet'!$A$62&gt;35,AI36+AH37-AQ36,IF(A37&lt;'Données projet'!$A$62,$AF$205^A37,IF(A37='Données projet'!$A$62,'Données projet'!$B$62,AI36+AH37-AQ36)))</f>
        <v>233.9791208791209</v>
      </c>
      <c r="AJ37" s="14">
        <f>AI37*VLOOKUP('Données projet'!$B$10,Paramètres!$A$1:$I$89,3,0)*VLOOKUP('Données projet'!$B$10,Paramètres!$A$1:$I$89,5,0)</f>
        <v>139.91951428571431</v>
      </c>
      <c r="AK37" s="14">
        <f t="shared" si="35"/>
        <v>36.278566731027588</v>
      </c>
      <c r="AL37" s="22">
        <f t="shared" si="4"/>
        <v>306.87832443749215</v>
      </c>
      <c r="AM37" s="60">
        <f t="shared" si="5"/>
        <v>600.21165777082547</v>
      </c>
      <c r="AN37" s="60">
        <f ca="1">AVERAGE(OFFSET($AM$3,0,0,'Données projet'!$E$10+1,1))-AVERAGE(OFFSET($H$3,0,0,'Données projet'!$E$10+1,1))</f>
        <v>189.8516574130017</v>
      </c>
      <c r="AO37" s="60">
        <f t="shared" si="36"/>
        <v>191.91100863555891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13.129090297957408</v>
      </c>
      <c r="AV37" s="23">
        <f>EXP(-LN(2)/25)*AV36+(1-EXP(-LN(2)/25))/(LN(2)/25)*Calculateur!AQ37*Calculateur!AS37*VLOOKUP('Données projet'!$B$10,Paramètres!$A$1:$I$89,3,0)*0.475*44/12</f>
        <v>16.160515237275405</v>
      </c>
      <c r="AW37" s="23">
        <f>EXP(-LN(2)/2)*AW36+(1-EXP(-LN(2)/2))/(LN(2)/2)*AQ37*AT37*VLOOKUP('Données projet'!$B$10,Paramètres!$A$1:$I$89,3,0)*0.475*44/12</f>
        <v>1.5109672824811982</v>
      </c>
      <c r="AX37" s="23">
        <f t="shared" si="6"/>
        <v>30.800572817714009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6.7948717948717956</v>
      </c>
      <c r="BD37" s="13">
        <f>IF('Données projet'!$A$88&gt;35,BD36+BC37-BL36,IF(A37&lt;'Données projet'!$A$88,$BA$205^A37,IF(A37='Données projet'!$A$88,'Données projet'!$B$88,BD36+BC37-BL36)))</f>
        <v>134.2307692307692</v>
      </c>
      <c r="BE37" s="14">
        <f>BD37*VLOOKUP('Données projet'!$B$11,Paramètres!$A$1:$I$89,3,0)*VLOOKUP('Données projet'!$B$11,Paramètres!$A$1:$I$89,5,0)</f>
        <v>140.29799999999997</v>
      </c>
      <c r="BF37" s="14">
        <f t="shared" si="37"/>
        <v>36.365264659858738</v>
      </c>
      <c r="BG37" s="22">
        <f t="shared" si="7"/>
        <v>307.68851928258727</v>
      </c>
      <c r="BH37" s="60">
        <f t="shared" si="8"/>
        <v>601.02185261592058</v>
      </c>
      <c r="BI37" s="60">
        <f ca="1">AVERAGE(OFFSET($BH$3,0,0,'Données projet'!$E$11+1,1))-AVERAGE(OFFSET($H$3,0,0,'Données projet'!$E$11+1,1))</f>
        <v>373.7520752235389</v>
      </c>
      <c r="BJ37" s="60">
        <f t="shared" si="38"/>
        <v>205.19966474305761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10.402930402930403</v>
      </c>
      <c r="BY37" s="13">
        <f>IF('Données projet'!$A$114&gt;35,BY36+BX37-CG36,IF(A37&lt;'Données projet'!$A$114,$BV$205^A37,IF(A37='Données projet'!$A$114,'Données projet'!$B$114,BY36+BX37-CG36)))</f>
        <v>144.6886446886447</v>
      </c>
      <c r="BZ37" s="14">
        <f>BY37*VLOOKUP('Données projet'!$B$12,Paramètres!$A$1:$I$89,3,0)*VLOOKUP('Données projet'!$B$12,Paramètres!$A$1:$I$89,5,0)</f>
        <v>67.714285714285722</v>
      </c>
      <c r="CA37" s="14">
        <f t="shared" si="39"/>
        <v>19.104742100396511</v>
      </c>
      <c r="CB37" s="22">
        <f t="shared" si="10"/>
        <v>151.20980677723819</v>
      </c>
      <c r="CC37" s="60">
        <f t="shared" si="11"/>
        <v>444.54314011057147</v>
      </c>
      <c r="CD37" s="60">
        <f ca="1">AVERAGE(OFFSET($CC$3,0,0,'Données projet'!$E$12+1,1))-AVERAGE(OFFSET($H$3,0,0,'Données projet'!$E$12+1,1))</f>
        <v>141.31558705818316</v>
      </c>
      <c r="CE37" s="60">
        <f t="shared" si="40"/>
        <v>67.142010893211364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108</v>
      </c>
      <c r="CU37" s="18">
        <f>CT37*VLOOKUP('Données projet'!$B$13,Paramètres!$A$1:$I$89,3,0)*VLOOKUP('Données projet'!$B$13,Paramètres!$A$1:$I$89,5,0)</f>
        <v>94.348800000000011</v>
      </c>
      <c r="CV37" s="14">
        <f t="shared" si="41"/>
        <v>25.611153022386461</v>
      </c>
      <c r="CW37" s="22">
        <f t="shared" si="13"/>
        <v>208.93025151398976</v>
      </c>
      <c r="CX37" s="60">
        <f t="shared" si="14"/>
        <v>502.26358484732305</v>
      </c>
      <c r="CY37" s="60">
        <f ca="1">AVERAGE(OFFSET($CX$3,0,0,'Données projet'!$E$13+1,1))-AVERAGE(OFFSET($H$3,0,0,'Données projet'!$E$13+1,1))</f>
        <v>281.8501448773884</v>
      </c>
      <c r="CZ37" s="60">
        <f t="shared" si="42"/>
        <v>161.7340631691518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108</v>
      </c>
      <c r="DP37" s="18">
        <f>DO37*VLOOKUP('Données projet'!$B$14,Paramètres!$A$1:$I$89,3,0)*VLOOKUP('Données projet'!$B$14,Paramètres!$A$1:$I$89,5,0)</f>
        <v>97.718399999999988</v>
      </c>
      <c r="DQ37" s="14">
        <f t="shared" si="43"/>
        <v>26.417709819192194</v>
      </c>
      <c r="DR37" s="22">
        <f t="shared" si="16"/>
        <v>216.20372460175972</v>
      </c>
      <c r="DS37" s="60">
        <f t="shared" si="17"/>
        <v>509.537057935093</v>
      </c>
      <c r="DT37" s="60">
        <f ca="1">AVERAGE(OFFSET($DS$3,0,0,'Données projet'!$E$14+1,1))-AVERAGE(OFFSET($H$3,0,0,'Données projet'!$E$14+1,1))</f>
        <v>295.19398489974265</v>
      </c>
      <c r="DU37" s="60">
        <f t="shared" si="44"/>
        <v>168.80998104712489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4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117.62400000000001</v>
      </c>
      <c r="P38" s="14">
        <f t="shared" si="33"/>
        <v>31.120192961985413</v>
      </c>
      <c r="Q38" s="22">
        <f t="shared" si="53"/>
        <v>259.06280274212457</v>
      </c>
      <c r="R38" s="60">
        <f t="shared" si="0"/>
        <v>552.39613607545789</v>
      </c>
      <c r="S38" s="60">
        <f ca="1">AVERAGE(OFFSET($R$3,0,0,'Données projet'!$E$9+1,1))-AVERAGE(OFFSET($H$3,0,0,'Données projet'!$E$9+1,1))</f>
        <v>341.82426415364569</v>
      </c>
      <c r="T38" s="60">
        <f t="shared" si="34"/>
        <v>193.53376539568887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14.298901098901101</v>
      </c>
      <c r="AI38" s="14">
        <f>IF('Données projet'!$A$62&gt;35,AI37+AH38-AQ37,IF(A38&lt;'Données projet'!$A$62,$AF$205^A38,IF(A38='Données projet'!$A$62,'Données projet'!$B$62,AI37+AH38-AQ37)))</f>
        <v>248.278021978022</v>
      </c>
      <c r="AJ38" s="14">
        <f>AI38*VLOOKUP('Données projet'!$B$10,Paramètres!$A$1:$I$89,3,0)*VLOOKUP('Données projet'!$B$10,Paramètres!$A$1:$I$89,5,0)</f>
        <v>148.47025714285718</v>
      </c>
      <c r="AK38" s="14">
        <f t="shared" si="35"/>
        <v>38.230738941903269</v>
      </c>
      <c r="AL38" s="22">
        <f t="shared" si="4"/>
        <v>325.17090151429107</v>
      </c>
      <c r="AM38" s="60">
        <f t="shared" si="5"/>
        <v>618.50423484762439</v>
      </c>
      <c r="AN38" s="60">
        <f ca="1">AVERAGE(OFFSET($AM$3,0,0,'Données projet'!$E$10+1,1))-AVERAGE(OFFSET($H$3,0,0,'Données projet'!$E$10+1,1))</f>
        <v>189.8516574130017</v>
      </c>
      <c r="AO38" s="60">
        <f t="shared" si="36"/>
        <v>191.91100863555891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12.871636845168824</v>
      </c>
      <c r="AV38" s="23">
        <f>EXP(-LN(2)/25)*AV37+(1-EXP(-LN(2)/25))/(LN(2)/25)*Calculateur!AQ38*Calculateur!AS38*VLOOKUP('Données projet'!$B$10,Paramètres!$A$1:$I$89,3,0)*0.475*44/12</f>
        <v>15.718605098267547</v>
      </c>
      <c r="AW38" s="23">
        <f>EXP(-LN(2)/2)*AW37+(1-EXP(-LN(2)/2))/(LN(2)/2)*AQ38*AT38*VLOOKUP('Données projet'!$B$10,Paramètres!$A$1:$I$89,3,0)*0.475*44/12</f>
        <v>1.0684152115934651</v>
      </c>
      <c r="AX38" s="23">
        <f t="shared" si="6"/>
        <v>29.658657155029836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141.02564102564102</v>
      </c>
      <c r="BB38" s="13">
        <f>VLOOKUP(A38,'Données projet'!$A$87:$I$107,9,0)</f>
        <v>6.7948717948717956</v>
      </c>
      <c r="BC38" s="13">
        <f t="array" ref="BC38">INDEX(BB:BB,MIN(IF(ISNUMBER(BB38:BB234),ROW(BB38:BB234),"")))</f>
        <v>6.7948717948717956</v>
      </c>
      <c r="BD38" s="13">
        <f>IF('Données projet'!$A$88&gt;35,BD37+BC38-BL37,IF(A38&lt;'Données projet'!$A$88,$BA$205^A38,IF(A38='Données projet'!$A$88,'Données projet'!$B$88,BD37+BC38-BL37)))</f>
        <v>141.02564102564099</v>
      </c>
      <c r="BE38" s="14">
        <f>BD38*VLOOKUP('Données projet'!$B$11,Paramètres!$A$1:$I$89,3,0)*VLOOKUP('Données projet'!$B$11,Paramètres!$A$1:$I$89,5,0)</f>
        <v>147.39999999999998</v>
      </c>
      <c r="BF38" s="14">
        <f t="shared" si="37"/>
        <v>37.987126351804257</v>
      </c>
      <c r="BG38" s="22">
        <f t="shared" si="7"/>
        <v>322.88257839605899</v>
      </c>
      <c r="BH38" s="60">
        <f t="shared" si="8"/>
        <v>616.21591172939225</v>
      </c>
      <c r="BI38" s="60">
        <f ca="1">AVERAGE(OFFSET($BH$3,0,0,'Données projet'!$E$11+1,1))-AVERAGE(OFFSET($H$3,0,0,'Données projet'!$E$11+1,1))</f>
        <v>373.7520752235389</v>
      </c>
      <c r="BJ38" s="60">
        <f t="shared" si="38"/>
        <v>205.19966474305761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20.512820512820511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10.402930402930403</v>
      </c>
      <c r="BY38" s="13">
        <f>IF('Données projet'!$A$114&gt;35,BY37+BX38-CG37,IF(A38&lt;'Données projet'!$A$114,$BV$205^A38,IF(A38='Données projet'!$A$114,'Données projet'!$B$114,BY37+BX38-CG37)))</f>
        <v>155.09157509157509</v>
      </c>
      <c r="BZ38" s="14">
        <f>BY38*VLOOKUP('Données projet'!$B$12,Paramètres!$A$1:$I$89,3,0)*VLOOKUP('Données projet'!$B$12,Paramètres!$A$1:$I$89,5,0)</f>
        <v>72.582857142857151</v>
      </c>
      <c r="CA38" s="14">
        <f t="shared" si="39"/>
        <v>20.31351317084026</v>
      </c>
      <c r="CB38" s="22">
        <f t="shared" si="10"/>
        <v>161.79451162968965</v>
      </c>
      <c r="CC38" s="60">
        <f t="shared" si="11"/>
        <v>455.12784496302299</v>
      </c>
      <c r="CD38" s="60">
        <f ca="1">AVERAGE(OFFSET($CC$3,0,0,'Données projet'!$E$12+1,1))-AVERAGE(OFFSET($H$3,0,0,'Données projet'!$E$12+1,1))</f>
        <v>141.31558705818316</v>
      </c>
      <c r="CE38" s="60">
        <f t="shared" si="40"/>
        <v>67.142010893211364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116</v>
      </c>
      <c r="CU38" s="18">
        <f>CT38*VLOOKUP('Données projet'!$B$13,Paramètres!$A$1:$I$89,3,0)*VLOOKUP('Données projet'!$B$13,Paramètres!$A$1:$I$89,5,0)</f>
        <v>101.33760000000001</v>
      </c>
      <c r="CV38" s="14">
        <f t="shared" si="41"/>
        <v>27.280415454305565</v>
      </c>
      <c r="CW38" s="22">
        <f t="shared" si="13"/>
        <v>224.00971024958221</v>
      </c>
      <c r="CX38" s="60">
        <f t="shared" si="14"/>
        <v>517.34304358291547</v>
      </c>
      <c r="CY38" s="60">
        <f ca="1">AVERAGE(OFFSET($CX$3,0,0,'Données projet'!$E$13+1,1))-AVERAGE(OFFSET($H$3,0,0,'Données projet'!$E$13+1,1))</f>
        <v>281.8501448773884</v>
      </c>
      <c r="CZ38" s="60">
        <f t="shared" si="42"/>
        <v>161.7340631691518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116</v>
      </c>
      <c r="DP38" s="18">
        <f>DO38*VLOOKUP('Données projet'!$B$14,Paramètres!$A$1:$I$89,3,0)*VLOOKUP('Données projet'!$B$14,Paramètres!$A$1:$I$89,5,0)</f>
        <v>104.9568</v>
      </c>
      <c r="DQ38" s="14">
        <f t="shared" si="43"/>
        <v>28.139541339232373</v>
      </c>
      <c r="DR38" s="22">
        <f t="shared" si="16"/>
        <v>231.8094611658297</v>
      </c>
      <c r="DS38" s="60">
        <f t="shared" si="17"/>
        <v>525.14279449916307</v>
      </c>
      <c r="DT38" s="60">
        <f ca="1">AVERAGE(OFFSET($DS$3,0,0,'Données projet'!$E$14+1,1))-AVERAGE(OFFSET($H$3,0,0,'Données projet'!$E$14+1,1))</f>
        <v>295.19398489974265</v>
      </c>
      <c r="DU38" s="60">
        <f t="shared" si="44"/>
        <v>168.80998104712489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4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126.1416</v>
      </c>
      <c r="P39" s="14">
        <f t="shared" si="33"/>
        <v>33.10323903126482</v>
      </c>
      <c r="Q39" s="22">
        <f t="shared" si="53"/>
        <v>277.35142797945286</v>
      </c>
      <c r="R39" s="60">
        <f t="shared" si="0"/>
        <v>570.68476131278612</v>
      </c>
      <c r="S39" s="60">
        <f ca="1">AVERAGE(OFFSET($R$3,0,0,'Données projet'!$E$9+1,1))-AVERAGE(OFFSET($H$3,0,0,'Données projet'!$E$9+1,1))</f>
        <v>341.82426415364569</v>
      </c>
      <c r="T39" s="60">
        <f t="shared" si="34"/>
        <v>193.53376539568887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262.57692307692309</v>
      </c>
      <c r="AG39" s="13">
        <f>VLOOKUP(A39,'Données projet'!$A$61:$I$81,9,0)</f>
        <v>14.298901098901101</v>
      </c>
      <c r="AH39" s="13">
        <f t="array" ref="AH39">INDEX(AG:AG,MIN(IF(ISNUMBER(AG39:AG235),ROW(AG39:AG235),"")))</f>
        <v>14.298901098901101</v>
      </c>
      <c r="AI39" s="14">
        <f>IF('Données projet'!$A$62&gt;35,AI38+AH39-AQ38,IF(A39&lt;'Données projet'!$A$62,$AF$205^A39,IF(A39='Données projet'!$A$62,'Données projet'!$B$62,AI38+AH39-AQ38)))</f>
        <v>262.57692307692309</v>
      </c>
      <c r="AJ39" s="14">
        <f>AI39*VLOOKUP('Données projet'!$B$10,Paramètres!$A$1:$I$89,3,0)*VLOOKUP('Données projet'!$B$10,Paramètres!$A$1:$I$89,5,0)</f>
        <v>157.02100000000002</v>
      </c>
      <c r="AK39" s="14">
        <f t="shared" si="35"/>
        <v>40.169860444278903</v>
      </c>
      <c r="AL39" s="22">
        <f t="shared" si="4"/>
        <v>343.44074860711908</v>
      </c>
      <c r="AM39" s="60">
        <f t="shared" si="5"/>
        <v>636.77408194045233</v>
      </c>
      <c r="AN39" s="60">
        <f ca="1">AVERAGE(OFFSET($AM$3,0,0,'Données projet'!$E$10+1,1))-AVERAGE(OFFSET($H$3,0,0,'Données projet'!$E$10+1,1))</f>
        <v>189.8516574130017</v>
      </c>
      <c r="AO39" s="60">
        <f t="shared" si="36"/>
        <v>191.91100863555891</v>
      </c>
      <c r="AP39" s="16">
        <f>IF(ISNA(VLOOKUP(A39,'Données projet'!$A$61:$I$81,3,0)),0,VLOOKUP(A39,'Données projet'!$A$61:$I$81,3,0))</f>
        <v>4</v>
      </c>
      <c r="AQ39" s="16">
        <f>IF(ISNA(VLOOKUP(A39,'Données projet'!$A$61:$I$81,4,0)),0,VLOOKUP(A39,'Données projet'!$A$61:$I$81,4,0))</f>
        <v>64.561538461538461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12.619231897558326</v>
      </c>
      <c r="AV39" s="23">
        <f>EXP(-LN(2)/25)*AV38+(1-EXP(-LN(2)/25))/(LN(2)/25)*Calculateur!AQ39*Calculateur!AS39*VLOOKUP('Données projet'!$B$10,Paramètres!$A$1:$I$89,3,0)*0.475*44/12</f>
        <v>15.288779015249904</v>
      </c>
      <c r="AW39" s="23">
        <f>EXP(-LN(2)/2)*AW38+(1-EXP(-LN(2)/2))/(LN(2)/2)*AQ39*AT39*VLOOKUP('Données projet'!$B$10,Paramètres!$A$1:$I$89,3,0)*0.475*44/12</f>
        <v>0.75548364124059919</v>
      </c>
      <c r="AX39" s="23">
        <f t="shared" si="6"/>
        <v>28.663494554048828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6.5384615384615383</v>
      </c>
      <c r="BD39" s="13">
        <f>IF('Données projet'!$A$88&gt;35,BD38+BC39-BL38,IF(A39&lt;'Données projet'!$A$88,$BA$205^A39,IF(A39='Données projet'!$A$88,'Données projet'!$B$88,BD38+BC39-BL38)))</f>
        <v>127.05128205128203</v>
      </c>
      <c r="BE39" s="14">
        <f>BD39*VLOOKUP('Données projet'!$B$11,Paramètres!$A$1:$I$89,3,0)*VLOOKUP('Données projet'!$B$11,Paramètres!$A$1:$I$89,5,0)</f>
        <v>132.79399999999998</v>
      </c>
      <c r="BF39" s="14">
        <f t="shared" si="37"/>
        <v>34.641169520449267</v>
      </c>
      <c r="BG39" s="22">
        <f t="shared" si="7"/>
        <v>291.61625358144909</v>
      </c>
      <c r="BH39" s="60">
        <f t="shared" si="8"/>
        <v>584.94958691478246</v>
      </c>
      <c r="BI39" s="60">
        <f ca="1">AVERAGE(OFFSET($BH$3,0,0,'Données projet'!$E$11+1,1))-AVERAGE(OFFSET($H$3,0,0,'Données projet'!$E$11+1,1))</f>
        <v>373.7520752235389</v>
      </c>
      <c r="BJ39" s="60">
        <f t="shared" si="38"/>
        <v>205.19966474305761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10.402930402930403</v>
      </c>
      <c r="BY39" s="13">
        <f>IF('Données projet'!$A$114&gt;35,BY38+BX39-CG38,IF(A39&lt;'Données projet'!$A$114,$BV$205^A39,IF(A39='Données projet'!$A$114,'Données projet'!$B$114,BY38+BX39-CG38)))</f>
        <v>165.49450549450549</v>
      </c>
      <c r="BZ39" s="14">
        <f>BY39*VLOOKUP('Données projet'!$B$12,Paramètres!$A$1:$I$89,3,0)*VLOOKUP('Données projet'!$B$12,Paramètres!$A$1:$I$89,5,0)</f>
        <v>77.451428571428565</v>
      </c>
      <c r="CA39" s="14">
        <f t="shared" si="39"/>
        <v>21.512875879677669</v>
      </c>
      <c r="CB39" s="22">
        <f t="shared" si="10"/>
        <v>172.36283025234334</v>
      </c>
      <c r="CC39" s="60">
        <f t="shared" si="11"/>
        <v>465.69616358567669</v>
      </c>
      <c r="CD39" s="60">
        <f ca="1">AVERAGE(OFFSET($CC$3,0,0,'Données projet'!$E$12+1,1))-AVERAGE(OFFSET($H$3,0,0,'Données projet'!$E$12+1,1))</f>
        <v>141.31558705818316</v>
      </c>
      <c r="CE39" s="60">
        <f t="shared" si="40"/>
        <v>67.142010893211364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124.4</v>
      </c>
      <c r="CU39" s="18">
        <f>CT39*VLOOKUP('Données projet'!$B$13,Paramètres!$A$1:$I$89,3,0)*VLOOKUP('Données projet'!$B$13,Paramètres!$A$1:$I$89,5,0)</f>
        <v>108.67584000000002</v>
      </c>
      <c r="CV39" s="14">
        <f t="shared" si="41"/>
        <v>29.018782587859434</v>
      </c>
      <c r="CW39" s="22">
        <f t="shared" si="13"/>
        <v>239.81813434052185</v>
      </c>
      <c r="CX39" s="60">
        <f t="shared" si="14"/>
        <v>533.15146767385522</v>
      </c>
      <c r="CY39" s="60">
        <f ca="1">AVERAGE(OFFSET($CX$3,0,0,'Données projet'!$E$13+1,1))-AVERAGE(OFFSET($H$3,0,0,'Données projet'!$E$13+1,1))</f>
        <v>281.8501448773884</v>
      </c>
      <c r="CZ39" s="60">
        <f t="shared" si="42"/>
        <v>161.7340631691518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124.4</v>
      </c>
      <c r="DP39" s="18">
        <f>DO39*VLOOKUP('Données projet'!$B$14,Paramètres!$A$1:$I$89,3,0)*VLOOKUP('Données projet'!$B$14,Paramètres!$A$1:$I$89,5,0)</f>
        <v>112.55712000000001</v>
      </c>
      <c r="DQ39" s="14">
        <f t="shared" si="43"/>
        <v>29.932653834140599</v>
      </c>
      <c r="DR39" s="22">
        <f t="shared" si="16"/>
        <v>248.16968942779488</v>
      </c>
      <c r="DS39" s="60">
        <f t="shared" si="17"/>
        <v>541.50302276112825</v>
      </c>
      <c r="DT39" s="60">
        <f ca="1">AVERAGE(OFFSET($DS$3,0,0,'Données projet'!$E$14+1,1))-AVERAGE(OFFSET($H$3,0,0,'Données projet'!$E$14+1,1))</f>
        <v>295.19398489974265</v>
      </c>
      <c r="DU39" s="60">
        <f t="shared" si="44"/>
        <v>168.80998104712489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4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134.65920000000003</v>
      </c>
      <c r="P40" s="14">
        <f t="shared" si="33"/>
        <v>35.07074737441733</v>
      </c>
      <c r="Q40" s="22">
        <f t="shared" si="53"/>
        <v>295.61299167711019</v>
      </c>
      <c r="R40" s="60">
        <f t="shared" si="0"/>
        <v>588.9463250104435</v>
      </c>
      <c r="S40" s="60">
        <f ca="1">AVERAGE(OFFSET($R$3,0,0,'Données projet'!$E$9+1,1))-AVERAGE(OFFSET($H$3,0,0,'Données projet'!$E$9+1,1))</f>
        <v>341.82426415364569</v>
      </c>
      <c r="T40" s="60">
        <f t="shared" si="34"/>
        <v>193.53376539568887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13.142307692307696</v>
      </c>
      <c r="AI40" s="14">
        <f>IF('Données projet'!$A$62&gt;35,AI39+AH40-AQ39,IF(A40&lt;'Données projet'!$A$62,$AF$205^A40,IF(A40='Données projet'!$A$62,'Données projet'!$B$62,AI39+AH40-AQ39)))</f>
        <v>211.15769230769229</v>
      </c>
      <c r="AJ40" s="14">
        <f>AI40*VLOOKUP('Données projet'!$B$10,Paramètres!$A$1:$I$89,3,0)*VLOOKUP('Données projet'!$B$10,Paramètres!$A$1:$I$89,5,0)</f>
        <v>126.2723</v>
      </c>
      <c r="AK40" s="14">
        <f t="shared" si="35"/>
        <v>33.133544239281498</v>
      </c>
      <c r="AL40" s="22">
        <f t="shared" si="4"/>
        <v>277.63184538341528</v>
      </c>
      <c r="AM40" s="60">
        <f t="shared" si="5"/>
        <v>570.9651787167486</v>
      </c>
      <c r="AN40" s="60">
        <f ca="1">AVERAGE(OFFSET($AM$3,0,0,'Données projet'!$E$10+1,1))-AVERAGE(OFFSET($H$3,0,0,'Données projet'!$E$10+1,1))</f>
        <v>189.8516574130017</v>
      </c>
      <c r="AO40" s="60">
        <f t="shared" si="36"/>
        <v>191.91100863555891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12.371776457018651</v>
      </c>
      <c r="AV40" s="23">
        <f>EXP(-LN(2)/25)*AV39+(1-EXP(-LN(2)/25))/(LN(2)/25)*Calculateur!AQ40*Calculateur!AS40*VLOOKUP('Données projet'!$B$10,Paramètres!$A$1:$I$89,3,0)*0.475*44/12</f>
        <v>14.870706549075951</v>
      </c>
      <c r="AW40" s="23">
        <f>EXP(-LN(2)/2)*AW39+(1-EXP(-LN(2)/2))/(LN(2)/2)*AQ40*AT40*VLOOKUP('Données projet'!$B$10,Paramètres!$A$1:$I$89,3,0)*0.475*44/12</f>
        <v>0.53420760579673254</v>
      </c>
      <c r="AX40" s="23">
        <f t="shared" si="6"/>
        <v>27.776690611891336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6.5384615384615383</v>
      </c>
      <c r="BD40" s="13">
        <f>IF('Données projet'!$A$88&gt;35,BD39+BC40-BL39,IF(A40&lt;'Données projet'!$A$88,$BA$205^A40,IF(A40='Données projet'!$A$88,'Données projet'!$B$88,BD39+BC40-BL39)))</f>
        <v>133.58974358974356</v>
      </c>
      <c r="BE40" s="14">
        <f>BD40*VLOOKUP('Données projet'!$B$11,Paramètres!$A$1:$I$89,3,0)*VLOOKUP('Données projet'!$B$11,Paramètres!$A$1:$I$89,5,0)</f>
        <v>139.62799999999999</v>
      </c>
      <c r="BF40" s="14">
        <f t="shared" si="37"/>
        <v>36.211772326849783</v>
      </c>
      <c r="BG40" s="22">
        <f t="shared" si="7"/>
        <v>306.25427013592997</v>
      </c>
      <c r="BH40" s="60">
        <f t="shared" si="8"/>
        <v>599.58760346926329</v>
      </c>
      <c r="BI40" s="60">
        <f ca="1">AVERAGE(OFFSET($BH$3,0,0,'Données projet'!$E$11+1,1))-AVERAGE(OFFSET($H$3,0,0,'Données projet'!$E$11+1,1))</f>
        <v>373.7520752235389</v>
      </c>
      <c r="BJ40" s="60">
        <f t="shared" si="38"/>
        <v>205.19966474305761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10.402930402930403</v>
      </c>
      <c r="BY40" s="13">
        <f>IF('Données projet'!$A$114&gt;35,BY39+BX40-CG39,IF(A40&lt;'Données projet'!$A$114,$BV$205^A40,IF(A40='Données projet'!$A$114,'Données projet'!$B$114,BY39+BX40-CG39)))</f>
        <v>175.89743589743588</v>
      </c>
      <c r="BZ40" s="14">
        <f>BY40*VLOOKUP('Données projet'!$B$12,Paramètres!$A$1:$I$89,3,0)*VLOOKUP('Données projet'!$B$12,Paramètres!$A$1:$I$89,5,0)</f>
        <v>82.32</v>
      </c>
      <c r="CA40" s="14">
        <f t="shared" si="39"/>
        <v>22.703488958112253</v>
      </c>
      <c r="CB40" s="22">
        <f t="shared" si="10"/>
        <v>182.91590993537883</v>
      </c>
      <c r="CC40" s="60">
        <f t="shared" si="11"/>
        <v>476.24924326871212</v>
      </c>
      <c r="CD40" s="60">
        <f ca="1">AVERAGE(OFFSET($CC$3,0,0,'Données projet'!$E$12+1,1))-AVERAGE(OFFSET($H$3,0,0,'Données projet'!$E$12+1,1))</f>
        <v>141.31558705818316</v>
      </c>
      <c r="CE40" s="60">
        <f t="shared" si="40"/>
        <v>67.142010893211364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132.80000000000001</v>
      </c>
      <c r="CU40" s="18">
        <f>CT40*VLOOKUP('Données projet'!$B$13,Paramètres!$A$1:$I$89,3,0)*VLOOKUP('Données projet'!$B$13,Paramètres!$A$1:$I$89,5,0)</f>
        <v>116.01408000000002</v>
      </c>
      <c r="CV40" s="14">
        <f t="shared" si="41"/>
        <v>30.743529123865123</v>
      </c>
      <c r="CW40" s="22">
        <f t="shared" si="13"/>
        <v>255.60283589073177</v>
      </c>
      <c r="CX40" s="60">
        <f t="shared" si="14"/>
        <v>548.93616922406511</v>
      </c>
      <c r="CY40" s="60">
        <f ca="1">AVERAGE(OFFSET($CX$3,0,0,'Données projet'!$E$13+1,1))-AVERAGE(OFFSET($H$3,0,0,'Données projet'!$E$13+1,1))</f>
        <v>281.8501448773884</v>
      </c>
      <c r="CZ40" s="60">
        <f t="shared" si="42"/>
        <v>161.7340631691518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132.80000000000001</v>
      </c>
      <c r="DP40" s="18">
        <f>DO40*VLOOKUP('Données projet'!$B$14,Paramètres!$A$1:$I$89,3,0)*VLOOKUP('Données projet'!$B$14,Paramètres!$A$1:$I$89,5,0)</f>
        <v>120.15744000000001</v>
      </c>
      <c r="DQ40" s="14">
        <f t="shared" si="43"/>
        <v>31.711716786129845</v>
      </c>
      <c r="DR40" s="22">
        <f t="shared" si="16"/>
        <v>264.50544806917611</v>
      </c>
      <c r="DS40" s="60">
        <f t="shared" si="17"/>
        <v>557.83878140250943</v>
      </c>
      <c r="DT40" s="60">
        <f ca="1">AVERAGE(OFFSET($DS$3,0,0,'Données projet'!$E$14+1,1))-AVERAGE(OFFSET($H$3,0,0,'Données projet'!$E$14+1,1))</f>
        <v>295.19398489974265</v>
      </c>
      <c r="DU40" s="60">
        <f t="shared" si="44"/>
        <v>168.80998104712489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4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143.17680000000004</v>
      </c>
      <c r="P41" s="14">
        <f t="shared" si="33"/>
        <v>37.023812674521515</v>
      </c>
      <c r="Q41" s="22">
        <f t="shared" si="53"/>
        <v>313.84940040812506</v>
      </c>
      <c r="R41" s="60">
        <f t="shared" si="0"/>
        <v>607.18273374145838</v>
      </c>
      <c r="S41" s="60">
        <f ca="1">AVERAGE(OFFSET($R$3,0,0,'Données projet'!$E$9+1,1))-AVERAGE(OFFSET($H$3,0,0,'Données projet'!$E$9+1,1))</f>
        <v>341.82426415364569</v>
      </c>
      <c r="T41" s="60">
        <f t="shared" si="34"/>
        <v>193.53376539568887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13.142307692307696</v>
      </c>
      <c r="AI41" s="14">
        <f>IF('Données projet'!$A$62&gt;35,AI40+AH41-AQ40,IF(A41&lt;'Données projet'!$A$62,$AF$205^A41,IF(A41='Données projet'!$A$62,'Données projet'!$B$62,AI40+AH41-AQ40)))</f>
        <v>224.29999999999998</v>
      </c>
      <c r="AJ41" s="14">
        <f>AI41*VLOOKUP('Données projet'!$B$10,Paramètres!$A$1:$I$89,3,0)*VLOOKUP('Données projet'!$B$10,Paramètres!$A$1:$I$89,5,0)</f>
        <v>134.13140000000001</v>
      </c>
      <c r="AK41" s="14">
        <f t="shared" si="35"/>
        <v>34.949259401090224</v>
      </c>
      <c r="AL41" s="22">
        <f t="shared" si="4"/>
        <v>294.48214845689876</v>
      </c>
      <c r="AM41" s="60">
        <f t="shared" si="5"/>
        <v>587.81548179023207</v>
      </c>
      <c r="AN41" s="60">
        <f ca="1">AVERAGE(OFFSET($AM$3,0,0,'Données projet'!$E$10+1,1))-AVERAGE(OFFSET($H$3,0,0,'Données projet'!$E$10+1,1))</f>
        <v>189.8516574130017</v>
      </c>
      <c r="AO41" s="60">
        <f t="shared" si="36"/>
        <v>191.91100863555891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12.129173466735045</v>
      </c>
      <c r="AV41" s="23">
        <f>EXP(-LN(2)/25)*AV40+(1-EXP(-LN(2)/25))/(LN(2)/25)*Calculateur!AQ41*Calculateur!AS41*VLOOKUP('Données projet'!$B$10,Paramètres!$A$1:$I$89,3,0)*0.475*44/12</f>
        <v>14.464066296475</v>
      </c>
      <c r="AW41" s="23">
        <f>EXP(-LN(2)/2)*AW40+(1-EXP(-LN(2)/2))/(LN(2)/2)*AQ41*AT41*VLOOKUP('Données projet'!$B$10,Paramètres!$A$1:$I$89,3,0)*0.475*44/12</f>
        <v>0.3777418206202996</v>
      </c>
      <c r="AX41" s="23">
        <f t="shared" si="6"/>
        <v>26.970981583830344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6.5384615384615383</v>
      </c>
      <c r="BD41" s="13">
        <f>IF('Données projet'!$A$88&gt;35,BD40+BC41-BL40,IF(A41&lt;'Données projet'!$A$88,$BA$205^A41,IF(A41='Données projet'!$A$88,'Données projet'!$B$88,BD40+BC41-BL40)))</f>
        <v>140.12820512820511</v>
      </c>
      <c r="BE41" s="14">
        <f>BD41*VLOOKUP('Données projet'!$B$11,Paramètres!$A$1:$I$89,3,0)*VLOOKUP('Données projet'!$B$11,Paramètres!$A$1:$I$89,5,0)</f>
        <v>146.46199999999999</v>
      </c>
      <c r="BF41" s="14">
        <f t="shared" si="37"/>
        <v>37.773448896739666</v>
      </c>
      <c r="BG41" s="22">
        <f t="shared" si="7"/>
        <v>320.8767401618216</v>
      </c>
      <c r="BH41" s="60">
        <f t="shared" si="8"/>
        <v>614.21007349515492</v>
      </c>
      <c r="BI41" s="60">
        <f ca="1">AVERAGE(OFFSET($BH$3,0,0,'Données projet'!$E$11+1,1))-AVERAGE(OFFSET($H$3,0,0,'Données projet'!$E$11+1,1))</f>
        <v>373.7520752235389</v>
      </c>
      <c r="BJ41" s="60">
        <f t="shared" si="38"/>
        <v>205.19966474305761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10.402930402930403</v>
      </c>
      <c r="BY41" s="13">
        <f>IF('Données projet'!$A$114&gt;35,BY40+BX41-CG40,IF(A41&lt;'Données projet'!$A$114,$BV$205^A41,IF(A41='Données projet'!$A$114,'Données projet'!$B$114,BY40+BX41-CG40)))</f>
        <v>186.30036630036628</v>
      </c>
      <c r="BZ41" s="14">
        <f>BY41*VLOOKUP('Données projet'!$B$12,Paramètres!$A$1:$I$89,3,0)*VLOOKUP('Données projet'!$B$12,Paramètres!$A$1:$I$89,5,0)</f>
        <v>87.188571428571422</v>
      </c>
      <c r="CA41" s="14">
        <f t="shared" si="39"/>
        <v>23.885928818198035</v>
      </c>
      <c r="CB41" s="22">
        <f t="shared" si="10"/>
        <v>193.45475459645681</v>
      </c>
      <c r="CC41" s="60">
        <f t="shared" si="11"/>
        <v>486.78808792979009</v>
      </c>
      <c r="CD41" s="60">
        <f ca="1">AVERAGE(OFFSET($CC$3,0,0,'Données projet'!$E$12+1,1))-AVERAGE(OFFSET($H$3,0,0,'Données projet'!$E$12+1,1))</f>
        <v>141.31558705818316</v>
      </c>
      <c r="CE41" s="60">
        <f t="shared" si="40"/>
        <v>67.142010893211364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141.20000000000002</v>
      </c>
      <c r="CU41" s="18">
        <f>CT41*VLOOKUP('Données projet'!$B$13,Paramètres!$A$1:$I$89,3,0)*VLOOKUP('Données projet'!$B$13,Paramètres!$A$1:$I$89,5,0)</f>
        <v>123.35232000000003</v>
      </c>
      <c r="CV41" s="14">
        <f t="shared" si="41"/>
        <v>32.455614677489855</v>
      </c>
      <c r="CW41" s="22">
        <f t="shared" si="13"/>
        <v>271.36548622996156</v>
      </c>
      <c r="CX41" s="60">
        <f t="shared" si="14"/>
        <v>564.69881956329482</v>
      </c>
      <c r="CY41" s="60">
        <f ca="1">AVERAGE(OFFSET($CX$3,0,0,'Données projet'!$E$13+1,1))-AVERAGE(OFFSET($H$3,0,0,'Données projet'!$E$13+1,1))</f>
        <v>281.8501448773884</v>
      </c>
      <c r="CZ41" s="60">
        <f t="shared" si="42"/>
        <v>161.7340631691518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141.20000000000002</v>
      </c>
      <c r="DP41" s="18">
        <f>DO41*VLOOKUP('Données projet'!$B$14,Paramètres!$A$1:$I$89,3,0)*VLOOKUP('Données projet'!$B$14,Paramètres!$A$1:$I$89,5,0)</f>
        <v>127.75776</v>
      </c>
      <c r="DQ41" s="14">
        <f t="shared" si="43"/>
        <v>33.477720030956604</v>
      </c>
      <c r="DR41" s="22">
        <f t="shared" si="16"/>
        <v>280.81846105391611</v>
      </c>
      <c r="DS41" s="60">
        <f t="shared" si="17"/>
        <v>574.15179438724942</v>
      </c>
      <c r="DT41" s="60">
        <f ca="1">AVERAGE(OFFSET($DS$3,0,0,'Données projet'!$E$14+1,1))-AVERAGE(OFFSET($H$3,0,0,'Données projet'!$E$14+1,1))</f>
        <v>295.19398489974265</v>
      </c>
      <c r="DU41" s="60">
        <f t="shared" si="44"/>
        <v>168.80998104712489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4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151.69440000000003</v>
      </c>
      <c r="P42" s="14">
        <f t="shared" si="33"/>
        <v>38.963392010880654</v>
      </c>
      <c r="Q42" s="22">
        <f t="shared" si="53"/>
        <v>332.06232108561716</v>
      </c>
      <c r="R42" s="60">
        <f t="shared" si="0"/>
        <v>625.39565441895047</v>
      </c>
      <c r="S42" s="60">
        <f ca="1">AVERAGE(OFFSET($R$3,0,0,'Données projet'!$E$9+1,1))-AVERAGE(OFFSET($H$3,0,0,'Données projet'!$E$9+1,1))</f>
        <v>341.82426415364569</v>
      </c>
      <c r="T42" s="60">
        <f t="shared" si="34"/>
        <v>193.53376539568887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13.142307692307696</v>
      </c>
      <c r="AI42" s="14">
        <f>IF('Données projet'!$A$62&gt;35,AI41+AH42-AQ41,IF(A42&lt;'Données projet'!$A$62,$AF$205^A42,IF(A42='Données projet'!$A$62,'Données projet'!$B$62,AI41+AH42-AQ41)))</f>
        <v>237.44230769230768</v>
      </c>
      <c r="AJ42" s="14">
        <f>AI42*VLOOKUP('Données projet'!$B$10,Paramètres!$A$1:$I$89,3,0)*VLOOKUP('Données projet'!$B$10,Paramètres!$A$1:$I$89,5,0)</f>
        <v>141.9905</v>
      </c>
      <c r="AK42" s="14">
        <f t="shared" si="35"/>
        <v>36.752625748103227</v>
      </c>
      <c r="AL42" s="22">
        <f t="shared" si="4"/>
        <v>311.31094401127979</v>
      </c>
      <c r="AM42" s="60">
        <f t="shared" si="5"/>
        <v>604.6442773446131</v>
      </c>
      <c r="AN42" s="60">
        <f ca="1">AVERAGE(OFFSET($AM$3,0,0,'Données projet'!$E$10+1,1))-AVERAGE(OFFSET($H$3,0,0,'Données projet'!$E$10+1,1))</f>
        <v>189.8516574130017</v>
      </c>
      <c r="AO42" s="60">
        <f t="shared" si="36"/>
        <v>191.91100863555891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11.891327773117688</v>
      </c>
      <c r="AV42" s="23">
        <f>EXP(-LN(2)/25)*AV41+(1-EXP(-LN(2)/25))/(LN(2)/25)*Calculateur!AQ42*Calculateur!AS42*VLOOKUP('Données projet'!$B$10,Paramètres!$A$1:$I$89,3,0)*0.475*44/12</f>
        <v>14.068545642965702</v>
      </c>
      <c r="AW42" s="23">
        <f>EXP(-LN(2)/2)*AW41+(1-EXP(-LN(2)/2))/(LN(2)/2)*AQ42*AT42*VLOOKUP('Données projet'!$B$10,Paramètres!$A$1:$I$89,3,0)*0.475*44/12</f>
        <v>0.26710380289836627</v>
      </c>
      <c r="AX42" s="23">
        <f t="shared" si="6"/>
        <v>26.226977218981755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6.5384615384615383</v>
      </c>
      <c r="BD42" s="13">
        <f>IF('Données projet'!$A$88&gt;35,BD41+BC42-BL41,IF(A42&lt;'Données projet'!$A$88,$BA$205^A42,IF(A42='Données projet'!$A$88,'Données projet'!$B$88,BD41+BC42-BL41)))</f>
        <v>146.66666666666666</v>
      </c>
      <c r="BE42" s="14">
        <f>BD42*VLOOKUP('Données projet'!$B$11,Paramètres!$A$1:$I$89,3,0)*VLOOKUP('Données projet'!$B$11,Paramètres!$A$1:$I$89,5,0)</f>
        <v>153.29599999999999</v>
      </c>
      <c r="BF42" s="14">
        <f t="shared" si="37"/>
        <v>39.326663298225597</v>
      </c>
      <c r="BG42" s="22">
        <f t="shared" si="7"/>
        <v>335.48447191107618</v>
      </c>
      <c r="BH42" s="60">
        <f t="shared" si="8"/>
        <v>628.81780524440956</v>
      </c>
      <c r="BI42" s="60">
        <f ca="1">AVERAGE(OFFSET($BH$3,0,0,'Données projet'!$E$11+1,1))-AVERAGE(OFFSET($H$3,0,0,'Données projet'!$E$11+1,1))</f>
        <v>373.7520752235389</v>
      </c>
      <c r="BJ42" s="60">
        <f t="shared" si="38"/>
        <v>205.19966474305761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10.402930402930403</v>
      </c>
      <c r="BY42" s="13">
        <f>IF('Données projet'!$A$114&gt;35,BY41+BX42-CG41,IF(A42&lt;'Données projet'!$A$114,$BV$205^A42,IF(A42='Données projet'!$A$114,'Données projet'!$B$114,BY41+BX42-CG41)))</f>
        <v>196.70329670329667</v>
      </c>
      <c r="BZ42" s="14">
        <f>BY42*VLOOKUP('Données projet'!$B$12,Paramètres!$A$1:$I$89,3,0)*VLOOKUP('Données projet'!$B$12,Paramètres!$A$1:$I$89,5,0)</f>
        <v>92.05714285714285</v>
      </c>
      <c r="CA42" s="14">
        <f t="shared" si="39"/>
        <v>25.060703863036977</v>
      </c>
      <c r="CB42" s="22">
        <f t="shared" si="10"/>
        <v>203.9802497043132</v>
      </c>
      <c r="CC42" s="60">
        <f t="shared" si="11"/>
        <v>497.31358303764648</v>
      </c>
      <c r="CD42" s="60">
        <f ca="1">AVERAGE(OFFSET($CC$3,0,0,'Données projet'!$E$12+1,1))-AVERAGE(OFFSET($H$3,0,0,'Données projet'!$E$12+1,1))</f>
        <v>141.31558705818316</v>
      </c>
      <c r="CE42" s="60">
        <f t="shared" si="40"/>
        <v>67.142010893211364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149.60000000000002</v>
      </c>
      <c r="CU42" s="18">
        <f>CT42*VLOOKUP('Données projet'!$B$13,Paramètres!$A$1:$I$89,3,0)*VLOOKUP('Données projet'!$B$13,Paramètres!$A$1:$I$89,5,0)</f>
        <v>130.69056000000003</v>
      </c>
      <c r="CV42" s="14">
        <f t="shared" si="41"/>
        <v>34.155878238422723</v>
      </c>
      <c r="CW42" s="22">
        <f t="shared" si="13"/>
        <v>287.10754659858628</v>
      </c>
      <c r="CX42" s="60">
        <f t="shared" si="14"/>
        <v>580.44087993191965</v>
      </c>
      <c r="CY42" s="60">
        <f ca="1">AVERAGE(OFFSET($CX$3,0,0,'Données projet'!$E$13+1,1))-AVERAGE(OFFSET($H$3,0,0,'Données projet'!$E$13+1,1))</f>
        <v>281.8501448773884</v>
      </c>
      <c r="CZ42" s="60">
        <f t="shared" si="42"/>
        <v>161.7340631691518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149.60000000000002</v>
      </c>
      <c r="DP42" s="18">
        <f>DO42*VLOOKUP('Données projet'!$B$14,Paramètres!$A$1:$I$89,3,0)*VLOOKUP('Données projet'!$B$14,Paramètres!$A$1:$I$89,5,0)</f>
        <v>135.35808</v>
      </c>
      <c r="DQ42" s="14">
        <f t="shared" si="43"/>
        <v>35.231528980112834</v>
      </c>
      <c r="DR42" s="22">
        <f t="shared" si="16"/>
        <v>297.11023564036316</v>
      </c>
      <c r="DS42" s="60">
        <f t="shared" si="17"/>
        <v>590.44356897369653</v>
      </c>
      <c r="DT42" s="60">
        <f ca="1">AVERAGE(OFFSET($DS$3,0,0,'Données projet'!$E$14+1,1))-AVERAGE(OFFSET($H$3,0,0,'Données projet'!$E$14+1,1))</f>
        <v>295.19398489974265</v>
      </c>
      <c r="DU42" s="60">
        <f t="shared" si="44"/>
        <v>168.80998104712489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4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160.21200000000005</v>
      </c>
      <c r="P43" s="14">
        <f t="shared" si="33"/>
        <v>40.890328912852695</v>
      </c>
      <c r="Q43" s="22">
        <f t="shared" si="53"/>
        <v>350.25322285655176</v>
      </c>
      <c r="R43" s="60">
        <f t="shared" si="0"/>
        <v>643.58655618988507</v>
      </c>
      <c r="S43" s="60">
        <f ca="1">AVERAGE(OFFSET($R$3,0,0,'Données projet'!$E$9+1,1))-AVERAGE(OFFSET($H$3,0,0,'Données projet'!$E$9+1,1))</f>
        <v>341.82426415364569</v>
      </c>
      <c r="T43" s="60">
        <f t="shared" si="34"/>
        <v>193.53376539568887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13.142307692307696</v>
      </c>
      <c r="AI43" s="14">
        <f>IF('Données projet'!$A$62&gt;35,AI42+AH43-AQ42,IF(A43&lt;'Données projet'!$A$62,$AF$205^A43,IF(A43='Données projet'!$A$62,'Données projet'!$B$62,AI42+AH43-AQ42)))</f>
        <v>250.58461538461538</v>
      </c>
      <c r="AJ43" s="14">
        <f>AI43*VLOOKUP('Données projet'!$B$10,Paramètres!$A$1:$I$89,3,0)*VLOOKUP('Données projet'!$B$10,Paramètres!$A$1:$I$89,5,0)</f>
        <v>149.84960000000001</v>
      </c>
      <c r="AK43" s="14">
        <f t="shared" si="35"/>
        <v>38.544404685900311</v>
      </c>
      <c r="AL43" s="22">
        <f t="shared" si="4"/>
        <v>328.11955816127636</v>
      </c>
      <c r="AM43" s="60">
        <f t="shared" si="5"/>
        <v>621.45289149460973</v>
      </c>
      <c r="AN43" s="60">
        <f ca="1">AVERAGE(OFFSET($AM$3,0,0,'Données projet'!$E$10+1,1))-AVERAGE(OFFSET($H$3,0,0,'Données projet'!$E$10+1,1))</f>
        <v>189.8516574130017</v>
      </c>
      <c r="AO43" s="60">
        <f t="shared" si="36"/>
        <v>191.91100863555891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11.658146088480617</v>
      </c>
      <c r="AV43" s="23">
        <f>EXP(-LN(2)/25)*AV42+(1-EXP(-LN(2)/25))/(LN(2)/25)*Calculateur!AQ43*Calculateur!AS43*VLOOKUP('Données projet'!$B$10,Paramètres!$A$1:$I$89,3,0)*0.475*44/12</f>
        <v>13.683840522526143</v>
      </c>
      <c r="AW43" s="23">
        <f>EXP(-LN(2)/2)*AW42+(1-EXP(-LN(2)/2))/(LN(2)/2)*AQ43*AT43*VLOOKUP('Données projet'!$B$10,Paramètres!$A$1:$I$89,3,0)*0.475*44/12</f>
        <v>0.1888709103101498</v>
      </c>
      <c r="AX43" s="23">
        <f t="shared" si="6"/>
        <v>25.530857521316911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153.2051282051282</v>
      </c>
      <c r="BB43" s="13">
        <f>VLOOKUP(A43,'Données projet'!$A$87:$I$107,9,0)</f>
        <v>6.5384615384615383</v>
      </c>
      <c r="BC43" s="13">
        <f t="array" ref="BC43">INDEX(BB:BB,MIN(IF(ISNUMBER(BB43:BB239),ROW(BB43:BB239),"")))</f>
        <v>6.5384615384615383</v>
      </c>
      <c r="BD43" s="13">
        <f>IF('Données projet'!$A$88&gt;35,BD42+BC43-BL42,IF(A43&lt;'Données projet'!$A$88,$BA$205^A43,IF(A43='Données projet'!$A$88,'Données projet'!$B$88,BD42+BC43-BL42)))</f>
        <v>153.2051282051282</v>
      </c>
      <c r="BE43" s="14">
        <f>BD43*VLOOKUP('Données projet'!$B$11,Paramètres!$A$1:$I$89,3,0)*VLOOKUP('Données projet'!$B$11,Paramètres!$A$1:$I$89,5,0)</f>
        <v>160.13</v>
      </c>
      <c r="BF43" s="14">
        <f t="shared" si="37"/>
        <v>40.871835883430627</v>
      </c>
      <c r="BG43" s="22">
        <f t="shared" si="7"/>
        <v>350.07819749697501</v>
      </c>
      <c r="BH43" s="60">
        <f t="shared" si="8"/>
        <v>643.41153083030827</v>
      </c>
      <c r="BI43" s="60">
        <f ca="1">AVERAGE(OFFSET($BH$3,0,0,'Données projet'!$E$11+1,1))-AVERAGE(OFFSET($H$3,0,0,'Données projet'!$E$11+1,1))</f>
        <v>373.7520752235389</v>
      </c>
      <c r="BJ43" s="60">
        <f t="shared" si="38"/>
        <v>205.19966474305761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10.402930402930403</v>
      </c>
      <c r="BY43" s="13">
        <f>IF('Données projet'!$A$114&gt;35,BY42+BX43-CG42,IF(A43&lt;'Données projet'!$A$114,$BV$205^A43,IF(A43='Données projet'!$A$114,'Données projet'!$B$114,BY42+BX43-CG42)))</f>
        <v>207.10622710622707</v>
      </c>
      <c r="BZ43" s="14">
        <f>BY43*VLOOKUP('Données projet'!$B$12,Paramètres!$A$1:$I$89,3,0)*VLOOKUP('Données projet'!$B$12,Paramètres!$A$1:$I$89,5,0)</f>
        <v>96.925714285714264</v>
      </c>
      <c r="CA43" s="14">
        <f t="shared" si="39"/>
        <v>26.228265683321183</v>
      </c>
      <c r="CB43" s="22">
        <f t="shared" si="10"/>
        <v>214.49318177940339</v>
      </c>
      <c r="CC43" s="60">
        <f t="shared" si="11"/>
        <v>507.82651511273673</v>
      </c>
      <c r="CD43" s="60">
        <f ca="1">AVERAGE(OFFSET($CC$3,0,0,'Données projet'!$E$12+1,1))-AVERAGE(OFFSET($H$3,0,0,'Données projet'!$E$12+1,1))</f>
        <v>141.31558705818316</v>
      </c>
      <c r="CE43" s="60">
        <f t="shared" si="40"/>
        <v>67.142010893211364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158.00000000000003</v>
      </c>
      <c r="CU43" s="18">
        <f>CT43*VLOOKUP('Données projet'!$B$13,Paramètres!$A$1:$I$89,3,0)*VLOOKUP('Données projet'!$B$13,Paramètres!$A$1:$I$89,5,0)</f>
        <v>138.02880000000005</v>
      </c>
      <c r="CV43" s="14">
        <f t="shared" si="41"/>
        <v>35.845059256813073</v>
      </c>
      <c r="CW43" s="22">
        <f t="shared" si="13"/>
        <v>302.83030487228285</v>
      </c>
      <c r="CX43" s="60">
        <f t="shared" si="14"/>
        <v>596.16363820561617</v>
      </c>
      <c r="CY43" s="60">
        <f ca="1">AVERAGE(OFFSET($CX$3,0,0,'Données projet'!$E$13+1,1))-AVERAGE(OFFSET($H$3,0,0,'Données projet'!$E$13+1,1))</f>
        <v>281.8501448773884</v>
      </c>
      <c r="CZ43" s="60">
        <f t="shared" si="42"/>
        <v>161.7340631691518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42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158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158.00000000000003</v>
      </c>
      <c r="DP43" s="18">
        <f>DO43*VLOOKUP('Données projet'!$B$14,Paramètres!$A$1:$I$89,3,0)*VLOOKUP('Données projet'!$B$14,Paramètres!$A$1:$I$89,5,0)</f>
        <v>142.95840000000004</v>
      </c>
      <c r="DQ43" s="14">
        <f t="shared" si="43"/>
        <v>36.973906370811264</v>
      </c>
      <c r="DR43" s="22">
        <f t="shared" si="16"/>
        <v>313.38210026249641</v>
      </c>
      <c r="DS43" s="60">
        <f t="shared" si="17"/>
        <v>606.71543359582972</v>
      </c>
      <c r="DT43" s="60">
        <f ca="1">AVERAGE(OFFSET($DS$3,0,0,'Données projet'!$E$14+1,1))-AVERAGE(OFFSET($H$3,0,0,'Données projet'!$E$14+1,1))</f>
        <v>295.19398489974265</v>
      </c>
      <c r="DU43" s="60">
        <f t="shared" si="44"/>
        <v>168.80998104712489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42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4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126.14160000000005</v>
      </c>
      <c r="P44" s="14">
        <f t="shared" si="33"/>
        <v>33.10323903126482</v>
      </c>
      <c r="Q44" s="22">
        <f t="shared" si="53"/>
        <v>277.35142797945298</v>
      </c>
      <c r="R44" s="60">
        <f t="shared" si="0"/>
        <v>570.68476131278635</v>
      </c>
      <c r="S44" s="60">
        <f ca="1">AVERAGE(OFFSET($R$3,0,0,'Données projet'!$E$9+1,1))-AVERAGE(OFFSET($H$3,0,0,'Données projet'!$E$9+1,1))</f>
        <v>341.82426415364569</v>
      </c>
      <c r="T44" s="60">
        <f t="shared" si="34"/>
        <v>193.53376539568887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13.142307692307696</v>
      </c>
      <c r="AI44" s="14">
        <f>IF('Données projet'!$A$62&gt;35,AI43+AH44-AQ43,IF(A44&lt;'Données projet'!$A$62,$AF$205^A44,IF(A44='Données projet'!$A$62,'Données projet'!$B$62,AI43+AH44-AQ43)))</f>
        <v>263.72692307692307</v>
      </c>
      <c r="AJ44" s="14">
        <f>AI44*VLOOKUP('Données projet'!$B$10,Paramètres!$A$1:$I$89,3,0)*VLOOKUP('Données projet'!$B$10,Paramètres!$A$1:$I$89,5,0)</f>
        <v>157.70869999999999</v>
      </c>
      <c r="AK44" s="14">
        <f t="shared" si="35"/>
        <v>40.325273242956946</v>
      </c>
      <c r="AL44" s="22">
        <f t="shared" si="4"/>
        <v>344.90917006481664</v>
      </c>
      <c r="AM44" s="60">
        <f t="shared" si="5"/>
        <v>638.24250339814989</v>
      </c>
      <c r="AN44" s="60">
        <f ca="1">AVERAGE(OFFSET($AM$3,0,0,'Données projet'!$E$10+1,1))-AVERAGE(OFFSET($H$3,0,0,'Données projet'!$E$10+1,1))</f>
        <v>189.8516574130017</v>
      </c>
      <c r="AO44" s="60">
        <f t="shared" si="36"/>
        <v>191.91100863555891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11.429536954452496</v>
      </c>
      <c r="AV44" s="23">
        <f>EXP(-LN(2)/25)*AV43+(1-EXP(-LN(2)/25))/(LN(2)/25)*Calculateur!AQ44*Calculateur!AS44*VLOOKUP('Données projet'!$B$10,Paramètres!$A$1:$I$89,3,0)*0.475*44/12</f>
        <v>13.309655183835767</v>
      </c>
      <c r="AW44" s="23">
        <f>EXP(-LN(2)/2)*AW43+(1-EXP(-LN(2)/2))/(LN(2)/2)*AQ44*AT44*VLOOKUP('Données projet'!$B$10,Paramètres!$A$1:$I$89,3,0)*0.475*44/12</f>
        <v>0.13355190144918314</v>
      </c>
      <c r="AX44" s="23">
        <f t="shared" si="6"/>
        <v>24.872744039737448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6.2820512820512819</v>
      </c>
      <c r="BD44" s="13">
        <f>IF('Données projet'!$A$88&gt;35,BD43+BC44-BL43,IF(A44&lt;'Données projet'!$A$88,$BA$205^A44,IF(A44='Données projet'!$A$88,'Données projet'!$B$88,BD43+BC44-BL43)))</f>
        <v>159.48717948717947</v>
      </c>
      <c r="BE44" s="14">
        <f>BD44*VLOOKUP('Données projet'!$B$11,Paramètres!$A$1:$I$89,3,0)*VLOOKUP('Données projet'!$B$11,Paramètres!$A$1:$I$89,5,0)</f>
        <v>166.696</v>
      </c>
      <c r="BF44" s="14">
        <f t="shared" si="37"/>
        <v>42.349194354690347</v>
      </c>
      <c r="BG44" s="22">
        <f t="shared" si="7"/>
        <v>364.08704683441897</v>
      </c>
      <c r="BH44" s="60">
        <f t="shared" si="8"/>
        <v>657.42038016775223</v>
      </c>
      <c r="BI44" s="60">
        <f ca="1">AVERAGE(OFFSET($BH$3,0,0,'Données projet'!$E$11+1,1))-AVERAGE(OFFSET($H$3,0,0,'Données projet'!$E$11+1,1))</f>
        <v>373.7520752235389</v>
      </c>
      <c r="BJ44" s="60">
        <f t="shared" si="38"/>
        <v>205.19966474305761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10.402930402930403</v>
      </c>
      <c r="BY44" s="13">
        <f>IF('Données projet'!$A$114&gt;35,BY43+BX44-CG43,IF(A44&lt;'Données projet'!$A$114,$BV$205^A44,IF(A44='Données projet'!$A$114,'Données projet'!$B$114,BY43+BX44-CG43)))</f>
        <v>217.50915750915746</v>
      </c>
      <c r="BZ44" s="14">
        <f>BY44*VLOOKUP('Données projet'!$B$12,Paramètres!$A$1:$I$89,3,0)*VLOOKUP('Données projet'!$B$12,Paramètres!$A$1:$I$89,5,0)</f>
        <v>101.79428571428569</v>
      </c>
      <c r="CA44" s="14">
        <f t="shared" si="39"/>
        <v>27.389017940319118</v>
      </c>
      <c r="CB44" s="22">
        <f t="shared" si="10"/>
        <v>224.99425386510336</v>
      </c>
      <c r="CC44" s="60">
        <f t="shared" si="11"/>
        <v>518.32758719843673</v>
      </c>
      <c r="CD44" s="60">
        <f ca="1">AVERAGE(OFFSET($CC$3,0,0,'Données projet'!$E$12+1,1))-AVERAGE(OFFSET($H$3,0,0,'Données projet'!$E$12+1,1))</f>
        <v>141.31558705818316</v>
      </c>
      <c r="CE44" s="60">
        <f t="shared" si="40"/>
        <v>67.142010893211364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124.40000000000003</v>
      </c>
      <c r="CU44" s="18">
        <f>CT44*VLOOKUP('Données projet'!$B$13,Paramètres!$A$1:$I$89,3,0)*VLOOKUP('Données projet'!$B$13,Paramètres!$A$1:$I$89,5,0)</f>
        <v>108.67584000000005</v>
      </c>
      <c r="CV44" s="14">
        <f t="shared" si="41"/>
        <v>29.018782587859434</v>
      </c>
      <c r="CW44" s="22">
        <f t="shared" si="13"/>
        <v>239.81813434052196</v>
      </c>
      <c r="CX44" s="60">
        <f t="shared" si="14"/>
        <v>533.15146767385522</v>
      </c>
      <c r="CY44" s="60">
        <f ca="1">AVERAGE(OFFSET($CX$3,0,0,'Données projet'!$E$13+1,1))-AVERAGE(OFFSET($H$3,0,0,'Données projet'!$E$13+1,1))</f>
        <v>281.8501448773884</v>
      </c>
      <c r="CZ44" s="60">
        <f t="shared" si="42"/>
        <v>161.7340631691518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124.40000000000003</v>
      </c>
      <c r="DP44" s="18">
        <f>DO44*VLOOKUP('Données projet'!$B$14,Paramètres!$A$1:$I$89,3,0)*VLOOKUP('Données projet'!$B$14,Paramètres!$A$1:$I$89,5,0)</f>
        <v>112.55712000000003</v>
      </c>
      <c r="DQ44" s="14">
        <f t="shared" si="43"/>
        <v>29.932653834140599</v>
      </c>
      <c r="DR44" s="22">
        <f t="shared" si="16"/>
        <v>248.16968942779496</v>
      </c>
      <c r="DS44" s="60">
        <f t="shared" si="17"/>
        <v>541.50302276112825</v>
      </c>
      <c r="DT44" s="60">
        <f ca="1">AVERAGE(OFFSET($DS$3,0,0,'Données projet'!$E$14+1,1))-AVERAGE(OFFSET($H$3,0,0,'Données projet'!$E$14+1,1))</f>
        <v>295.19398489974265</v>
      </c>
      <c r="DU44" s="60">
        <f t="shared" si="44"/>
        <v>168.80998104712489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4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134.65920000000006</v>
      </c>
      <c r="P45" s="14">
        <f t="shared" si="33"/>
        <v>35.07074737441733</v>
      </c>
      <c r="Q45" s="22">
        <f t="shared" si="53"/>
        <v>295.61299167711024</v>
      </c>
      <c r="R45" s="60">
        <f t="shared" si="0"/>
        <v>588.94632501044362</v>
      </c>
      <c r="S45" s="60">
        <f ca="1">AVERAGE(OFFSET($R$3,0,0,'Données projet'!$E$9+1,1))-AVERAGE(OFFSET($H$3,0,0,'Données projet'!$E$9+1,1))</f>
        <v>341.82426415364569</v>
      </c>
      <c r="T45" s="60">
        <f t="shared" si="34"/>
        <v>193.53376539568887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13.142307692307696</v>
      </c>
      <c r="AI45" s="14">
        <f>IF('Données projet'!$A$62&gt;35,AI44+AH45-AQ44,IF(A45&lt;'Données projet'!$A$62,$AF$205^A45,IF(A45='Données projet'!$A$62,'Données projet'!$B$62,AI44+AH45-AQ44)))</f>
        <v>276.86923076923074</v>
      </c>
      <c r="AJ45" s="14">
        <f>AI45*VLOOKUP('Données projet'!$B$10,Paramètres!$A$1:$I$89,3,0)*VLOOKUP('Données projet'!$B$10,Paramètres!$A$1:$I$89,5,0)</f>
        <v>165.56780000000001</v>
      </c>
      <c r="AK45" s="14">
        <f t="shared" si="35"/>
        <v>42.095837159220444</v>
      </c>
      <c r="AL45" s="22">
        <f t="shared" si="4"/>
        <v>361.68083471897558</v>
      </c>
      <c r="AM45" s="60">
        <f t="shared" si="5"/>
        <v>655.01416805230883</v>
      </c>
      <c r="AN45" s="60">
        <f ca="1">AVERAGE(OFFSET($AM$3,0,0,'Données projet'!$E$10+1,1))-AVERAGE(OFFSET($H$3,0,0,'Données projet'!$E$10+1,1))</f>
        <v>189.8516574130017</v>
      </c>
      <c r="AO45" s="60">
        <f t="shared" si="36"/>
        <v>191.91100863555891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11.205410706104864</v>
      </c>
      <c r="AV45" s="23">
        <f>EXP(-LN(2)/25)*AV44+(1-EXP(-LN(2)/25))/(LN(2)/25)*Calculateur!AQ45*Calculateur!AS45*VLOOKUP('Données projet'!$B$10,Paramètres!$A$1:$I$89,3,0)*0.475*44/12</f>
        <v>12.945701962909432</v>
      </c>
      <c r="AW45" s="23">
        <f>EXP(-LN(2)/2)*AW44+(1-EXP(-LN(2)/2))/(LN(2)/2)*AQ45*AT45*VLOOKUP('Données projet'!$B$10,Paramètres!$A$1:$I$89,3,0)*0.475*44/12</f>
        <v>9.4435455155074899E-2</v>
      </c>
      <c r="AX45" s="23">
        <f t="shared" si="6"/>
        <v>24.245548124169371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6.2820512820512819</v>
      </c>
      <c r="BD45" s="13">
        <f>IF('Données projet'!$A$88&gt;35,BD44+BC45-BL44,IF(A45&lt;'Données projet'!$A$88,$BA$205^A45,IF(A45='Données projet'!$A$88,'Données projet'!$B$88,BD44+BC45-BL44)))</f>
        <v>165.76923076923075</v>
      </c>
      <c r="BE45" s="14">
        <f>BD45*VLOOKUP('Données projet'!$B$11,Paramètres!$A$1:$I$89,3,0)*VLOOKUP('Données projet'!$B$11,Paramètres!$A$1:$I$89,5,0)</f>
        <v>173.26199999999997</v>
      </c>
      <c r="BF45" s="14">
        <f t="shared" si="37"/>
        <v>43.819792961659338</v>
      </c>
      <c r="BG45" s="22">
        <f t="shared" si="7"/>
        <v>378.08412274155666</v>
      </c>
      <c r="BH45" s="60">
        <f t="shared" si="8"/>
        <v>671.41745607488997</v>
      </c>
      <c r="BI45" s="60">
        <f ca="1">AVERAGE(OFFSET($BH$3,0,0,'Données projet'!$E$11+1,1))-AVERAGE(OFFSET($H$3,0,0,'Données projet'!$E$11+1,1))</f>
        <v>373.7520752235389</v>
      </c>
      <c r="BJ45" s="60">
        <f t="shared" si="38"/>
        <v>205.19966474305761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10.402930402930403</v>
      </c>
      <c r="BY45" s="13">
        <f>IF('Données projet'!$A$114&gt;35,BY44+BX45-CG44,IF(A45&lt;'Données projet'!$A$114,$BV$205^A45,IF(A45='Données projet'!$A$114,'Données projet'!$B$114,BY44+BX45-CG44)))</f>
        <v>227.91208791208786</v>
      </c>
      <c r="BZ45" s="14">
        <f>BY45*VLOOKUP('Données projet'!$B$12,Paramètres!$A$1:$I$89,3,0)*VLOOKUP('Données projet'!$B$12,Paramètres!$A$1:$I$89,5,0)</f>
        <v>106.66285714285712</v>
      </c>
      <c r="CA45" s="14">
        <f t="shared" si="39"/>
        <v>28.543323501294243</v>
      </c>
      <c r="CB45" s="22">
        <f t="shared" si="10"/>
        <v>235.48409795523028</v>
      </c>
      <c r="CC45" s="60">
        <f t="shared" si="11"/>
        <v>528.81743128856363</v>
      </c>
      <c r="CD45" s="60">
        <f ca="1">AVERAGE(OFFSET($CC$3,0,0,'Données projet'!$E$12+1,1))-AVERAGE(OFFSET($H$3,0,0,'Données projet'!$E$12+1,1))</f>
        <v>141.31558705818316</v>
      </c>
      <c r="CE45" s="60">
        <f t="shared" si="40"/>
        <v>67.142010893211364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132.80000000000004</v>
      </c>
      <c r="CU45" s="18">
        <f>CT45*VLOOKUP('Données projet'!$B$13,Paramètres!$A$1:$I$89,3,0)*VLOOKUP('Données projet'!$B$13,Paramètres!$A$1:$I$89,5,0)</f>
        <v>116.01408000000004</v>
      </c>
      <c r="CV45" s="14">
        <f t="shared" si="41"/>
        <v>30.743529123865123</v>
      </c>
      <c r="CW45" s="22">
        <f t="shared" si="13"/>
        <v>255.60283589073182</v>
      </c>
      <c r="CX45" s="60">
        <f t="shared" si="14"/>
        <v>548.93616922406511</v>
      </c>
      <c r="CY45" s="60">
        <f ca="1">AVERAGE(OFFSET($CX$3,0,0,'Données projet'!$E$13+1,1))-AVERAGE(OFFSET($H$3,0,0,'Données projet'!$E$13+1,1))</f>
        <v>281.8501448773884</v>
      </c>
      <c r="CZ45" s="60">
        <f t="shared" si="42"/>
        <v>161.7340631691518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132.80000000000004</v>
      </c>
      <c r="DP45" s="18">
        <f>DO45*VLOOKUP('Données projet'!$B$14,Paramètres!$A$1:$I$89,3,0)*VLOOKUP('Données projet'!$B$14,Paramètres!$A$1:$I$89,5,0)</f>
        <v>120.15744000000002</v>
      </c>
      <c r="DQ45" s="14">
        <f t="shared" si="43"/>
        <v>31.711716786129845</v>
      </c>
      <c r="DR45" s="22">
        <f t="shared" si="16"/>
        <v>264.50544806917623</v>
      </c>
      <c r="DS45" s="60">
        <f t="shared" si="17"/>
        <v>557.83878140250954</v>
      </c>
      <c r="DT45" s="60">
        <f ca="1">AVERAGE(OFFSET($DS$3,0,0,'Données projet'!$E$14+1,1))-AVERAGE(OFFSET($H$3,0,0,'Données projet'!$E$14+1,1))</f>
        <v>295.19398489974265</v>
      </c>
      <c r="DU45" s="60">
        <f t="shared" si="44"/>
        <v>168.80998104712489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4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143.17680000000004</v>
      </c>
      <c r="P46" s="14">
        <f t="shared" si="33"/>
        <v>37.023812674521515</v>
      </c>
      <c r="Q46" s="22">
        <f t="shared" si="53"/>
        <v>313.84940040812506</v>
      </c>
      <c r="R46" s="60">
        <f t="shared" si="0"/>
        <v>607.18273374145838</v>
      </c>
      <c r="S46" s="60">
        <f ca="1">AVERAGE(OFFSET($R$3,0,0,'Données projet'!$E$9+1,1))-AVERAGE(OFFSET($H$3,0,0,'Données projet'!$E$9+1,1))</f>
        <v>341.82426415364569</v>
      </c>
      <c r="T46" s="60">
        <f t="shared" si="34"/>
        <v>193.53376539568887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13.142307692307696</v>
      </c>
      <c r="AI46" s="14">
        <f>IF('Données projet'!$A$62&gt;35,AI45+AH46-AQ45,IF(A46&lt;'Données projet'!$A$62,$AF$205^A46,IF(A46='Données projet'!$A$62,'Données projet'!$B$62,AI45+AH46-AQ45)))</f>
        <v>290.01153846153841</v>
      </c>
      <c r="AJ46" s="14">
        <f>AI46*VLOOKUP('Données projet'!$B$10,Paramètres!$A$1:$I$89,3,0)*VLOOKUP('Données projet'!$B$10,Paramètres!$A$1:$I$89,5,0)</f>
        <v>173.42689999999999</v>
      </c>
      <c r="AK46" s="14">
        <f t="shared" si="35"/>
        <v>43.856641419154244</v>
      </c>
      <c r="AL46" s="22">
        <f t="shared" si="4"/>
        <v>378.43550130502695</v>
      </c>
      <c r="AM46" s="60">
        <f t="shared" si="5"/>
        <v>671.7688346383602</v>
      </c>
      <c r="AN46" s="60">
        <f ca="1">AVERAGE(OFFSET($AM$3,0,0,'Données projet'!$E$10+1,1))-AVERAGE(OFFSET($H$3,0,0,'Données projet'!$E$10+1,1))</f>
        <v>189.8516574130017</v>
      </c>
      <c r="AO46" s="60">
        <f t="shared" si="36"/>
        <v>191.91100863555891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10.985679436783816</v>
      </c>
      <c r="AV46" s="23">
        <f>EXP(-LN(2)/25)*AV45+(1-EXP(-LN(2)/25))/(LN(2)/25)*Calculateur!AQ46*Calculateur!AS46*VLOOKUP('Données projet'!$B$10,Paramètres!$A$1:$I$89,3,0)*0.475*44/12</f>
        <v>12.591701061948795</v>
      </c>
      <c r="AW46" s="23">
        <f>EXP(-LN(2)/2)*AW45+(1-EXP(-LN(2)/2))/(LN(2)/2)*AQ46*AT46*VLOOKUP('Données projet'!$B$10,Paramètres!$A$1:$I$89,3,0)*0.475*44/12</f>
        <v>6.6775950724591568E-2</v>
      </c>
      <c r="AX46" s="23">
        <f t="shared" si="6"/>
        <v>23.644156449457199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6.2820512820512819</v>
      </c>
      <c r="BD46" s="13">
        <f>IF('Données projet'!$A$88&gt;35,BD45+BC46-BL45,IF(A46&lt;'Données projet'!$A$88,$BA$205^A46,IF(A46='Données projet'!$A$88,'Données projet'!$B$88,BD45+BC46-BL45)))</f>
        <v>172.05128205128202</v>
      </c>
      <c r="BE46" s="14">
        <f>BD46*VLOOKUP('Données projet'!$B$11,Paramètres!$A$1:$I$89,3,0)*VLOOKUP('Données projet'!$B$11,Paramètres!$A$1:$I$89,5,0)</f>
        <v>179.82799999999997</v>
      </c>
      <c r="BF46" s="14">
        <f t="shared" si="37"/>
        <v>45.283917206572795</v>
      </c>
      <c r="BG46" s="22">
        <f t="shared" si="7"/>
        <v>392.06992246811427</v>
      </c>
      <c r="BH46" s="60">
        <f t="shared" si="8"/>
        <v>685.40325580144759</v>
      </c>
      <c r="BI46" s="60">
        <f ca="1">AVERAGE(OFFSET($BH$3,0,0,'Données projet'!$E$11+1,1))-AVERAGE(OFFSET($H$3,0,0,'Données projet'!$E$11+1,1))</f>
        <v>373.7520752235389</v>
      </c>
      <c r="BJ46" s="60">
        <f t="shared" si="38"/>
        <v>205.19966474305761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10.402930402930403</v>
      </c>
      <c r="BY46" s="13">
        <f>IF('Données projet'!$A$114&gt;35,BY45+BX46-CG45,IF(A46&lt;'Données projet'!$A$114,$BV$205^A46,IF(A46='Données projet'!$A$114,'Données projet'!$B$114,BY45+BX46-CG45)))</f>
        <v>238.31501831501825</v>
      </c>
      <c r="BZ46" s="14">
        <f>BY46*VLOOKUP('Données projet'!$B$12,Paramètres!$A$1:$I$89,3,0)*VLOOKUP('Données projet'!$B$12,Paramètres!$A$1:$I$89,5,0)</f>
        <v>111.53142857142855</v>
      </c>
      <c r="CA46" s="14">
        <f t="shared" si="39"/>
        <v>29.691510235320177</v>
      </c>
      <c r="CB46" s="22">
        <f t="shared" si="10"/>
        <v>245.96328508842066</v>
      </c>
      <c r="CC46" s="60">
        <f t="shared" si="11"/>
        <v>539.29661842175392</v>
      </c>
      <c r="CD46" s="60">
        <f ca="1">AVERAGE(OFFSET($CC$3,0,0,'Données projet'!$E$12+1,1))-AVERAGE(OFFSET($H$3,0,0,'Données projet'!$E$12+1,1))</f>
        <v>141.31558705818316</v>
      </c>
      <c r="CE46" s="60">
        <f t="shared" si="40"/>
        <v>67.142010893211364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141.20000000000005</v>
      </c>
      <c r="CU46" s="18">
        <f>CT46*VLOOKUP('Données projet'!$B$13,Paramètres!$A$1:$I$89,3,0)*VLOOKUP('Données projet'!$B$13,Paramètres!$A$1:$I$89,5,0)</f>
        <v>123.35232000000005</v>
      </c>
      <c r="CV46" s="14">
        <f t="shared" si="41"/>
        <v>32.455614677489855</v>
      </c>
      <c r="CW46" s="22">
        <f t="shared" si="13"/>
        <v>271.36548622996156</v>
      </c>
      <c r="CX46" s="60">
        <f t="shared" si="14"/>
        <v>564.69881956329482</v>
      </c>
      <c r="CY46" s="60">
        <f ca="1">AVERAGE(OFFSET($CX$3,0,0,'Données projet'!$E$13+1,1))-AVERAGE(OFFSET($H$3,0,0,'Données projet'!$E$13+1,1))</f>
        <v>281.8501448773884</v>
      </c>
      <c r="CZ46" s="60">
        <f t="shared" si="42"/>
        <v>161.7340631691518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141.20000000000005</v>
      </c>
      <c r="DP46" s="18">
        <f>DO46*VLOOKUP('Données projet'!$B$14,Paramètres!$A$1:$I$89,3,0)*VLOOKUP('Données projet'!$B$14,Paramètres!$A$1:$I$89,5,0)</f>
        <v>127.75776000000003</v>
      </c>
      <c r="DQ46" s="14">
        <f t="shared" si="43"/>
        <v>33.477720030956604</v>
      </c>
      <c r="DR46" s="22">
        <f t="shared" si="16"/>
        <v>280.81846105391611</v>
      </c>
      <c r="DS46" s="60">
        <f t="shared" si="17"/>
        <v>574.15179438724942</v>
      </c>
      <c r="DT46" s="60">
        <f ca="1">AVERAGE(OFFSET($DS$3,0,0,'Données projet'!$E$14+1,1))-AVERAGE(OFFSET($H$3,0,0,'Données projet'!$E$14+1,1))</f>
        <v>295.19398489974265</v>
      </c>
      <c r="DU46" s="60">
        <f t="shared" si="44"/>
        <v>168.80998104712489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4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151.69440000000006</v>
      </c>
      <c r="P47" s="14">
        <f t="shared" si="33"/>
        <v>38.963392010880654</v>
      </c>
      <c r="Q47" s="22">
        <f t="shared" si="53"/>
        <v>332.06232108561721</v>
      </c>
      <c r="R47" s="60">
        <f t="shared" si="0"/>
        <v>625.39565441895047</v>
      </c>
      <c r="S47" s="60">
        <f ca="1">AVERAGE(OFFSET($R$3,0,0,'Données projet'!$E$9+1,1))-AVERAGE(OFFSET($H$3,0,0,'Données projet'!$E$9+1,1))</f>
        <v>341.82426415364569</v>
      </c>
      <c r="T47" s="60">
        <f t="shared" si="34"/>
        <v>193.53376539568887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303.15384615384619</v>
      </c>
      <c r="AG47" s="13">
        <f>VLOOKUP(A47,'Données projet'!$A$61:$I$81,9,0)</f>
        <v>13.142307692307696</v>
      </c>
      <c r="AH47" s="13">
        <f t="array" ref="AH47">INDEX(AG:AG,MIN(IF(ISNUMBER(AG47:AG243),ROW(AG47:AG243),"")))</f>
        <v>13.142307692307696</v>
      </c>
      <c r="AI47" s="14">
        <f>IF('Données projet'!$A$62&gt;35,AI46+AH47-AQ46,IF(A47&lt;'Données projet'!$A$62,$AF$205^A47,IF(A47='Données projet'!$A$62,'Données projet'!$B$62,AI46+AH47-AQ46)))</f>
        <v>303.15384615384608</v>
      </c>
      <c r="AJ47" s="14">
        <f>AI47*VLOOKUP('Données projet'!$B$10,Paramètres!$A$1:$I$89,3,0)*VLOOKUP('Données projet'!$B$10,Paramètres!$A$1:$I$89,5,0)</f>
        <v>181.28599999999997</v>
      </c>
      <c r="AK47" s="14">
        <f t="shared" si="35"/>
        <v>45.608178821536583</v>
      </c>
      <c r="AL47" s="22">
        <f t="shared" si="4"/>
        <v>395.17402811417611</v>
      </c>
      <c r="AM47" s="60">
        <f t="shared" si="5"/>
        <v>688.50736144750942</v>
      </c>
      <c r="AN47" s="60">
        <f ca="1">AVERAGE(OFFSET($AM$3,0,0,'Données projet'!$E$10+1,1))-AVERAGE(OFFSET($H$3,0,0,'Données projet'!$E$10+1,1))</f>
        <v>189.8516574130017</v>
      </c>
      <c r="AO47" s="60">
        <f t="shared" si="36"/>
        <v>191.91100863555891</v>
      </c>
      <c r="AP47" s="16">
        <f>IF(ISNA(VLOOKUP(A47,'Données projet'!$A$61:$I$81,3,0)),0,VLOOKUP(A47,'Données projet'!$A$61:$I$81,3,0))</f>
        <v>5</v>
      </c>
      <c r="AQ47" s="16">
        <f>IF(ISNA(VLOOKUP(A47,'Données projet'!$A$61:$I$81,4,0)),0,VLOOKUP(A47,'Données projet'!$A$61:$I$81,4,0))</f>
        <v>64.476923076923114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10.770256963631311</v>
      </c>
      <c r="AV47" s="23">
        <f>EXP(-LN(2)/25)*AV46+(1-EXP(-LN(2)/25))/(LN(2)/25)*Calculateur!AQ47*Calculateur!AS47*VLOOKUP('Données projet'!$B$10,Paramètres!$A$1:$I$89,3,0)*0.475*44/12</f>
        <v>12.247380334241026</v>
      </c>
      <c r="AW47" s="23">
        <f>EXP(-LN(2)/2)*AW46+(1-EXP(-LN(2)/2))/(LN(2)/2)*AQ47*AT47*VLOOKUP('Données projet'!$B$10,Paramètres!$A$1:$I$89,3,0)*0.475*44/12</f>
        <v>4.7217727577537449E-2</v>
      </c>
      <c r="AX47" s="23">
        <f t="shared" si="6"/>
        <v>23.064855025449873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6.2820512820512819</v>
      </c>
      <c r="BD47" s="13">
        <f>IF('Données projet'!$A$88&gt;35,BD46+BC47-BL46,IF(A47&lt;'Données projet'!$A$88,$BA$205^A47,IF(A47='Données projet'!$A$88,'Données projet'!$B$88,BD46+BC47-BL46)))</f>
        <v>178.33333333333329</v>
      </c>
      <c r="BE47" s="14">
        <f>BD47*VLOOKUP('Données projet'!$B$11,Paramètres!$A$1:$I$89,3,0)*VLOOKUP('Données projet'!$B$11,Paramètres!$A$1:$I$89,5,0)</f>
        <v>186.39399999999998</v>
      </c>
      <c r="BF47" s="14">
        <f t="shared" si="37"/>
        <v>46.7418305612456</v>
      </c>
      <c r="BG47" s="22">
        <f t="shared" si="7"/>
        <v>406.04490489416935</v>
      </c>
      <c r="BH47" s="60">
        <f t="shared" si="8"/>
        <v>699.37823822750261</v>
      </c>
      <c r="BI47" s="60">
        <f ca="1">AVERAGE(OFFSET($BH$3,0,0,'Données projet'!$E$11+1,1))-AVERAGE(OFFSET($H$3,0,0,'Données projet'!$E$11+1,1))</f>
        <v>373.7520752235389</v>
      </c>
      <c r="BJ47" s="60">
        <f t="shared" si="38"/>
        <v>205.19966474305761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10.402930402930403</v>
      </c>
      <c r="BY47" s="13">
        <f>IF('Données projet'!$A$114&gt;35,BY46+BX47-CG46,IF(A47&lt;'Données projet'!$A$114,$BV$205^A47,IF(A47='Données projet'!$A$114,'Données projet'!$B$114,BY46+BX47-CG46)))</f>
        <v>248.71794871794864</v>
      </c>
      <c r="BZ47" s="14">
        <f>BY47*VLOOKUP('Données projet'!$B$12,Paramètres!$A$1:$I$89,3,0)*VLOOKUP('Données projet'!$B$12,Paramètres!$A$1:$I$89,5,0)</f>
        <v>116.39999999999996</v>
      </c>
      <c r="CA47" s="14">
        <f t="shared" si="39"/>
        <v>30.833875768540434</v>
      </c>
      <c r="CB47" s="22">
        <f t="shared" si="10"/>
        <v>256.43233363020784</v>
      </c>
      <c r="CC47" s="60">
        <f t="shared" si="11"/>
        <v>549.76566696354121</v>
      </c>
      <c r="CD47" s="60">
        <f ca="1">AVERAGE(OFFSET($CC$3,0,0,'Données projet'!$E$12+1,1))-AVERAGE(OFFSET($H$3,0,0,'Données projet'!$E$12+1,1))</f>
        <v>141.31558705818316</v>
      </c>
      <c r="CE47" s="60">
        <f t="shared" si="40"/>
        <v>67.142010893211364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149.60000000000005</v>
      </c>
      <c r="CU47" s="18">
        <f>CT47*VLOOKUP('Données projet'!$B$13,Paramètres!$A$1:$I$89,3,0)*VLOOKUP('Données projet'!$B$13,Paramètres!$A$1:$I$89,5,0)</f>
        <v>130.69056000000006</v>
      </c>
      <c r="CV47" s="14">
        <f t="shared" si="41"/>
        <v>34.155878238422758</v>
      </c>
      <c r="CW47" s="22">
        <f t="shared" si="13"/>
        <v>287.1075465985864</v>
      </c>
      <c r="CX47" s="60">
        <f t="shared" si="14"/>
        <v>580.44087993191965</v>
      </c>
      <c r="CY47" s="60">
        <f ca="1">AVERAGE(OFFSET($CX$3,0,0,'Données projet'!$E$13+1,1))-AVERAGE(OFFSET($H$3,0,0,'Données projet'!$E$13+1,1))</f>
        <v>281.8501448773884</v>
      </c>
      <c r="CZ47" s="60">
        <f t="shared" si="42"/>
        <v>161.7340631691518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149.60000000000005</v>
      </c>
      <c r="DP47" s="18">
        <f>DO47*VLOOKUP('Données projet'!$B$14,Paramètres!$A$1:$I$89,3,0)*VLOOKUP('Données projet'!$B$14,Paramètres!$A$1:$I$89,5,0)</f>
        <v>135.35808000000006</v>
      </c>
      <c r="DQ47" s="14">
        <f t="shared" si="43"/>
        <v>35.231528980112834</v>
      </c>
      <c r="DR47" s="22">
        <f t="shared" si="16"/>
        <v>297.11023564036327</v>
      </c>
      <c r="DS47" s="60">
        <f t="shared" si="17"/>
        <v>590.44356897369653</v>
      </c>
      <c r="DT47" s="60">
        <f ca="1">AVERAGE(OFFSET($DS$3,0,0,'Données projet'!$E$14+1,1))-AVERAGE(OFFSET($H$3,0,0,'Données projet'!$E$14+1,1))</f>
        <v>295.19398489974265</v>
      </c>
      <c r="DU47" s="60">
        <f t="shared" si="44"/>
        <v>168.80998104712489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4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160.21200000000007</v>
      </c>
      <c r="P48" s="14">
        <f t="shared" si="33"/>
        <v>40.890328912852731</v>
      </c>
      <c r="Q48" s="22">
        <f t="shared" si="53"/>
        <v>350.25322285655193</v>
      </c>
      <c r="R48" s="60">
        <f t="shared" si="0"/>
        <v>643.58655618988519</v>
      </c>
      <c r="S48" s="60">
        <f ca="1">AVERAGE(OFFSET($R$3,0,0,'Données projet'!$E$9+1,1))-AVERAGE(OFFSET($H$3,0,0,'Données projet'!$E$9+1,1))</f>
        <v>341.82426415364569</v>
      </c>
      <c r="T48" s="60">
        <f t="shared" si="34"/>
        <v>193.53376539568887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11.642307692307696</v>
      </c>
      <c r="AI48" s="14">
        <f>IF('Données projet'!$A$62&gt;35,AI47+AH48-AQ47,IF(A48&lt;'Données projet'!$A$62,$AF$205^A48,IF(A48='Données projet'!$A$62,'Données projet'!$B$62,AI47+AH48-AQ47)))</f>
        <v>250.31923076923061</v>
      </c>
      <c r="AJ48" s="14">
        <f>AI48*VLOOKUP('Données projet'!$B$10,Paramètres!$A$1:$I$89,3,0)*VLOOKUP('Données projet'!$B$10,Paramètres!$A$1:$I$89,5,0)</f>
        <v>149.69089999999991</v>
      </c>
      <c r="AK48" s="14">
        <f t="shared" si="35"/>
        <v>38.508333105793902</v>
      </c>
      <c r="AL48" s="22">
        <f t="shared" si="4"/>
        <v>327.7803309925909</v>
      </c>
      <c r="AM48" s="60">
        <f t="shared" si="5"/>
        <v>621.11366432592422</v>
      </c>
      <c r="AN48" s="60">
        <f ca="1">AVERAGE(OFFSET($AM$3,0,0,'Données projet'!$E$10+1,1))-AVERAGE(OFFSET($H$3,0,0,'Données projet'!$E$10+1,1))</f>
        <v>189.8516574130017</v>
      </c>
      <c r="AO48" s="60">
        <f t="shared" si="36"/>
        <v>191.91100863555891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10.559058793782594</v>
      </c>
      <c r="AV48" s="23">
        <f>EXP(-LN(2)/25)*AV47+(1-EXP(-LN(2)/25))/(LN(2)/25)*Calculateur!AQ48*Calculateur!AS48*VLOOKUP('Données projet'!$B$10,Paramètres!$A$1:$I$89,3,0)*0.475*44/12</f>
        <v>11.912475074939465</v>
      </c>
      <c r="AW48" s="23">
        <f>EXP(-LN(2)/2)*AW47+(1-EXP(-LN(2)/2))/(LN(2)/2)*AQ48*AT48*VLOOKUP('Données projet'!$B$10,Paramètres!$A$1:$I$89,3,0)*0.475*44/12</f>
        <v>3.3387975362295784E-2</v>
      </c>
      <c r="AX48" s="23">
        <f t="shared" si="6"/>
        <v>22.504921844084354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184.61538461538461</v>
      </c>
      <c r="BB48" s="13">
        <f>VLOOKUP(A48,'Données projet'!$A$87:$I$107,9,0)</f>
        <v>6.2820512820512819</v>
      </c>
      <c r="BC48" s="13">
        <f t="array" ref="BC48">INDEX(BB:BB,MIN(IF(ISNUMBER(BB48:BB244),ROW(BB48:BB244),"")))</f>
        <v>6.2820512820512819</v>
      </c>
      <c r="BD48" s="13">
        <f>IF('Données projet'!$A$88&gt;35,BD47+BC48-BL47,IF(A48&lt;'Données projet'!$A$88,$BA$205^A48,IF(A48='Données projet'!$A$88,'Données projet'!$B$88,BD47+BC48-BL47)))</f>
        <v>184.61538461538456</v>
      </c>
      <c r="BE48" s="14">
        <f>BD48*VLOOKUP('Données projet'!$B$11,Paramètres!$A$1:$I$89,3,0)*VLOOKUP('Données projet'!$B$11,Paramètres!$A$1:$I$89,5,0)</f>
        <v>192.95999999999995</v>
      </c>
      <c r="BF48" s="14">
        <f t="shared" si="37"/>
        <v>48.193776882662846</v>
      </c>
      <c r="BG48" s="22">
        <f t="shared" si="7"/>
        <v>420.00949473730435</v>
      </c>
      <c r="BH48" s="60">
        <f t="shared" si="8"/>
        <v>713.34282807063767</v>
      </c>
      <c r="BI48" s="60">
        <f ca="1">AVERAGE(OFFSET($BH$3,0,0,'Données projet'!$E$11+1,1))-AVERAGE(OFFSET($H$3,0,0,'Données projet'!$E$11+1,1))</f>
        <v>373.7520752235389</v>
      </c>
      <c r="BJ48" s="60">
        <f t="shared" si="38"/>
        <v>205.19966474305761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23.717948717948715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10.402930402930403</v>
      </c>
      <c r="BY48" s="13">
        <f>IF('Données projet'!$A$114&gt;35,BY47+BX48-CG47,IF(A48&lt;'Données projet'!$A$114,$BV$205^A48,IF(A48='Données projet'!$A$114,'Données projet'!$B$114,BY47+BX48-CG47)))</f>
        <v>259.12087912087907</v>
      </c>
      <c r="BZ48" s="14">
        <f>BY48*VLOOKUP('Données projet'!$B$12,Paramètres!$A$1:$I$89,3,0)*VLOOKUP('Données projet'!$B$12,Paramètres!$A$1:$I$89,5,0)</f>
        <v>121.26857142857141</v>
      </c>
      <c r="CA48" s="14">
        <f t="shared" si="39"/>
        <v>31.970691421429557</v>
      </c>
      <c r="CB48" s="22">
        <f t="shared" si="10"/>
        <v>266.89171613041833</v>
      </c>
      <c r="CC48" s="60">
        <f t="shared" si="11"/>
        <v>560.2250494637517</v>
      </c>
      <c r="CD48" s="60">
        <f ca="1">AVERAGE(OFFSET($CC$3,0,0,'Données projet'!$E$12+1,1))-AVERAGE(OFFSET($H$3,0,0,'Données projet'!$E$12+1,1))</f>
        <v>141.31558705818316</v>
      </c>
      <c r="CE48" s="60">
        <f t="shared" si="40"/>
        <v>67.142010893211364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158.00000000000006</v>
      </c>
      <c r="CU48" s="18">
        <f>CT48*VLOOKUP('Données projet'!$B$13,Paramètres!$A$1:$I$89,3,0)*VLOOKUP('Données projet'!$B$13,Paramètres!$A$1:$I$89,5,0)</f>
        <v>138.02880000000007</v>
      </c>
      <c r="CV48" s="14">
        <f t="shared" si="41"/>
        <v>35.845059256813073</v>
      </c>
      <c r="CW48" s="22">
        <f t="shared" si="13"/>
        <v>302.83030487228291</v>
      </c>
      <c r="CX48" s="60">
        <f t="shared" si="14"/>
        <v>596.16363820561628</v>
      </c>
      <c r="CY48" s="60">
        <f ca="1">AVERAGE(OFFSET($CX$3,0,0,'Données projet'!$E$13+1,1))-AVERAGE(OFFSET($H$3,0,0,'Données projet'!$E$13+1,1))</f>
        <v>281.8501448773884</v>
      </c>
      <c r="CZ48" s="60">
        <f t="shared" si="42"/>
        <v>161.7340631691518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158.00000000000006</v>
      </c>
      <c r="DP48" s="18">
        <f>DO48*VLOOKUP('Données projet'!$B$14,Paramètres!$A$1:$I$89,3,0)*VLOOKUP('Données projet'!$B$14,Paramètres!$A$1:$I$89,5,0)</f>
        <v>142.95840000000004</v>
      </c>
      <c r="DQ48" s="14">
        <f t="shared" si="43"/>
        <v>36.973906370811264</v>
      </c>
      <c r="DR48" s="22">
        <f t="shared" si="16"/>
        <v>313.38210026249641</v>
      </c>
      <c r="DS48" s="60">
        <f t="shared" si="17"/>
        <v>606.71543359582972</v>
      </c>
      <c r="DT48" s="60">
        <f ca="1">AVERAGE(OFFSET($DS$3,0,0,'Données projet'!$E$14+1,1))-AVERAGE(OFFSET($H$3,0,0,'Données projet'!$E$14+1,1))</f>
        <v>295.19398489974265</v>
      </c>
      <c r="DU48" s="60">
        <f t="shared" si="44"/>
        <v>168.80998104712489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4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168.52680000000007</v>
      </c>
      <c r="P49" s="14">
        <f t="shared" si="33"/>
        <v>42.759908842532369</v>
      </c>
      <c r="Q49" s="22">
        <f t="shared" si="53"/>
        <v>367.991017900744</v>
      </c>
      <c r="R49" s="60">
        <f t="shared" si="0"/>
        <v>661.32435123407731</v>
      </c>
      <c r="S49" s="60">
        <f ca="1">AVERAGE(OFFSET($R$3,0,0,'Données projet'!$E$9+1,1))-AVERAGE(OFFSET($H$3,0,0,'Données projet'!$E$9+1,1))</f>
        <v>341.82426415364569</v>
      </c>
      <c r="T49" s="60">
        <f t="shared" si="34"/>
        <v>193.53376539568887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11.642307692307696</v>
      </c>
      <c r="AI49" s="14">
        <f>IF('Données projet'!$A$62&gt;35,AI48+AH49-AQ48,IF(A49&lt;'Données projet'!$A$62,$AF$205^A49,IF(A49='Données projet'!$A$62,'Données projet'!$B$62,AI48+AH49-AQ48)))</f>
        <v>261.96153846153834</v>
      </c>
      <c r="AJ49" s="14">
        <f>AI49*VLOOKUP('Données projet'!$B$10,Paramètres!$A$1:$I$89,3,0)*VLOOKUP('Données projet'!$B$10,Paramètres!$A$1:$I$89,5,0)</f>
        <v>156.65299999999993</v>
      </c>
      <c r="AK49" s="14">
        <f t="shared" si="35"/>
        <v>40.0866638793565</v>
      </c>
      <c r="AL49" s="22">
        <f t="shared" si="4"/>
        <v>342.65491458987913</v>
      </c>
      <c r="AM49" s="60">
        <f t="shared" si="5"/>
        <v>635.98824792321238</v>
      </c>
      <c r="AN49" s="60">
        <f ca="1">AVERAGE(OFFSET($AM$3,0,0,'Données projet'!$E$10+1,1))-AVERAGE(OFFSET($H$3,0,0,'Données projet'!$E$10+1,1))</f>
        <v>189.8516574130017</v>
      </c>
      <c r="AO49" s="60">
        <f t="shared" si="36"/>
        <v>191.91100863555891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10.352002091226446</v>
      </c>
      <c r="AV49" s="23">
        <f>EXP(-LN(2)/25)*AV48+(1-EXP(-LN(2)/25))/(LN(2)/25)*Calculateur!AQ49*Calculateur!AS49*VLOOKUP('Données projet'!$B$10,Paramètres!$A$1:$I$89,3,0)*0.475*44/12</f>
        <v>11.586727817565407</v>
      </c>
      <c r="AW49" s="23">
        <f>EXP(-LN(2)/2)*AW48+(1-EXP(-LN(2)/2))/(LN(2)/2)*AQ49*AT49*VLOOKUP('Données projet'!$B$10,Paramètres!$A$1:$I$89,3,0)*0.475*44/12</f>
        <v>2.3608863788768725E-2</v>
      </c>
      <c r="AX49" s="23">
        <f t="shared" si="6"/>
        <v>21.962338772580623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6.025641025641022</v>
      </c>
      <c r="BD49" s="13">
        <f>IF('Données projet'!$A$88&gt;35,BD48+BC49-BL48,IF(A49&lt;'Données projet'!$A$88,$BA$205^A49,IF(A49='Données projet'!$A$88,'Données projet'!$B$88,BD48+BC49-BL48)))</f>
        <v>166.92307692307685</v>
      </c>
      <c r="BE49" s="14">
        <f>BD49*VLOOKUP('Données projet'!$B$11,Paramètres!$A$1:$I$89,3,0)*VLOOKUP('Données projet'!$B$11,Paramètres!$A$1:$I$89,5,0)</f>
        <v>174.46799999999996</v>
      </c>
      <c r="BF49" s="14">
        <f t="shared" si="37"/>
        <v>44.089191042180083</v>
      </c>
      <c r="BG49" s="22">
        <f t="shared" si="7"/>
        <v>380.65377439846361</v>
      </c>
      <c r="BH49" s="60">
        <f t="shared" si="8"/>
        <v>673.98710773179687</v>
      </c>
      <c r="BI49" s="60">
        <f ca="1">AVERAGE(OFFSET($BH$3,0,0,'Données projet'!$E$11+1,1))-AVERAGE(OFFSET($H$3,0,0,'Données projet'!$E$11+1,1))</f>
        <v>373.7520752235389</v>
      </c>
      <c r="BJ49" s="60">
        <f t="shared" si="38"/>
        <v>205.19966474305761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10.402930402930403</v>
      </c>
      <c r="BY49" s="13">
        <f>IF('Données projet'!$A$114&gt;35,BY48+BX49-CG48,IF(A49&lt;'Données projet'!$A$114,$BV$205^A49,IF(A49='Données projet'!$A$114,'Données projet'!$B$114,BY48+BX49-CG48)))</f>
        <v>269.52380952380946</v>
      </c>
      <c r="BZ49" s="14">
        <f>BY49*VLOOKUP('Données projet'!$B$12,Paramètres!$A$1:$I$89,3,0)*VLOOKUP('Données projet'!$B$12,Paramètres!$A$1:$I$89,5,0)</f>
        <v>126.13714285714282</v>
      </c>
      <c r="CA49" s="14">
        <f t="shared" si="39"/>
        <v>33.102205495977692</v>
      </c>
      <c r="CB49" s="22">
        <f t="shared" si="10"/>
        <v>277.34186504835151</v>
      </c>
      <c r="CC49" s="60">
        <f t="shared" si="11"/>
        <v>570.67519838168482</v>
      </c>
      <c r="CD49" s="60">
        <f ca="1">AVERAGE(OFFSET($CC$3,0,0,'Données projet'!$E$12+1,1))-AVERAGE(OFFSET($H$3,0,0,'Données projet'!$E$12+1,1))</f>
        <v>141.31558705818316</v>
      </c>
      <c r="CE49" s="60">
        <f t="shared" si="40"/>
        <v>67.142010893211364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166.20000000000005</v>
      </c>
      <c r="CU49" s="18">
        <f>CT49*VLOOKUP('Données projet'!$B$13,Paramètres!$A$1:$I$89,3,0)*VLOOKUP('Données projet'!$B$13,Paramètres!$A$1:$I$89,5,0)</f>
        <v>145.19232000000005</v>
      </c>
      <c r="CV49" s="14">
        <f t="shared" si="41"/>
        <v>37.483960315974116</v>
      </c>
      <c r="CW49" s="22">
        <f t="shared" si="13"/>
        <v>318.16118821698831</v>
      </c>
      <c r="CX49" s="60">
        <f t="shared" si="14"/>
        <v>611.49452155032168</v>
      </c>
      <c r="CY49" s="60">
        <f ca="1">AVERAGE(OFFSET($CX$3,0,0,'Données projet'!$E$13+1,1))-AVERAGE(OFFSET($H$3,0,0,'Données projet'!$E$13+1,1))</f>
        <v>281.8501448773884</v>
      </c>
      <c r="CZ49" s="60">
        <f t="shared" si="42"/>
        <v>161.7340631691518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166.20000000000005</v>
      </c>
      <c r="DP49" s="18">
        <f>DO49*VLOOKUP('Données projet'!$B$14,Paramètres!$A$1:$I$89,3,0)*VLOOKUP('Données projet'!$B$14,Paramètres!$A$1:$I$89,5,0)</f>
        <v>150.37776000000002</v>
      </c>
      <c r="DQ49" s="14">
        <f t="shared" si="43"/>
        <v>38.664420365454049</v>
      </c>
      <c r="DR49" s="22">
        <f t="shared" si="16"/>
        <v>329.24846413649914</v>
      </c>
      <c r="DS49" s="60">
        <f t="shared" si="17"/>
        <v>622.58179746983251</v>
      </c>
      <c r="DT49" s="60">
        <f ca="1">AVERAGE(OFFSET($DS$3,0,0,'Données projet'!$E$14+1,1))-AVERAGE(OFFSET($H$3,0,0,'Données projet'!$E$14+1,1))</f>
        <v>295.19398489974265</v>
      </c>
      <c r="DU49" s="60">
        <f t="shared" si="44"/>
        <v>168.80998104712489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4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176.84160000000006</v>
      </c>
      <c r="P50" s="14">
        <f t="shared" si="33"/>
        <v>44.618778032982952</v>
      </c>
      <c r="Q50" s="22">
        <f t="shared" si="53"/>
        <v>385.71015840744536</v>
      </c>
      <c r="R50" s="60">
        <f t="shared" si="0"/>
        <v>679.04349174077868</v>
      </c>
      <c r="S50" s="60">
        <f ca="1">AVERAGE(OFFSET($R$3,0,0,'Données projet'!$E$9+1,1))-AVERAGE(OFFSET($H$3,0,0,'Données projet'!$E$9+1,1))</f>
        <v>341.82426415364569</v>
      </c>
      <c r="T50" s="60">
        <f t="shared" si="34"/>
        <v>193.53376539568887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11.642307692307696</v>
      </c>
      <c r="AI50" s="14">
        <f>IF('Données projet'!$A$62&gt;35,AI49+AH50-AQ49,IF(A50&lt;'Données projet'!$A$62,$AF$205^A50,IF(A50='Données projet'!$A$62,'Données projet'!$B$62,AI49+AH50-AQ49)))</f>
        <v>273.60384615384601</v>
      </c>
      <c r="AJ50" s="14">
        <f>AI50*VLOOKUP('Données projet'!$B$10,Paramètres!$A$1:$I$89,3,0)*VLOOKUP('Données projet'!$B$10,Paramètres!$A$1:$I$89,5,0)</f>
        <v>163.61509999999993</v>
      </c>
      <c r="AK50" s="14">
        <f t="shared" si="35"/>
        <v>41.656847972292042</v>
      </c>
      <c r="AL50" s="22">
        <f t="shared" si="4"/>
        <v>357.51530938507517</v>
      </c>
      <c r="AM50" s="60">
        <f t="shared" si="5"/>
        <v>650.84864271840843</v>
      </c>
      <c r="AN50" s="60">
        <f ca="1">AVERAGE(OFFSET($AM$3,0,0,'Données projet'!$E$10+1,1))-AVERAGE(OFFSET($H$3,0,0,'Données projet'!$E$10+1,1))</f>
        <v>189.8516574130017</v>
      </c>
      <c r="AO50" s="60">
        <f t="shared" si="36"/>
        <v>191.91100863555891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10.149005644315306</v>
      </c>
      <c r="AV50" s="23">
        <f>EXP(-LN(2)/25)*AV49+(1-EXP(-LN(2)/25))/(LN(2)/25)*Calculateur!AQ50*Calculateur!AS50*VLOOKUP('Données projet'!$B$10,Paramètres!$A$1:$I$89,3,0)*0.475*44/12</f>
        <v>11.269888136074547</v>
      </c>
      <c r="AW50" s="23">
        <f>EXP(-LN(2)/2)*AW49+(1-EXP(-LN(2)/2))/(LN(2)/2)*AQ50*AT50*VLOOKUP('Données projet'!$B$10,Paramètres!$A$1:$I$89,3,0)*0.475*44/12</f>
        <v>1.6693987681147892E-2</v>
      </c>
      <c r="AX50" s="23">
        <f t="shared" si="6"/>
        <v>21.435587768070999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6.025641025641022</v>
      </c>
      <c r="BD50" s="13">
        <f>IF('Données projet'!$A$88&gt;35,BD49+BC50-BL49,IF(A50&lt;'Données projet'!$A$88,$BA$205^A50,IF(A50='Données projet'!$A$88,'Données projet'!$B$88,BD49+BC50-BL49)))</f>
        <v>172.94871794871787</v>
      </c>
      <c r="BE50" s="14">
        <f>BD50*VLOOKUP('Données projet'!$B$11,Paramètres!$A$1:$I$89,3,0)*VLOOKUP('Données projet'!$B$11,Paramètres!$A$1:$I$89,5,0)</f>
        <v>180.76599999999993</v>
      </c>
      <c r="BF50" s="14">
        <f t="shared" si="37"/>
        <v>45.492564911835224</v>
      </c>
      <c r="BG50" s="22">
        <f t="shared" si="7"/>
        <v>394.06700055477955</v>
      </c>
      <c r="BH50" s="60">
        <f t="shared" si="8"/>
        <v>687.40033388811287</v>
      </c>
      <c r="BI50" s="60">
        <f ca="1">AVERAGE(OFFSET($BH$3,0,0,'Données projet'!$E$11+1,1))-AVERAGE(OFFSET($H$3,0,0,'Données projet'!$E$11+1,1))</f>
        <v>373.7520752235389</v>
      </c>
      <c r="BJ50" s="60">
        <f t="shared" si="38"/>
        <v>205.19966474305761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10.402930402930403</v>
      </c>
      <c r="BY50" s="13">
        <f>IF('Données projet'!$A$114&gt;35,BY49+BX50-CG49,IF(A50&lt;'Données projet'!$A$114,$BV$205^A50,IF(A50='Données projet'!$A$114,'Données projet'!$B$114,BY49+BX50-CG49)))</f>
        <v>279.92673992673986</v>
      </c>
      <c r="BZ50" s="14">
        <f>BY50*VLOOKUP('Données projet'!$B$12,Paramètres!$A$1:$I$89,3,0)*VLOOKUP('Données projet'!$B$12,Paramètres!$A$1:$I$89,5,0)</f>
        <v>131.00571428571425</v>
      </c>
      <c r="CA50" s="14">
        <f t="shared" si="39"/>
        <v>34.228646041091935</v>
      </c>
      <c r="CB50" s="22">
        <f t="shared" si="10"/>
        <v>287.78317756918744</v>
      </c>
      <c r="CC50" s="60">
        <f t="shared" si="11"/>
        <v>581.11651090252076</v>
      </c>
      <c r="CD50" s="60">
        <f ca="1">AVERAGE(OFFSET($CC$3,0,0,'Données projet'!$E$12+1,1))-AVERAGE(OFFSET($H$3,0,0,'Données projet'!$E$12+1,1))</f>
        <v>141.31558705818316</v>
      </c>
      <c r="CE50" s="60">
        <f t="shared" si="40"/>
        <v>67.142010893211364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174.40000000000003</v>
      </c>
      <c r="CU50" s="18">
        <f>CT50*VLOOKUP('Données projet'!$B$13,Paramètres!$A$1:$I$89,3,0)*VLOOKUP('Données projet'!$B$13,Paramètres!$A$1:$I$89,5,0)</f>
        <v>152.35584000000006</v>
      </c>
      <c r="CV50" s="14">
        <f t="shared" si="41"/>
        <v>39.11347218476763</v>
      </c>
      <c r="CW50" s="22">
        <f t="shared" si="13"/>
        <v>333.47571872180373</v>
      </c>
      <c r="CX50" s="60">
        <f t="shared" si="14"/>
        <v>626.80905205513704</v>
      </c>
      <c r="CY50" s="60">
        <f ca="1">AVERAGE(OFFSET($CX$3,0,0,'Données projet'!$E$13+1,1))-AVERAGE(OFFSET($H$3,0,0,'Données projet'!$E$13+1,1))</f>
        <v>281.8501448773884</v>
      </c>
      <c r="CZ50" s="60">
        <f t="shared" si="42"/>
        <v>161.7340631691518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174.40000000000003</v>
      </c>
      <c r="DP50" s="18">
        <f>DO50*VLOOKUP('Données projet'!$B$14,Paramètres!$A$1:$I$89,3,0)*VLOOKUP('Données projet'!$B$14,Paramètres!$A$1:$I$89,5,0)</f>
        <v>157.79712000000004</v>
      </c>
      <c r="DQ50" s="14">
        <f t="shared" si="43"/>
        <v>40.345249481546155</v>
      </c>
      <c r="DR50" s="22">
        <f t="shared" si="16"/>
        <v>345.09796018035962</v>
      </c>
      <c r="DS50" s="60">
        <f t="shared" si="17"/>
        <v>638.43129351369294</v>
      </c>
      <c r="DT50" s="60">
        <f ca="1">AVERAGE(OFFSET($DS$3,0,0,'Données projet'!$E$14+1,1))-AVERAGE(OFFSET($H$3,0,0,'Données projet'!$E$14+1,1))</f>
        <v>295.19398489974265</v>
      </c>
      <c r="DU50" s="60">
        <f t="shared" si="44"/>
        <v>168.80998104712489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4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185.15640000000002</v>
      </c>
      <c r="P51" s="14">
        <f t="shared" si="33"/>
        <v>46.467497591770453</v>
      </c>
      <c r="Q51" s="22">
        <f t="shared" si="53"/>
        <v>403.4116216390002</v>
      </c>
      <c r="R51" s="60">
        <f t="shared" si="0"/>
        <v>696.74495497233352</v>
      </c>
      <c r="S51" s="60">
        <f ca="1">AVERAGE(OFFSET($R$3,0,0,'Données projet'!$E$9+1,1))-AVERAGE(OFFSET($H$3,0,0,'Données projet'!$E$9+1,1))</f>
        <v>341.82426415364569</v>
      </c>
      <c r="T51" s="60">
        <f t="shared" si="34"/>
        <v>193.53376539568887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11.642307692307696</v>
      </c>
      <c r="AI51" s="14">
        <f>IF('Données projet'!$A$62&gt;35,AI50+AH51-AQ50,IF(A51&lt;'Données projet'!$A$62,$AF$205^A51,IF(A51='Données projet'!$A$62,'Données projet'!$B$62,AI50+AH51-AQ50)))</f>
        <v>285.24615384615367</v>
      </c>
      <c r="AJ51" s="14">
        <f>AI51*VLOOKUP('Données projet'!$B$10,Paramètres!$A$1:$I$89,3,0)*VLOOKUP('Données projet'!$B$10,Paramètres!$A$1:$I$89,5,0)</f>
        <v>170.57719999999992</v>
      </c>
      <c r="AK51" s="14">
        <f t="shared" si="35"/>
        <v>43.219271671345155</v>
      </c>
      <c r="AL51" s="22">
        <f t="shared" si="4"/>
        <v>372.362188160926</v>
      </c>
      <c r="AM51" s="60">
        <f t="shared" si="5"/>
        <v>665.69552149425931</v>
      </c>
      <c r="AN51" s="60">
        <f ca="1">AVERAGE(OFFSET($AM$3,0,0,'Données projet'!$E$10+1,1))-AVERAGE(OFFSET($H$3,0,0,'Données projet'!$E$10+1,1))</f>
        <v>189.8516574130017</v>
      </c>
      <c r="AO51" s="60">
        <f t="shared" si="36"/>
        <v>191.91100863555891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9.9499898339124861</v>
      </c>
      <c r="AV51" s="23">
        <f>EXP(-LN(2)/25)*AV50+(1-EXP(-LN(2)/25))/(LN(2)/25)*Calculateur!AQ51*Calculateur!AS51*VLOOKUP('Données projet'!$B$10,Paramètres!$A$1:$I$89,3,0)*0.475*44/12</f>
        <v>10.961712452335929</v>
      </c>
      <c r="AW51" s="23">
        <f>EXP(-LN(2)/2)*AW50+(1-EXP(-LN(2)/2))/(LN(2)/2)*AQ51*AT51*VLOOKUP('Données projet'!$B$10,Paramètres!$A$1:$I$89,3,0)*0.475*44/12</f>
        <v>1.1804431894384362E-2</v>
      </c>
      <c r="AX51" s="23">
        <f t="shared" si="6"/>
        <v>20.923506718142797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6.025641025641022</v>
      </c>
      <c r="BD51" s="13">
        <f>IF('Données projet'!$A$88&gt;35,BD50+BC51-BL50,IF(A51&lt;'Données projet'!$A$88,$BA$205^A51,IF(A51='Données projet'!$A$88,'Données projet'!$B$88,BD50+BC51-BL50)))</f>
        <v>178.97435897435889</v>
      </c>
      <c r="BE51" s="14">
        <f>BD51*VLOOKUP('Données projet'!$B$11,Paramètres!$A$1:$I$89,3,0)*VLOOKUP('Données projet'!$B$11,Paramètres!$A$1:$I$89,5,0)</f>
        <v>187.06399999999994</v>
      </c>
      <c r="BF51" s="14">
        <f t="shared" si="37"/>
        <v>46.890257781771233</v>
      </c>
      <c r="BG51" s="22">
        <f t="shared" si="7"/>
        <v>407.47033230325138</v>
      </c>
      <c r="BH51" s="60">
        <f t="shared" si="8"/>
        <v>700.8036656365847</v>
      </c>
      <c r="BI51" s="60">
        <f ca="1">AVERAGE(OFFSET($BH$3,0,0,'Données projet'!$E$11+1,1))-AVERAGE(OFFSET($H$3,0,0,'Données projet'!$E$11+1,1))</f>
        <v>373.7520752235389</v>
      </c>
      <c r="BJ51" s="60">
        <f t="shared" si="38"/>
        <v>205.19966474305761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10.402930402930403</v>
      </c>
      <c r="BY51" s="13">
        <f>IF('Données projet'!$A$114&gt;35,BY50+BX51-CG50,IF(A51&lt;'Données projet'!$A$114,$BV$205^A51,IF(A51='Données projet'!$A$114,'Données projet'!$B$114,BY50+BX51-CG50)))</f>
        <v>290.32967032967025</v>
      </c>
      <c r="BZ51" s="14">
        <f>BY51*VLOOKUP('Données projet'!$B$12,Paramètres!$A$1:$I$89,3,0)*VLOOKUP('Données projet'!$B$12,Paramètres!$A$1:$I$89,5,0)</f>
        <v>135.87428571428569</v>
      </c>
      <c r="CA51" s="14">
        <f t="shared" si="39"/>
        <v>35.350223195357941</v>
      </c>
      <c r="CB51" s="22">
        <f t="shared" si="10"/>
        <v>298.21601968429599</v>
      </c>
      <c r="CC51" s="60">
        <f t="shared" si="11"/>
        <v>591.5493530176293</v>
      </c>
      <c r="CD51" s="60">
        <f ca="1">AVERAGE(OFFSET($CC$3,0,0,'Données projet'!$E$12+1,1))-AVERAGE(OFFSET($H$3,0,0,'Données projet'!$E$12+1,1))</f>
        <v>141.31558705818316</v>
      </c>
      <c r="CE51" s="60">
        <f t="shared" si="40"/>
        <v>67.142010893211364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182.60000000000002</v>
      </c>
      <c r="CU51" s="18">
        <f>CT51*VLOOKUP('Données projet'!$B$13,Paramètres!$A$1:$I$89,3,0)*VLOOKUP('Données projet'!$B$13,Paramètres!$A$1:$I$89,5,0)</f>
        <v>159.51936000000006</v>
      </c>
      <c r="CV51" s="14">
        <f t="shared" si="41"/>
        <v>40.73408673827732</v>
      </c>
      <c r="CW51" s="22">
        <f t="shared" si="13"/>
        <v>348.77475306916637</v>
      </c>
      <c r="CX51" s="60">
        <f t="shared" si="14"/>
        <v>642.10808640249968</v>
      </c>
      <c r="CY51" s="60">
        <f ca="1">AVERAGE(OFFSET($CX$3,0,0,'Données projet'!$E$13+1,1))-AVERAGE(OFFSET($H$3,0,0,'Données projet'!$E$13+1,1))</f>
        <v>281.8501448773884</v>
      </c>
      <c r="CZ51" s="60">
        <f t="shared" si="42"/>
        <v>161.7340631691518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182.60000000000002</v>
      </c>
      <c r="DP51" s="18">
        <f>DO51*VLOOKUP('Données projet'!$B$14,Paramètres!$A$1:$I$89,3,0)*VLOOKUP('Données projet'!$B$14,Paramètres!$A$1:$I$89,5,0)</f>
        <v>165.21648000000002</v>
      </c>
      <c r="DQ51" s="14">
        <f t="shared" si="43"/>
        <v>42.016901084500397</v>
      </c>
      <c r="DR51" s="22">
        <f t="shared" si="16"/>
        <v>360.93147205550491</v>
      </c>
      <c r="DS51" s="60">
        <f t="shared" si="17"/>
        <v>654.26480538883823</v>
      </c>
      <c r="DT51" s="60">
        <f ca="1">AVERAGE(OFFSET($DS$3,0,0,'Données projet'!$E$14+1,1))-AVERAGE(OFFSET($H$3,0,0,'Données projet'!$E$14+1,1))</f>
        <v>295.19398489974265</v>
      </c>
      <c r="DU51" s="60">
        <f t="shared" si="44"/>
        <v>168.80998104712489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4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193.47120000000001</v>
      </c>
      <c r="P52" s="14">
        <f t="shared" si="33"/>
        <v>48.306575382296536</v>
      </c>
      <c r="Q52" s="22">
        <f t="shared" si="53"/>
        <v>421.09629212416644</v>
      </c>
      <c r="R52" s="60">
        <f t="shared" si="0"/>
        <v>714.4296254574997</v>
      </c>
      <c r="S52" s="60">
        <f ca="1">AVERAGE(OFFSET($R$3,0,0,'Données projet'!$E$9+1,1))-AVERAGE(OFFSET($H$3,0,0,'Données projet'!$E$9+1,1))</f>
        <v>341.82426415364569</v>
      </c>
      <c r="T52" s="60">
        <f t="shared" si="34"/>
        <v>193.53376539568887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11.642307692307696</v>
      </c>
      <c r="AI52" s="14">
        <f>IF('Données projet'!$A$62&gt;35,AI51+AH52-AQ51,IF(A52&lt;'Données projet'!$A$62,$AF$205^A52,IF(A52='Données projet'!$A$62,'Données projet'!$B$62,AI51+AH52-AQ51)))</f>
        <v>296.88846153846134</v>
      </c>
      <c r="AJ52" s="14">
        <f>AI52*VLOOKUP('Données projet'!$B$10,Paramètres!$A$1:$I$89,3,0)*VLOOKUP('Données projet'!$B$10,Paramètres!$A$1:$I$89,5,0)</f>
        <v>177.53929999999991</v>
      </c>
      <c r="AK52" s="14">
        <f t="shared" si="35"/>
        <v>44.774287946301975</v>
      </c>
      <c r="AL52" s="22">
        <f t="shared" si="4"/>
        <v>387.1961656731425</v>
      </c>
      <c r="AM52" s="60">
        <f t="shared" si="5"/>
        <v>680.52949900647582</v>
      </c>
      <c r="AN52" s="60">
        <f ca="1">AVERAGE(OFFSET($AM$3,0,0,'Données projet'!$E$10+1,1))-AVERAGE(OFFSET($H$3,0,0,'Données projet'!$E$10+1,1))</f>
        <v>189.8516574130017</v>
      </c>
      <c r="AO52" s="60">
        <f t="shared" si="36"/>
        <v>191.91100863555891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9.754876602164007</v>
      </c>
      <c r="AV52" s="23">
        <f>EXP(-LN(2)/25)*AV51+(1-EXP(-LN(2)/25))/(LN(2)/25)*Calculateur!AQ52*Calculateur!AS52*VLOOKUP('Données projet'!$B$10,Paramètres!$A$1:$I$89,3,0)*0.475*44/12</f>
        <v>10.661963848875398</v>
      </c>
      <c r="AW52" s="23">
        <f>EXP(-LN(2)/2)*AW51+(1-EXP(-LN(2)/2))/(LN(2)/2)*AQ52*AT52*VLOOKUP('Données projet'!$B$10,Paramètres!$A$1:$I$89,3,0)*0.475*44/12</f>
        <v>8.346993840573946E-3</v>
      </c>
      <c r="AX52" s="23">
        <f t="shared" si="6"/>
        <v>20.425187444879981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6.025641025641022</v>
      </c>
      <c r="BD52" s="13">
        <f>IF('Données projet'!$A$88&gt;35,BD51+BC52-BL51,IF(A52&lt;'Données projet'!$A$88,$BA$205^A52,IF(A52='Données projet'!$A$88,'Données projet'!$B$88,BD51+BC52-BL51)))</f>
        <v>184.99999999999991</v>
      </c>
      <c r="BE52" s="14">
        <f>BD52*VLOOKUP('Données projet'!$B$11,Paramètres!$A$1:$I$89,3,0)*VLOOKUP('Données projet'!$B$11,Paramètres!$A$1:$I$89,5,0)</f>
        <v>193.36199999999991</v>
      </c>
      <c r="BF52" s="14">
        <f t="shared" si="37"/>
        <v>48.282482845036888</v>
      </c>
      <c r="BG52" s="22">
        <f t="shared" si="7"/>
        <v>420.86414095510577</v>
      </c>
      <c r="BH52" s="60">
        <f t="shared" si="8"/>
        <v>714.19747428843903</v>
      </c>
      <c r="BI52" s="60">
        <f ca="1">AVERAGE(OFFSET($BH$3,0,0,'Données projet'!$E$11+1,1))-AVERAGE(OFFSET($H$3,0,0,'Données projet'!$E$11+1,1))</f>
        <v>373.7520752235389</v>
      </c>
      <c r="BJ52" s="60">
        <f t="shared" si="38"/>
        <v>205.19966474305761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10.402930402930403</v>
      </c>
      <c r="BY52" s="13">
        <f>IF('Données projet'!$A$114&gt;35,BY51+BX52-CG51,IF(A52&lt;'Données projet'!$A$114,$BV$205^A52,IF(A52='Données projet'!$A$114,'Données projet'!$B$114,BY51+BX52-CG51)))</f>
        <v>300.73260073260064</v>
      </c>
      <c r="BZ52" s="14">
        <f>BY52*VLOOKUP('Données projet'!$B$12,Paramètres!$A$1:$I$89,3,0)*VLOOKUP('Données projet'!$B$12,Paramètres!$A$1:$I$89,5,0)</f>
        <v>140.7428571428571</v>
      </c>
      <c r="CA52" s="14">
        <f t="shared" si="39"/>
        <v>36.467131184587252</v>
      </c>
      <c r="CB52" s="22">
        <f t="shared" si="10"/>
        <v>308.64072967029892</v>
      </c>
      <c r="CC52" s="60">
        <f t="shared" si="11"/>
        <v>601.97406300363218</v>
      </c>
      <c r="CD52" s="60">
        <f ca="1">AVERAGE(OFFSET($CC$3,0,0,'Données projet'!$E$12+1,1))-AVERAGE(OFFSET($H$3,0,0,'Données projet'!$E$12+1,1))</f>
        <v>141.31558705818316</v>
      </c>
      <c r="CE52" s="60">
        <f t="shared" si="40"/>
        <v>67.142010893211364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190.8</v>
      </c>
      <c r="CU52" s="18">
        <f>CT52*VLOOKUP('Données projet'!$B$13,Paramètres!$A$1:$I$89,3,0)*VLOOKUP('Données projet'!$B$13,Paramètres!$A$1:$I$89,5,0)</f>
        <v>166.68288000000004</v>
      </c>
      <c r="CV52" s="14">
        <f t="shared" si="41"/>
        <v>42.346249176975</v>
      </c>
      <c r="CW52" s="22">
        <f t="shared" si="13"/>
        <v>364.05906664989817</v>
      </c>
      <c r="CX52" s="60">
        <f t="shared" si="14"/>
        <v>657.39239998323148</v>
      </c>
      <c r="CY52" s="60">
        <f ca="1">AVERAGE(OFFSET($CX$3,0,0,'Données projet'!$E$13+1,1))-AVERAGE(OFFSET($H$3,0,0,'Données projet'!$E$13+1,1))</f>
        <v>281.8501448773884</v>
      </c>
      <c r="CZ52" s="60">
        <f t="shared" si="42"/>
        <v>161.7340631691518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190.8</v>
      </c>
      <c r="DP52" s="18">
        <f>DO52*VLOOKUP('Données projet'!$B$14,Paramètres!$A$1:$I$89,3,0)*VLOOKUP('Données projet'!$B$14,Paramètres!$A$1:$I$89,5,0)</f>
        <v>172.63584</v>
      </c>
      <c r="DQ52" s="14">
        <f t="shared" si="43"/>
        <v>43.679834395222109</v>
      </c>
      <c r="DR52" s="22">
        <f t="shared" si="16"/>
        <v>376.74979957167847</v>
      </c>
      <c r="DS52" s="60">
        <f t="shared" si="17"/>
        <v>670.08313290501178</v>
      </c>
      <c r="DT52" s="60">
        <f ca="1">AVERAGE(OFFSET($DS$3,0,0,'Données projet'!$E$14+1,1))-AVERAGE(OFFSET($H$3,0,0,'Données projet'!$E$14+1,1))</f>
        <v>295.19398489974265</v>
      </c>
      <c r="DU52" s="60">
        <f t="shared" si="44"/>
        <v>168.80998104712489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4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201.786</v>
      </c>
      <c r="P53" s="14">
        <f t="shared" si="33"/>
        <v>50.136473146268756</v>
      </c>
      <c r="Q53" s="22">
        <f t="shared" si="53"/>
        <v>438.76497406308476</v>
      </c>
      <c r="R53" s="60">
        <f t="shared" si="0"/>
        <v>732.09830739641802</v>
      </c>
      <c r="S53" s="60">
        <f ca="1">AVERAGE(OFFSET($R$3,0,0,'Données projet'!$E$9+1,1))-AVERAGE(OFFSET($H$3,0,0,'Données projet'!$E$9+1,1))</f>
        <v>341.82426415364569</v>
      </c>
      <c r="T53" s="60">
        <f t="shared" si="34"/>
        <v>193.53376539568887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11.642307692307696</v>
      </c>
      <c r="AI53" s="14">
        <f>IF('Données projet'!$A$62&gt;35,AI52+AH53-AQ52,IF(A53&lt;'Données projet'!$A$62,$AF$205^A53,IF(A53='Données projet'!$A$62,'Données projet'!$B$62,AI52+AH53-AQ52)))</f>
        <v>308.53076923076901</v>
      </c>
      <c r="AJ53" s="14">
        <f>AI53*VLOOKUP('Données projet'!$B$10,Paramètres!$A$1:$I$89,3,0)*VLOOKUP('Données projet'!$B$10,Paramètres!$A$1:$I$89,5,0)</f>
        <v>184.5013999999999</v>
      </c>
      <c r="AK53" s="14">
        <f t="shared" si="35"/>
        <v>46.322220516606542</v>
      </c>
      <c r="AL53" s="22">
        <f t="shared" si="4"/>
        <v>402.01780573308952</v>
      </c>
      <c r="AM53" s="60">
        <f t="shared" si="5"/>
        <v>695.35113906642277</v>
      </c>
      <c r="AN53" s="60">
        <f ca="1">AVERAGE(OFFSET($AM$3,0,0,'Données projet'!$E$10+1,1))-AVERAGE(OFFSET($H$3,0,0,'Données projet'!$E$10+1,1))</f>
        <v>189.8516574130017</v>
      </c>
      <c r="AO53" s="60">
        <f t="shared" si="36"/>
        <v>191.91100863555891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9.5635894218827957</v>
      </c>
      <c r="AV53" s="23">
        <f>EXP(-LN(2)/25)*AV52+(1-EXP(-LN(2)/25))/(LN(2)/25)*Calculateur!AQ53*Calculateur!AS53*VLOOKUP('Données projet'!$B$10,Paramètres!$A$1:$I$89,3,0)*0.475*44/12</f>
        <v>10.370411886739591</v>
      </c>
      <c r="AW53" s="23">
        <f>EXP(-LN(2)/2)*AW52+(1-EXP(-LN(2)/2))/(LN(2)/2)*AQ53*AT53*VLOOKUP('Données projet'!$B$10,Paramètres!$A$1:$I$89,3,0)*0.475*44/12</f>
        <v>5.9022159471921812E-3</v>
      </c>
      <c r="AX53" s="23">
        <f t="shared" si="6"/>
        <v>19.939903524569576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191.02564102564102</v>
      </c>
      <c r="BB53" s="13">
        <f>VLOOKUP(A53,'Données projet'!$A$87:$I$107,9,0)</f>
        <v>6.025641025641022</v>
      </c>
      <c r="BC53" s="13">
        <f t="array" ref="BC53">INDEX(BB:BB,MIN(IF(ISNUMBER(BB53:BB249),ROW(BB53:BB249),"")))</f>
        <v>6.025641025641022</v>
      </c>
      <c r="BD53" s="13">
        <f>IF('Données projet'!$A$88&gt;35,BD52+BC53-BL52,IF(A53&lt;'Données projet'!$A$88,$BA$205^A53,IF(A53='Données projet'!$A$88,'Données projet'!$B$88,BD52+BC53-BL52)))</f>
        <v>191.02564102564094</v>
      </c>
      <c r="BE53" s="14">
        <f>BD53*VLOOKUP('Données projet'!$B$11,Paramètres!$A$1:$I$89,3,0)*VLOOKUP('Données projet'!$B$11,Paramètres!$A$1:$I$89,5,0)</f>
        <v>199.65999999999991</v>
      </c>
      <c r="BF53" s="14">
        <f t="shared" si="37"/>
        <v>49.669438618512402</v>
      </c>
      <c r="BG53" s="22">
        <f t="shared" si="7"/>
        <v>434.24877226057561</v>
      </c>
      <c r="BH53" s="60">
        <f t="shared" si="8"/>
        <v>727.58210559390886</v>
      </c>
      <c r="BI53" s="60">
        <f ca="1">AVERAGE(OFFSET($BH$3,0,0,'Données projet'!$E$11+1,1))-AVERAGE(OFFSET($H$3,0,0,'Données projet'!$E$11+1,1))</f>
        <v>373.7520752235389</v>
      </c>
      <c r="BJ53" s="60">
        <f t="shared" si="38"/>
        <v>205.19966474305761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10.402930402930403</v>
      </c>
      <c r="BY53" s="13">
        <f>IF('Données projet'!$A$114&gt;35,BY52+BX53-CG52,IF(A53&lt;'Données projet'!$A$114,$BV$205^A53,IF(A53='Données projet'!$A$114,'Données projet'!$B$114,BY52+BX53-CG52)))</f>
        <v>311.13553113553104</v>
      </c>
      <c r="BZ53" s="14">
        <f>BY53*VLOOKUP('Données projet'!$B$12,Paramètres!$A$1:$I$89,3,0)*VLOOKUP('Données projet'!$B$12,Paramètres!$A$1:$I$89,5,0)</f>
        <v>145.61142857142852</v>
      </c>
      <c r="CA53" s="14">
        <f t="shared" si="39"/>
        <v>37.579550035203404</v>
      </c>
      <c r="CB53" s="22">
        <f t="shared" si="10"/>
        <v>319.05762107321726</v>
      </c>
      <c r="CC53" s="60">
        <f t="shared" si="11"/>
        <v>612.39095440655058</v>
      </c>
      <c r="CD53" s="60">
        <f ca="1">AVERAGE(OFFSET($CC$3,0,0,'Données projet'!$E$12+1,1))-AVERAGE(OFFSET($H$3,0,0,'Données projet'!$E$12+1,1))</f>
        <v>141.31558705818316</v>
      </c>
      <c r="CE53" s="60">
        <f t="shared" si="40"/>
        <v>67.142010893211364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199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199</v>
      </c>
      <c r="CU53" s="18">
        <f>CT53*VLOOKUP('Données projet'!$B$13,Paramètres!$A$1:$I$89,3,0)*VLOOKUP('Données projet'!$B$13,Paramètres!$A$1:$I$89,5,0)</f>
        <v>173.84640000000002</v>
      </c>
      <c r="CV53" s="14">
        <f t="shared" si="41"/>
        <v>43.950364270382295</v>
      </c>
      <c r="CW53" s="22">
        <f t="shared" si="13"/>
        <v>379.32936443758257</v>
      </c>
      <c r="CX53" s="60">
        <f t="shared" si="14"/>
        <v>672.66269777091588</v>
      </c>
      <c r="CY53" s="60">
        <f ca="1">AVERAGE(OFFSET($CX$3,0,0,'Données projet'!$E$13+1,1))-AVERAGE(OFFSET($H$3,0,0,'Données projet'!$E$13+1,1))</f>
        <v>281.8501448773884</v>
      </c>
      <c r="CZ53" s="60">
        <f t="shared" si="42"/>
        <v>161.7340631691518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199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199</v>
      </c>
      <c r="DP53" s="18">
        <f>DO53*VLOOKUP('Données projet'!$B$14,Paramètres!$A$1:$I$89,3,0)*VLOOKUP('Données projet'!$B$14,Paramètres!$A$1:$I$89,5,0)</f>
        <v>180.05519999999999</v>
      </c>
      <c r="DQ53" s="14">
        <f t="shared" si="43"/>
        <v>45.334466930398364</v>
      </c>
      <c r="DR53" s="22">
        <f t="shared" si="16"/>
        <v>392.55366990377706</v>
      </c>
      <c r="DS53" s="60">
        <f t="shared" si="17"/>
        <v>685.88700323711032</v>
      </c>
      <c r="DT53" s="60">
        <f ca="1">AVERAGE(OFFSET($DS$3,0,0,'Données projet'!$E$14+1,1))-AVERAGE(OFFSET($H$3,0,0,'Données projet'!$E$14+1,1))</f>
        <v>295.19398489974265</v>
      </c>
      <c r="DU53" s="60">
        <f t="shared" si="44"/>
        <v>168.80998104712489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42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4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167.31</v>
      </c>
      <c r="P54" s="14">
        <f t="shared" si="33"/>
        <v>42.486994942347515</v>
      </c>
      <c r="Q54" s="22">
        <f t="shared" si="53"/>
        <v>365.39643285792187</v>
      </c>
      <c r="R54" s="60">
        <f t="shared" si="0"/>
        <v>658.72976619125518</v>
      </c>
      <c r="S54" s="60">
        <f ca="1">AVERAGE(OFFSET($R$3,0,0,'Données projet'!$E$9+1,1))-AVERAGE(OFFSET($H$3,0,0,'Données projet'!$E$9+1,1))</f>
        <v>341.82426415364569</v>
      </c>
      <c r="T54" s="60">
        <f t="shared" si="34"/>
        <v>193.53376539568887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11.642307692307696</v>
      </c>
      <c r="AI54" s="14">
        <f>IF('Données projet'!$A$62&gt;35,AI53+AH54-AQ53,IF(A54&lt;'Données projet'!$A$62,$AF$205^A54,IF(A54='Données projet'!$A$62,'Données projet'!$B$62,AI53+AH54-AQ53)))</f>
        <v>320.17307692307668</v>
      </c>
      <c r="AJ54" s="14">
        <f>AI54*VLOOKUP('Données projet'!$B$10,Paramètres!$A$1:$I$89,3,0)*VLOOKUP('Données projet'!$B$10,Paramètres!$A$1:$I$89,5,0)</f>
        <v>191.46349999999987</v>
      </c>
      <c r="AK54" s="14">
        <f t="shared" si="35"/>
        <v>47.863367286908087</v>
      </c>
      <c r="AL54" s="22">
        <f t="shared" si="4"/>
        <v>416.82762719136463</v>
      </c>
      <c r="AM54" s="60">
        <f t="shared" si="5"/>
        <v>710.16096052469788</v>
      </c>
      <c r="AN54" s="60">
        <f ca="1">AVERAGE(OFFSET($AM$3,0,0,'Données projet'!$E$10+1,1))-AVERAGE(OFFSET($H$3,0,0,'Données projet'!$E$10+1,1))</f>
        <v>189.8516574130017</v>
      </c>
      <c r="AO54" s="60">
        <f t="shared" si="36"/>
        <v>191.91100863555891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9.3760532665332388</v>
      </c>
      <c r="AV54" s="23">
        <f>EXP(-LN(2)/25)*AV53+(1-EXP(-LN(2)/25))/(LN(2)/25)*Calculateur!AQ54*Calculateur!AS54*VLOOKUP('Données projet'!$B$10,Paramètres!$A$1:$I$89,3,0)*0.475*44/12</f>
        <v>10.086832428340438</v>
      </c>
      <c r="AW54" s="23">
        <f>EXP(-LN(2)/2)*AW53+(1-EXP(-LN(2)/2))/(LN(2)/2)*AQ54*AT54*VLOOKUP('Données projet'!$B$10,Paramètres!$A$1:$I$89,3,0)*0.475*44/12</f>
        <v>4.173496920286973E-3</v>
      </c>
      <c r="AX54" s="23">
        <f t="shared" si="6"/>
        <v>19.467059191793965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5.6410256410256405</v>
      </c>
      <c r="BD54" s="13">
        <f>IF('Données projet'!$A$88&gt;35,BD53+BC54-BL53,IF(A54&lt;'Données projet'!$A$88,$BA$205^A54,IF(A54='Données projet'!$A$88,'Données projet'!$B$88,BD53+BC54-BL53)))</f>
        <v>196.66666666666657</v>
      </c>
      <c r="BE54" s="14">
        <f>BD54*VLOOKUP('Données projet'!$B$11,Paramètres!$A$1:$I$89,3,0)*VLOOKUP('Données projet'!$B$11,Paramètres!$A$1:$I$89,5,0)</f>
        <v>205.55599999999993</v>
      </c>
      <c r="BF54" s="14">
        <f t="shared" si="37"/>
        <v>50.963254302233317</v>
      </c>
      <c r="BG54" s="22">
        <f t="shared" si="7"/>
        <v>446.77103457638958</v>
      </c>
      <c r="BH54" s="60">
        <f t="shared" si="8"/>
        <v>740.1043679097229</v>
      </c>
      <c r="BI54" s="60">
        <f ca="1">AVERAGE(OFFSET($BH$3,0,0,'Données projet'!$E$11+1,1))-AVERAGE(OFFSET($H$3,0,0,'Données projet'!$E$11+1,1))</f>
        <v>373.7520752235389</v>
      </c>
      <c r="BJ54" s="60">
        <f t="shared" si="38"/>
        <v>205.19966474305761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>
        <f>VLOOKUP(A54,'Données projet'!$A$113:$I$133,2,0)</f>
        <v>321.53846153846155</v>
      </c>
      <c r="BW54" s="13">
        <f>VLOOKUP(A54,'Données projet'!$A$113:$I$133,9,0)</f>
        <v>10.402930402930403</v>
      </c>
      <c r="BX54" s="13">
        <f t="array" ref="BX54">INDEX(BW:BW,MIN(IF(ISNUMBER(BW54:BW250),ROW(BW54:BW250),"")))</f>
        <v>10.402930402930403</v>
      </c>
      <c r="BY54" s="13">
        <f>IF('Données projet'!$A$114&gt;35,BY53+BX54-CG53,IF(A54&lt;'Données projet'!$A$114,$BV$205^A54,IF(A54='Données projet'!$A$114,'Données projet'!$B$114,BY53+BX54-CG53)))</f>
        <v>321.53846153846143</v>
      </c>
      <c r="BZ54" s="14">
        <f>BY54*VLOOKUP('Données projet'!$B$12,Paramètres!$A$1:$I$89,3,0)*VLOOKUP('Données projet'!$B$12,Paramètres!$A$1:$I$89,5,0)</f>
        <v>150.47999999999996</v>
      </c>
      <c r="CA54" s="14">
        <f t="shared" si="39"/>
        <v>38.687647052039566</v>
      </c>
      <c r="CB54" s="22">
        <f t="shared" si="10"/>
        <v>329.46698528230218</v>
      </c>
      <c r="CC54" s="60">
        <f t="shared" si="11"/>
        <v>622.80031861563543</v>
      </c>
      <c r="CD54" s="60">
        <f ca="1">AVERAGE(OFFSET($CC$3,0,0,'Données projet'!$E$12+1,1))-AVERAGE(OFFSET($H$3,0,0,'Données projet'!$E$12+1,1))</f>
        <v>141.31558705818316</v>
      </c>
      <c r="CE54" s="60">
        <f t="shared" si="40"/>
        <v>67.142010893211364</v>
      </c>
      <c r="CF54" s="16">
        <f>IF(ISNA(VLOOKUP(A54,'Données projet'!$A$113:$I$133,3,0)),0,VLOOKUP(A54,'Données projet'!$A$113:$I$133,3,0))</f>
        <v>1</v>
      </c>
      <c r="CG54" s="16">
        <f>IF(ISNA(VLOOKUP(A54,'Données projet'!$A$113:$I$133,4,0)),0,VLOOKUP(A54,'Données projet'!$A$113:$I$133,4,0))</f>
        <v>100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165</v>
      </c>
      <c r="CU54" s="18">
        <f>CT54*VLOOKUP('Données projet'!$B$13,Paramètres!$A$1:$I$89,3,0)*VLOOKUP('Données projet'!$B$13,Paramètres!$A$1:$I$89,5,0)</f>
        <v>144.14400000000001</v>
      </c>
      <c r="CV54" s="14">
        <f t="shared" si="41"/>
        <v>37.244720006976252</v>
      </c>
      <c r="CW54" s="22">
        <f t="shared" si="13"/>
        <v>315.91868734548365</v>
      </c>
      <c r="CX54" s="60">
        <f t="shared" si="14"/>
        <v>609.25202067881696</v>
      </c>
      <c r="CY54" s="60">
        <f ca="1">AVERAGE(OFFSET($CX$3,0,0,'Données projet'!$E$13+1,1))-AVERAGE(OFFSET($H$3,0,0,'Données projet'!$E$13+1,1))</f>
        <v>281.8501448773884</v>
      </c>
      <c r="CZ54" s="60">
        <f t="shared" si="42"/>
        <v>161.7340631691518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165</v>
      </c>
      <c r="DP54" s="18">
        <f>DO54*VLOOKUP('Données projet'!$B$14,Paramètres!$A$1:$I$89,3,0)*VLOOKUP('Données projet'!$B$14,Paramètres!$A$1:$I$89,5,0)</f>
        <v>149.29199999999997</v>
      </c>
      <c r="DQ54" s="14">
        <f t="shared" si="43"/>
        <v>38.417645803815411</v>
      </c>
      <c r="DR54" s="22">
        <f t="shared" si="16"/>
        <v>326.9276331083118</v>
      </c>
      <c r="DS54" s="60">
        <f t="shared" si="17"/>
        <v>620.26096644164511</v>
      </c>
      <c r="DT54" s="60">
        <f ca="1">AVERAGE(OFFSET($DS$3,0,0,'Données projet'!$E$14+1,1))-AVERAGE(OFFSET($H$3,0,0,'Données projet'!$E$14+1,1))</f>
        <v>295.19398489974265</v>
      </c>
      <c r="DU54" s="60">
        <f t="shared" si="44"/>
        <v>168.80998104712489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4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175.422</v>
      </c>
      <c r="P55" s="14">
        <f t="shared" si="33"/>
        <v>44.302143412304737</v>
      </c>
      <c r="Q55" s="22">
        <f t="shared" si="53"/>
        <v>382.68621644309741</v>
      </c>
      <c r="R55" s="60">
        <f t="shared" si="0"/>
        <v>676.01954977643072</v>
      </c>
      <c r="S55" s="60">
        <f ca="1">AVERAGE(OFFSET($R$3,0,0,'Données projet'!$E$9+1,1))-AVERAGE(OFFSET($H$3,0,0,'Données projet'!$E$9+1,1))</f>
        <v>341.82426415364569</v>
      </c>
      <c r="T55" s="60">
        <f t="shared" si="34"/>
        <v>193.53376539568887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>
        <f>VLOOKUP(A55,'Données projet'!$A$61:$I$81,2,0)</f>
        <v>331.81538461538463</v>
      </c>
      <c r="AG55" s="13">
        <f>VLOOKUP(A55,'Données projet'!$A$61:$I$81,9,0)</f>
        <v>11.642307692307696</v>
      </c>
      <c r="AH55" s="13">
        <f t="array" ref="AH55">INDEX(AG:AG,MIN(IF(ISNUMBER(AG55:AG251),ROW(AG55:AG251),"")))</f>
        <v>11.642307692307696</v>
      </c>
      <c r="AI55" s="14">
        <f>IF('Données projet'!$A$62&gt;35,AI54+AH55-AQ54,IF(A55&lt;'Données projet'!$A$62,$AF$205^A55,IF(A55='Données projet'!$A$62,'Données projet'!$B$62,AI54+AH55-AQ54)))</f>
        <v>331.81538461538435</v>
      </c>
      <c r="AJ55" s="14">
        <f>AI55*VLOOKUP('Données projet'!$B$10,Paramètres!$A$1:$I$89,3,0)*VLOOKUP('Données projet'!$B$10,Paramètres!$A$1:$I$89,5,0)</f>
        <v>198.42559999999986</v>
      </c>
      <c r="AK55" s="14">
        <f t="shared" si="35"/>
        <v>49.398003268862659</v>
      </c>
      <c r="AL55" s="22">
        <f t="shared" si="4"/>
        <v>431.62610902660225</v>
      </c>
      <c r="AM55" s="60">
        <f t="shared" si="5"/>
        <v>724.95944235993557</v>
      </c>
      <c r="AN55" s="60">
        <f ca="1">AVERAGE(OFFSET($AM$3,0,0,'Données projet'!$E$10+1,1))-AVERAGE(OFFSET($H$3,0,0,'Données projet'!$E$10+1,1))</f>
        <v>189.8516574130017</v>
      </c>
      <c r="AO55" s="60">
        <f t="shared" si="36"/>
        <v>191.91100863555891</v>
      </c>
      <c r="AP55" s="16">
        <f>IF(ISNA(VLOOKUP(A55,'Données projet'!$A$61:$I$81,3,0)),0,VLOOKUP(A55,'Données projet'!$A$61:$I$81,3,0))</f>
        <v>6</v>
      </c>
      <c r="AQ55" s="16">
        <f>IF(ISNA(VLOOKUP(A55,'Données projet'!$A$61:$I$81,4,0)),0,VLOOKUP(A55,'Données projet'!$A$61:$I$81,4,0))</f>
        <v>61.784615384615378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9.1921945808043279</v>
      </c>
      <c r="AV55" s="23">
        <f>EXP(-LN(2)/25)*AV54+(1-EXP(-LN(2)/25))/(LN(2)/25)*Calculateur!AQ55*Calculateur!AS55*VLOOKUP('Données projet'!$B$10,Paramètres!$A$1:$I$89,3,0)*0.475*44/12</f>
        <v>9.8110074651440051</v>
      </c>
      <c r="AW55" s="23">
        <f>EXP(-LN(2)/2)*AW54+(1-EXP(-LN(2)/2))/(LN(2)/2)*AQ55*AT55*VLOOKUP('Données projet'!$B$10,Paramètres!$A$1:$I$89,3,0)*0.475*44/12</f>
        <v>2.9511079735960906E-3</v>
      </c>
      <c r="AX55" s="23">
        <f t="shared" si="6"/>
        <v>19.006153153921932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5.6410256410256405</v>
      </c>
      <c r="BD55" s="13">
        <f>IF('Données projet'!$A$88&gt;35,BD54+BC55-BL54,IF(A55&lt;'Données projet'!$A$88,$BA$205^A55,IF(A55='Données projet'!$A$88,'Données projet'!$B$88,BD54+BC55-BL54)))</f>
        <v>202.30769230769221</v>
      </c>
      <c r="BE55" s="14">
        <f>BD55*VLOOKUP('Données projet'!$B$11,Paramètres!$A$1:$I$89,3,0)*VLOOKUP('Données projet'!$B$11,Paramètres!$A$1:$I$89,5,0)</f>
        <v>211.45199999999994</v>
      </c>
      <c r="BF55" s="14">
        <f t="shared" si="37"/>
        <v>52.25275687287342</v>
      </c>
      <c r="BG55" s="22">
        <f t="shared" si="7"/>
        <v>459.28578488692114</v>
      </c>
      <c r="BH55" s="60">
        <f t="shared" si="8"/>
        <v>752.61911822025445</v>
      </c>
      <c r="BI55" s="60">
        <f ca="1">AVERAGE(OFFSET($BH$3,0,0,'Données projet'!$E$11+1,1))-AVERAGE(OFFSET($H$3,0,0,'Données projet'!$E$11+1,1))</f>
        <v>373.7520752235389</v>
      </c>
      <c r="BJ55" s="60">
        <f t="shared" si="38"/>
        <v>205.19966474305761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10.769230769230768</v>
      </c>
      <c r="BY55" s="13">
        <f>IF('Données projet'!$A$114&gt;35,BY54+BX55-CG54,IF(A55&lt;'Données projet'!$A$114,$BV$205^A55,IF(A55='Données projet'!$A$114,'Données projet'!$B$114,BY54+BX55-CG54)))</f>
        <v>232.30769230769221</v>
      </c>
      <c r="BZ55" s="14">
        <f>BY55*VLOOKUP('Données projet'!$B$12,Paramètres!$A$1:$I$89,3,0)*VLOOKUP('Données projet'!$B$12,Paramètres!$A$1:$I$89,5,0)</f>
        <v>108.71999999999996</v>
      </c>
      <c r="CA55" s="14">
        <f t="shared" si="39"/>
        <v>29.029201459451464</v>
      </c>
      <c r="CB55" s="22">
        <f t="shared" si="10"/>
        <v>239.91319254187792</v>
      </c>
      <c r="CC55" s="60">
        <f t="shared" si="11"/>
        <v>533.2465258752112</v>
      </c>
      <c r="CD55" s="60">
        <f ca="1">AVERAGE(OFFSET($CC$3,0,0,'Données projet'!$E$12+1,1))-AVERAGE(OFFSET($H$3,0,0,'Données projet'!$E$12+1,1))</f>
        <v>141.31558705818316</v>
      </c>
      <c r="CE55" s="60">
        <f t="shared" si="40"/>
        <v>67.142010893211364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173</v>
      </c>
      <c r="CU55" s="18">
        <f>CT55*VLOOKUP('Données projet'!$B$13,Paramètres!$A$1:$I$89,3,0)*VLOOKUP('Données projet'!$B$13,Paramètres!$A$1:$I$89,5,0)</f>
        <v>151.13280000000003</v>
      </c>
      <c r="CV55" s="14">
        <f t="shared" si="41"/>
        <v>38.835905653934425</v>
      </c>
      <c r="CW55" s="22">
        <f t="shared" si="13"/>
        <v>330.86216234726913</v>
      </c>
      <c r="CX55" s="60">
        <f t="shared" si="14"/>
        <v>624.19549568060245</v>
      </c>
      <c r="CY55" s="60">
        <f ca="1">AVERAGE(OFFSET($CX$3,0,0,'Données projet'!$E$13+1,1))-AVERAGE(OFFSET($H$3,0,0,'Données projet'!$E$13+1,1))</f>
        <v>281.8501448773884</v>
      </c>
      <c r="CZ55" s="60">
        <f t="shared" si="42"/>
        <v>161.7340631691518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173</v>
      </c>
      <c r="DP55" s="18">
        <f>DO55*VLOOKUP('Données projet'!$B$14,Paramètres!$A$1:$I$89,3,0)*VLOOKUP('Données projet'!$B$14,Paramètres!$A$1:$I$89,5,0)</f>
        <v>156.53039999999999</v>
      </c>
      <c r="DQ55" s="14">
        <f t="shared" si="43"/>
        <v>40.058941713182037</v>
      </c>
      <c r="DR55" s="22">
        <f t="shared" si="16"/>
        <v>342.393103483792</v>
      </c>
      <c r="DS55" s="60">
        <f t="shared" si="17"/>
        <v>635.72643681712532</v>
      </c>
      <c r="DT55" s="60">
        <f ca="1">AVERAGE(OFFSET($DS$3,0,0,'Données projet'!$E$14+1,1))-AVERAGE(OFFSET($H$3,0,0,'Données projet'!$E$14+1,1))</f>
        <v>295.19398489974265</v>
      </c>
      <c r="DU55" s="60">
        <f t="shared" si="44"/>
        <v>168.80998104712489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4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183.53400000000002</v>
      </c>
      <c r="P56" s="14">
        <f t="shared" si="33"/>
        <v>46.107544136839593</v>
      </c>
      <c r="Q56" s="22">
        <f t="shared" si="53"/>
        <v>399.95902270499568</v>
      </c>
      <c r="R56" s="60">
        <f t="shared" si="0"/>
        <v>693.29235603832899</v>
      </c>
      <c r="S56" s="60">
        <f ca="1">AVERAGE(OFFSET($R$3,0,0,'Données projet'!$E$9+1,1))-AVERAGE(OFFSET($H$3,0,0,'Données projet'!$E$9+1,1))</f>
        <v>341.82426415364569</v>
      </c>
      <c r="T56" s="60">
        <f t="shared" si="34"/>
        <v>193.53376539568887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10.433653846153845</v>
      </c>
      <c r="AI56" s="14">
        <f>IF('Données projet'!$A$62&gt;35,AI55+AH56-AQ55,IF(A56&lt;'Données projet'!$A$62,$AF$205^A56,IF(A56='Données projet'!$A$62,'Données projet'!$B$62,AI55+AH56-AQ55)))</f>
        <v>280.4644230769228</v>
      </c>
      <c r="AJ56" s="14">
        <f>AI56*VLOOKUP('Données projet'!$B$10,Paramètres!$A$1:$I$89,3,0)*VLOOKUP('Données projet'!$B$10,Paramètres!$A$1:$I$89,5,0)</f>
        <v>167.71772499999983</v>
      </c>
      <c r="AK56" s="14">
        <f t="shared" si="35"/>
        <v>42.578468510426148</v>
      </c>
      <c r="AL56" s="22">
        <f t="shared" si="4"/>
        <v>366.26587036399184</v>
      </c>
      <c r="AM56" s="60">
        <f t="shared" si="5"/>
        <v>659.59920369732515</v>
      </c>
      <c r="AN56" s="60">
        <f ca="1">AVERAGE(OFFSET($AM$3,0,0,'Données projet'!$E$10+1,1))-AVERAGE(OFFSET($H$3,0,0,'Données projet'!$E$10+1,1))</f>
        <v>189.8516574130017</v>
      </c>
      <c r="AO56" s="60">
        <f t="shared" si="36"/>
        <v>191.91100863555891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9.0119412517598345</v>
      </c>
      <c r="AV56" s="23">
        <f>EXP(-LN(2)/25)*AV55+(1-EXP(-LN(2)/25))/(LN(2)/25)*Calculateur!AQ56*Calculateur!AS56*VLOOKUP('Données projet'!$B$10,Paramètres!$A$1:$I$89,3,0)*0.475*44/12</f>
        <v>9.5427249500711824</v>
      </c>
      <c r="AW56" s="23">
        <f>EXP(-LN(2)/2)*AW55+(1-EXP(-LN(2)/2))/(LN(2)/2)*AQ56*AT56*VLOOKUP('Données projet'!$B$10,Paramètres!$A$1:$I$89,3,0)*0.475*44/12</f>
        <v>2.0867484601434865E-3</v>
      </c>
      <c r="AX56" s="23">
        <f t="shared" si="6"/>
        <v>18.556752950291163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5.6410256410256405</v>
      </c>
      <c r="BD56" s="13">
        <f>IF('Données projet'!$A$88&gt;35,BD55+BC56-BL55,IF(A56&lt;'Données projet'!$A$88,$BA$205^A56,IF(A56='Données projet'!$A$88,'Données projet'!$B$88,BD55+BC56-BL55)))</f>
        <v>207.94871794871784</v>
      </c>
      <c r="BE56" s="14">
        <f>BD56*VLOOKUP('Données projet'!$B$11,Paramètres!$A$1:$I$89,3,0)*VLOOKUP('Données projet'!$B$11,Paramètres!$A$1:$I$89,5,0)</f>
        <v>217.34799999999993</v>
      </c>
      <c r="BF56" s="14">
        <f t="shared" si="37"/>
        <v>53.538080410982211</v>
      </c>
      <c r="BG56" s="22">
        <f t="shared" si="7"/>
        <v>471.7932567157938</v>
      </c>
      <c r="BH56" s="60">
        <f t="shared" si="8"/>
        <v>765.12659004912712</v>
      </c>
      <c r="BI56" s="60">
        <f ca="1">AVERAGE(OFFSET($BH$3,0,0,'Données projet'!$E$11+1,1))-AVERAGE(OFFSET($H$3,0,0,'Données projet'!$E$11+1,1))</f>
        <v>373.7520752235389</v>
      </c>
      <c r="BJ56" s="60">
        <f t="shared" si="38"/>
        <v>205.19966474305761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10.769230769230768</v>
      </c>
      <c r="BY56" s="13">
        <f>IF('Données projet'!$A$114&gt;35,BY55+BX56-CG55,IF(A56&lt;'Données projet'!$A$114,$BV$205^A56,IF(A56='Données projet'!$A$114,'Données projet'!$B$114,BY55+BX56-CG55)))</f>
        <v>243.07692307692298</v>
      </c>
      <c r="BZ56" s="14">
        <f>BY56*VLOOKUP('Données projet'!$B$12,Paramètres!$A$1:$I$89,3,0)*VLOOKUP('Données projet'!$B$12,Paramètres!$A$1:$I$89,5,0)</f>
        <v>113.75999999999995</v>
      </c>
      <c r="CA56" s="14">
        <f t="shared" si="39"/>
        <v>30.215129555931622</v>
      </c>
      <c r="CB56" s="22">
        <f t="shared" si="10"/>
        <v>250.7566839765808</v>
      </c>
      <c r="CC56" s="60">
        <f t="shared" si="11"/>
        <v>544.09001730991417</v>
      </c>
      <c r="CD56" s="60">
        <f ca="1">AVERAGE(OFFSET($CC$3,0,0,'Données projet'!$E$12+1,1))-AVERAGE(OFFSET($H$3,0,0,'Données projet'!$E$12+1,1))</f>
        <v>141.31558705818316</v>
      </c>
      <c r="CE56" s="60">
        <f t="shared" si="40"/>
        <v>67.142010893211364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181</v>
      </c>
      <c r="CU56" s="18">
        <f>CT56*VLOOKUP('Données projet'!$B$13,Paramètres!$A$1:$I$89,3,0)*VLOOKUP('Données projet'!$B$13,Paramètres!$A$1:$I$89,5,0)</f>
        <v>158.12160000000003</v>
      </c>
      <c r="CV56" s="14">
        <f t="shared" si="41"/>
        <v>40.418546284954211</v>
      </c>
      <c r="CW56" s="22">
        <f t="shared" si="13"/>
        <v>345.79075477962857</v>
      </c>
      <c r="CX56" s="60">
        <f t="shared" si="14"/>
        <v>639.12408811296189</v>
      </c>
      <c r="CY56" s="60">
        <f ca="1">AVERAGE(OFFSET($CX$3,0,0,'Données projet'!$E$13+1,1))-AVERAGE(OFFSET($H$3,0,0,'Données projet'!$E$13+1,1))</f>
        <v>281.8501448773884</v>
      </c>
      <c r="CZ56" s="60">
        <f t="shared" si="42"/>
        <v>161.7340631691518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181</v>
      </c>
      <c r="DP56" s="18">
        <f>DO56*VLOOKUP('Données projet'!$B$14,Paramètres!$A$1:$I$89,3,0)*VLOOKUP('Données projet'!$B$14,Paramètres!$A$1:$I$89,5,0)</f>
        <v>163.7688</v>
      </c>
      <c r="DQ56" s="14">
        <f t="shared" si="43"/>
        <v>41.691423503509803</v>
      </c>
      <c r="DR56" s="22">
        <f t="shared" si="16"/>
        <v>357.84322260194625</v>
      </c>
      <c r="DS56" s="60">
        <f t="shared" si="17"/>
        <v>651.17655593527957</v>
      </c>
      <c r="DT56" s="60">
        <f ca="1">AVERAGE(OFFSET($DS$3,0,0,'Données projet'!$E$14+1,1))-AVERAGE(OFFSET($H$3,0,0,'Données projet'!$E$14+1,1))</f>
        <v>295.19398489974265</v>
      </c>
      <c r="DU56" s="60">
        <f t="shared" si="44"/>
        <v>168.80998104712489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4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191.64600000000002</v>
      </c>
      <c r="P57" s="14">
        <f t="shared" si="33"/>
        <v>47.903677189291635</v>
      </c>
      <c r="Q57" s="22">
        <f t="shared" si="53"/>
        <v>417.21568777134962</v>
      </c>
      <c r="R57" s="60">
        <f t="shared" si="0"/>
        <v>710.54902110468288</v>
      </c>
      <c r="S57" s="60">
        <f ca="1">AVERAGE(OFFSET($R$3,0,0,'Données projet'!$E$9+1,1))-AVERAGE(OFFSET($H$3,0,0,'Données projet'!$E$9+1,1))</f>
        <v>341.82426415364569</v>
      </c>
      <c r="T57" s="60">
        <f t="shared" si="34"/>
        <v>193.53376539568887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10.433653846153845</v>
      </c>
      <c r="AI57" s="14">
        <f>IF('Données projet'!$A$62&gt;35,AI56+AH57-AQ56,IF(A57&lt;'Données projet'!$A$62,$AF$205^A57,IF(A57='Données projet'!$A$62,'Données projet'!$B$62,AI56+AH57-AQ56)))</f>
        <v>290.89807692307664</v>
      </c>
      <c r="AJ57" s="14">
        <f>AI57*VLOOKUP('Données projet'!$B$10,Paramètres!$A$1:$I$89,3,0)*VLOOKUP('Données projet'!$B$10,Paramètres!$A$1:$I$89,5,0)</f>
        <v>173.95704999999984</v>
      </c>
      <c r="AK57" s="14">
        <f t="shared" si="35"/>
        <v>43.975080818549294</v>
      </c>
      <c r="AL57" s="22">
        <f t="shared" si="4"/>
        <v>379.56512784230637</v>
      </c>
      <c r="AM57" s="60">
        <f t="shared" si="5"/>
        <v>672.89846117563968</v>
      </c>
      <c r="AN57" s="60">
        <f ca="1">AVERAGE(OFFSET($AM$3,0,0,'Données projet'!$E$10+1,1))-AVERAGE(OFFSET($H$3,0,0,'Données projet'!$E$10+1,1))</f>
        <v>189.8516574130017</v>
      </c>
      <c r="AO57" s="60">
        <f t="shared" si="36"/>
        <v>191.91100863555891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8.8352225805542304</v>
      </c>
      <c r="AV57" s="23">
        <f>EXP(-LN(2)/25)*AV56+(1-EXP(-LN(2)/25))/(LN(2)/25)*Calculateur!AQ57*Calculateur!AS57*VLOOKUP('Données projet'!$B$10,Paramètres!$A$1:$I$89,3,0)*0.475*44/12</f>
        <v>9.2817786344813911</v>
      </c>
      <c r="AW57" s="23">
        <f>EXP(-LN(2)/2)*AW56+(1-EXP(-LN(2)/2))/(LN(2)/2)*AQ57*AT57*VLOOKUP('Données projet'!$B$10,Paramètres!$A$1:$I$89,3,0)*0.475*44/12</f>
        <v>1.4755539867980453E-3</v>
      </c>
      <c r="AX57" s="23">
        <f t="shared" si="6"/>
        <v>18.118476769022418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5.6410256410256405</v>
      </c>
      <c r="BD57" s="13">
        <f>IF('Données projet'!$A$88&gt;35,BD56+BC57-BL56,IF(A57&lt;'Données projet'!$A$88,$BA$205^A57,IF(A57='Données projet'!$A$88,'Données projet'!$B$88,BD56+BC57-BL56)))</f>
        <v>213.58974358974348</v>
      </c>
      <c r="BE57" s="14">
        <f>BD57*VLOOKUP('Données projet'!$B$11,Paramètres!$A$1:$I$89,3,0)*VLOOKUP('Données projet'!$B$11,Paramètres!$A$1:$I$89,5,0)</f>
        <v>223.24399999999989</v>
      </c>
      <c r="BF57" s="14">
        <f t="shared" si="37"/>
        <v>54.819351308623148</v>
      </c>
      <c r="BG57" s="22">
        <f t="shared" si="7"/>
        <v>484.2936701958518</v>
      </c>
      <c r="BH57" s="60">
        <f t="shared" si="8"/>
        <v>777.62700352918512</v>
      </c>
      <c r="BI57" s="60">
        <f ca="1">AVERAGE(OFFSET($BH$3,0,0,'Données projet'!$E$11+1,1))-AVERAGE(OFFSET($H$3,0,0,'Données projet'!$E$11+1,1))</f>
        <v>373.7520752235389</v>
      </c>
      <c r="BJ57" s="60">
        <f t="shared" si="38"/>
        <v>205.19966474305761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10.769230769230768</v>
      </c>
      <c r="BY57" s="13">
        <f>IF('Données projet'!$A$114&gt;35,BY56+BX57-CG56,IF(A57&lt;'Données projet'!$A$114,$BV$205^A57,IF(A57='Données projet'!$A$114,'Données projet'!$B$114,BY56+BX57-CG56)))</f>
        <v>253.84615384615375</v>
      </c>
      <c r="BZ57" s="14">
        <f>BY57*VLOOKUP('Données projet'!$B$12,Paramètres!$A$1:$I$89,3,0)*VLOOKUP('Données projet'!$B$12,Paramètres!$A$1:$I$89,5,0)</f>
        <v>118.79999999999995</v>
      </c>
      <c r="CA57" s="14">
        <f t="shared" si="39"/>
        <v>31.394955500632594</v>
      </c>
      <c r="CB57" s="22">
        <f t="shared" si="10"/>
        <v>261.58954749693504</v>
      </c>
      <c r="CC57" s="60">
        <f t="shared" si="11"/>
        <v>554.92288083026835</v>
      </c>
      <c r="CD57" s="60">
        <f ca="1">AVERAGE(OFFSET($CC$3,0,0,'Données projet'!$E$12+1,1))-AVERAGE(OFFSET($H$3,0,0,'Données projet'!$E$12+1,1))</f>
        <v>141.31558705818316</v>
      </c>
      <c r="CE57" s="60">
        <f t="shared" si="40"/>
        <v>67.142010893211364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189</v>
      </c>
      <c r="CU57" s="18">
        <f>CT57*VLOOKUP('Données projet'!$B$13,Paramètres!$A$1:$I$89,3,0)*VLOOKUP('Données projet'!$B$13,Paramètres!$A$1:$I$89,5,0)</f>
        <v>165.1104</v>
      </c>
      <c r="CV57" s="14">
        <f t="shared" si="41"/>
        <v>41.993062739333446</v>
      </c>
      <c r="CW57" s="22">
        <f t="shared" si="13"/>
        <v>360.70519760433905</v>
      </c>
      <c r="CX57" s="60">
        <f t="shared" si="14"/>
        <v>654.03853093767236</v>
      </c>
      <c r="CY57" s="60">
        <f ca="1">AVERAGE(OFFSET($CX$3,0,0,'Données projet'!$E$13+1,1))-AVERAGE(OFFSET($H$3,0,0,'Données projet'!$E$13+1,1))</f>
        <v>281.8501448773884</v>
      </c>
      <c r="CZ57" s="60">
        <f t="shared" si="42"/>
        <v>161.7340631691518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189</v>
      </c>
      <c r="DP57" s="18">
        <f>DO57*VLOOKUP('Données projet'!$B$14,Paramètres!$A$1:$I$89,3,0)*VLOOKUP('Données projet'!$B$14,Paramètres!$A$1:$I$89,5,0)</f>
        <v>171.00719999999998</v>
      </c>
      <c r="DQ57" s="14">
        <f t="shared" si="43"/>
        <v>43.315525267338089</v>
      </c>
      <c r="DR57" s="22">
        <f t="shared" si="16"/>
        <v>373.27874650728046</v>
      </c>
      <c r="DS57" s="60">
        <f t="shared" si="17"/>
        <v>666.61207984061377</v>
      </c>
      <c r="DT57" s="60">
        <f ca="1">AVERAGE(OFFSET($DS$3,0,0,'Données projet'!$E$14+1,1))-AVERAGE(OFFSET($H$3,0,0,'Données projet'!$E$14+1,1))</f>
        <v>295.19398489974265</v>
      </c>
      <c r="DU57" s="60">
        <f t="shared" si="44"/>
        <v>168.80998104712489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4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199.75800000000004</v>
      </c>
      <c r="P58" s="14">
        <f t="shared" si="33"/>
        <v>49.690979702964015</v>
      </c>
      <c r="Q58" s="22">
        <f t="shared" si="53"/>
        <v>434.45697298266236</v>
      </c>
      <c r="R58" s="60">
        <f t="shared" si="0"/>
        <v>727.79030631599562</v>
      </c>
      <c r="S58" s="60">
        <f ca="1">AVERAGE(OFFSET($R$3,0,0,'Données projet'!$E$9+1,1))-AVERAGE(OFFSET($H$3,0,0,'Données projet'!$E$9+1,1))</f>
        <v>341.82426415364569</v>
      </c>
      <c r="T58" s="60">
        <f t="shared" si="34"/>
        <v>193.53376539568887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10.433653846153845</v>
      </c>
      <c r="AI58" s="14">
        <f>IF('Données projet'!$A$62&gt;35,AI57+AH58-AQ57,IF(A58&lt;'Données projet'!$A$62,$AF$205^A58,IF(A58='Données projet'!$A$62,'Données projet'!$B$62,AI57+AH58-AQ57)))</f>
        <v>301.33173076923049</v>
      </c>
      <c r="AJ58" s="14">
        <f>AI58*VLOOKUP('Données projet'!$B$10,Paramètres!$A$1:$I$89,3,0)*VLOOKUP('Données projet'!$B$10,Paramètres!$A$1:$I$89,5,0)</f>
        <v>180.19637499999985</v>
      </c>
      <c r="AK58" s="14">
        <f t="shared" si="35"/>
        <v>45.365873213127998</v>
      </c>
      <c r="AL58" s="22">
        <f t="shared" si="4"/>
        <v>392.85424897119765</v>
      </c>
      <c r="AM58" s="60">
        <f t="shared" si="5"/>
        <v>686.18758230453091</v>
      </c>
      <c r="AN58" s="60">
        <f ca="1">AVERAGE(OFFSET($AM$3,0,0,'Données projet'!$E$10+1,1))-AVERAGE(OFFSET($H$3,0,0,'Données projet'!$E$10+1,1))</f>
        <v>189.8516574130017</v>
      </c>
      <c r="AO58" s="60">
        <f t="shared" si="36"/>
        <v>191.91100863555891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8.6619692547032212</v>
      </c>
      <c r="AV58" s="23">
        <f>EXP(-LN(2)/25)*AV57+(1-EXP(-LN(2)/25))/(LN(2)/25)*Calculateur!AQ58*Calculateur!AS58*VLOOKUP('Données projet'!$B$10,Paramètres!$A$1:$I$89,3,0)*0.475*44/12</f>
        <v>9.027967909613972</v>
      </c>
      <c r="AW58" s="23">
        <f>EXP(-LN(2)/2)*AW57+(1-EXP(-LN(2)/2))/(LN(2)/2)*AQ58*AT58*VLOOKUP('Données projet'!$B$10,Paramètres!$A$1:$I$89,3,0)*0.475*44/12</f>
        <v>1.0433742300717432E-3</v>
      </c>
      <c r="AX58" s="23">
        <f t="shared" si="6"/>
        <v>17.690980538547265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219.23076923076923</v>
      </c>
      <c r="BB58" s="13">
        <f>VLOOKUP(A58,'Données projet'!$A$87:$I$107,9,0)</f>
        <v>5.6410256410256405</v>
      </c>
      <c r="BC58" s="13">
        <f t="array" ref="BC58">INDEX(BB:BB,MIN(IF(ISNUMBER(BB58:BB254),ROW(BB58:BB254),"")))</f>
        <v>5.6410256410256405</v>
      </c>
      <c r="BD58" s="13">
        <f>IF('Données projet'!$A$88&gt;35,BD57+BC58-BL57,IF(A58&lt;'Données projet'!$A$88,$BA$205^A58,IF(A58='Données projet'!$A$88,'Données projet'!$B$88,BD57+BC58-BL57)))</f>
        <v>219.23076923076911</v>
      </c>
      <c r="BE58" s="14">
        <f>BD58*VLOOKUP('Données projet'!$B$11,Paramètres!$A$1:$I$89,3,0)*VLOOKUP('Données projet'!$B$11,Paramètres!$A$1:$I$89,5,0)</f>
        <v>229.13999999999987</v>
      </c>
      <c r="BF58" s="14">
        <f t="shared" si="37"/>
        <v>56.096688901506305</v>
      </c>
      <c r="BG58" s="22">
        <f t="shared" si="7"/>
        <v>496.78723317012327</v>
      </c>
      <c r="BH58" s="60">
        <f t="shared" si="8"/>
        <v>790.12056650345653</v>
      </c>
      <c r="BI58" s="60">
        <f ca="1">AVERAGE(OFFSET($BH$3,0,0,'Données projet'!$E$11+1,1))-AVERAGE(OFFSET($H$3,0,0,'Données projet'!$E$11+1,1))</f>
        <v>373.7520752235389</v>
      </c>
      <c r="BJ58" s="60">
        <f t="shared" si="38"/>
        <v>205.19966474305761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24.358974358974358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10.769230769230768</v>
      </c>
      <c r="BY58" s="13">
        <f>IF('Données projet'!$A$114&gt;35,BY57+BX58-CG57,IF(A58&lt;'Données projet'!$A$114,$BV$205^A58,IF(A58='Données projet'!$A$114,'Données projet'!$B$114,BY57+BX58-CG57)))</f>
        <v>264.61538461538453</v>
      </c>
      <c r="BZ58" s="14">
        <f>BY58*VLOOKUP('Données projet'!$B$12,Paramètres!$A$1:$I$89,3,0)*VLOOKUP('Données projet'!$B$12,Paramètres!$A$1:$I$89,5,0)</f>
        <v>123.83999999999995</v>
      </c>
      <c r="CA58" s="14">
        <f t="shared" si="39"/>
        <v>32.56896777038807</v>
      </c>
      <c r="CB58" s="22">
        <f t="shared" si="10"/>
        <v>272.4122855334258</v>
      </c>
      <c r="CC58" s="60">
        <f t="shared" si="11"/>
        <v>565.74561886675906</v>
      </c>
      <c r="CD58" s="60">
        <f ca="1">AVERAGE(OFFSET($CC$3,0,0,'Données projet'!$E$12+1,1))-AVERAGE(OFFSET($H$3,0,0,'Données projet'!$E$12+1,1))</f>
        <v>141.31558705818316</v>
      </c>
      <c r="CE58" s="60">
        <f t="shared" si="40"/>
        <v>67.142010893211364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197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197</v>
      </c>
      <c r="CU58" s="18">
        <f>CT58*VLOOKUP('Données projet'!$B$13,Paramètres!$A$1:$I$89,3,0)*VLOOKUP('Données projet'!$B$13,Paramètres!$A$1:$I$89,5,0)</f>
        <v>172.09920000000002</v>
      </c>
      <c r="CV58" s="14">
        <f t="shared" si="41"/>
        <v>43.559838214506989</v>
      </c>
      <c r="CW58" s="22">
        <f t="shared" si="13"/>
        <v>375.60615822359972</v>
      </c>
      <c r="CX58" s="60">
        <f t="shared" si="14"/>
        <v>668.93949155693304</v>
      </c>
      <c r="CY58" s="60">
        <f ca="1">AVERAGE(OFFSET($CX$3,0,0,'Données projet'!$E$13+1,1))-AVERAGE(OFFSET($H$3,0,0,'Données projet'!$E$13+1,1))</f>
        <v>281.8501448773884</v>
      </c>
      <c r="CZ58" s="60">
        <f t="shared" si="42"/>
        <v>161.7340631691518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197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197</v>
      </c>
      <c r="DP58" s="18">
        <f>DO58*VLOOKUP('Données projet'!$B$14,Paramètres!$A$1:$I$89,3,0)*VLOOKUP('Données projet'!$B$14,Paramètres!$A$1:$I$89,5,0)</f>
        <v>178.2456</v>
      </c>
      <c r="DQ58" s="14">
        <f t="shared" si="43"/>
        <v>44.931642269910427</v>
      </c>
      <c r="DR58" s="22">
        <f t="shared" si="16"/>
        <v>388.70036362009404</v>
      </c>
      <c r="DS58" s="60">
        <f t="shared" si="17"/>
        <v>682.03369695342735</v>
      </c>
      <c r="DT58" s="60">
        <f ca="1">AVERAGE(OFFSET($DS$3,0,0,'Données projet'!$E$14+1,1))-AVERAGE(OFFSET($H$3,0,0,'Données projet'!$E$14+1,1))</f>
        <v>295.19398489974265</v>
      </c>
      <c r="DU58" s="60">
        <f t="shared" si="44"/>
        <v>168.80998104712489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4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207.46440000000001</v>
      </c>
      <c r="P59" s="14">
        <f t="shared" si="33"/>
        <v>51.381102169014063</v>
      </c>
      <c r="Q59" s="22">
        <f t="shared" si="53"/>
        <v>450.82258294436616</v>
      </c>
      <c r="R59" s="60">
        <f t="shared" si="0"/>
        <v>744.15591627769948</v>
      </c>
      <c r="S59" s="60">
        <f ca="1">AVERAGE(OFFSET($R$3,0,0,'Données projet'!$E$9+1,1))-AVERAGE(OFFSET($H$3,0,0,'Données projet'!$E$9+1,1))</f>
        <v>341.82426415364569</v>
      </c>
      <c r="T59" s="60">
        <f t="shared" si="34"/>
        <v>193.53376539568887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10.433653846153845</v>
      </c>
      <c r="AI59" s="14">
        <f>IF('Données projet'!$A$62&gt;35,AI58+AH59-AQ58,IF(A59&lt;'Données projet'!$A$62,$AF$205^A59,IF(A59='Données projet'!$A$62,'Données projet'!$B$62,AI58+AH59-AQ58)))</f>
        <v>311.76538461538433</v>
      </c>
      <c r="AJ59" s="14">
        <f>AI59*VLOOKUP('Données projet'!$B$10,Paramètres!$A$1:$I$89,3,0)*VLOOKUP('Données projet'!$B$10,Paramètres!$A$1:$I$89,5,0)</f>
        <v>186.43569999999985</v>
      </c>
      <c r="AK59" s="14">
        <f t="shared" si="35"/>
        <v>46.751070304344353</v>
      </c>
      <c r="AL59" s="22">
        <f t="shared" si="4"/>
        <v>406.13362494673282</v>
      </c>
      <c r="AM59" s="60">
        <f t="shared" si="5"/>
        <v>699.46695828006614</v>
      </c>
      <c r="AN59" s="60">
        <f ca="1">AVERAGE(OFFSET($AM$3,0,0,'Données projet'!$E$10+1,1))-AVERAGE(OFFSET($H$3,0,0,'Données projet'!$E$10+1,1))</f>
        <v>189.8516574130017</v>
      </c>
      <c r="AO59" s="60">
        <f t="shared" si="36"/>
        <v>191.91100863555891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8.4921133208980564</v>
      </c>
      <c r="AV59" s="23">
        <f>EXP(-LN(2)/25)*AV58+(1-EXP(-LN(2)/25))/(LN(2)/25)*Calculateur!AQ59*Calculateur!AS59*VLOOKUP('Données projet'!$B$10,Paramètres!$A$1:$I$89,3,0)*0.475*44/12</f>
        <v>8.7810976523653785</v>
      </c>
      <c r="AW59" s="23">
        <f>EXP(-LN(2)/2)*AW58+(1-EXP(-LN(2)/2))/(LN(2)/2)*AQ59*AT59*VLOOKUP('Données projet'!$B$10,Paramètres!$A$1:$I$89,3,0)*0.475*44/12</f>
        <v>7.3777699339902265E-4</v>
      </c>
      <c r="AX59" s="23">
        <f t="shared" si="6"/>
        <v>17.273948750256835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5.2564102564102599</v>
      </c>
      <c r="BD59" s="13">
        <f>IF('Données projet'!$A$88&gt;35,BD58+BC59-BL58,IF(A59&lt;'Données projet'!$A$88,$BA$205^A59,IF(A59='Données projet'!$A$88,'Données projet'!$B$88,BD58+BC59-BL58)))</f>
        <v>200.128205128205</v>
      </c>
      <c r="BE59" s="14">
        <f>BD59*VLOOKUP('Données projet'!$B$11,Paramètres!$A$1:$I$89,3,0)*VLOOKUP('Données projet'!$B$11,Paramètres!$A$1:$I$89,5,0)</f>
        <v>209.17399999999986</v>
      </c>
      <c r="BF59" s="14">
        <f t="shared" si="37"/>
        <v>51.755042535367835</v>
      </c>
      <c r="BG59" s="22">
        <f t="shared" si="7"/>
        <v>454.45141574909866</v>
      </c>
      <c r="BH59" s="60">
        <f t="shared" si="8"/>
        <v>747.78474908243197</v>
      </c>
      <c r="BI59" s="60">
        <f ca="1">AVERAGE(OFFSET($BH$3,0,0,'Données projet'!$E$11+1,1))-AVERAGE(OFFSET($H$3,0,0,'Données projet'!$E$11+1,1))</f>
        <v>373.7520752235389</v>
      </c>
      <c r="BJ59" s="60">
        <f t="shared" si="38"/>
        <v>205.19966474305761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10.769230769230768</v>
      </c>
      <c r="BY59" s="13">
        <f>IF('Données projet'!$A$114&gt;35,BY58+BX59-CG58,IF(A59&lt;'Données projet'!$A$114,$BV$205^A59,IF(A59='Données projet'!$A$114,'Données projet'!$B$114,BY58+BX59-CG58)))</f>
        <v>275.3846153846153</v>
      </c>
      <c r="BZ59" s="14">
        <f>BY59*VLOOKUP('Données projet'!$B$12,Paramètres!$A$1:$I$89,3,0)*VLOOKUP('Données projet'!$B$12,Paramètres!$A$1:$I$89,5,0)</f>
        <v>128.87999999999997</v>
      </c>
      <c r="CA59" s="14">
        <f t="shared" si="39"/>
        <v>33.73743003255538</v>
      </c>
      <c r="CB59" s="22">
        <f t="shared" si="10"/>
        <v>283.22535730670057</v>
      </c>
      <c r="CC59" s="60">
        <f t="shared" si="11"/>
        <v>576.55869064003389</v>
      </c>
      <c r="CD59" s="60">
        <f ca="1">AVERAGE(OFFSET($CC$3,0,0,'Données projet'!$E$12+1,1))-AVERAGE(OFFSET($H$3,0,0,'Données projet'!$E$12+1,1))</f>
        <v>141.31558705818316</v>
      </c>
      <c r="CE59" s="60">
        <f t="shared" si="40"/>
        <v>67.142010893211364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204.6</v>
      </c>
      <c r="CU59" s="18">
        <f>CT59*VLOOKUP('Données projet'!$B$13,Paramètres!$A$1:$I$89,3,0)*VLOOKUP('Données projet'!$B$13,Paramètres!$A$1:$I$89,5,0)</f>
        <v>178.73856000000001</v>
      </c>
      <c r="CV59" s="14">
        <f t="shared" si="41"/>
        <v>45.041424241265332</v>
      </c>
      <c r="CW59" s="22">
        <f t="shared" si="13"/>
        <v>389.75013922020383</v>
      </c>
      <c r="CX59" s="60">
        <f t="shared" si="14"/>
        <v>683.08347255353715</v>
      </c>
      <c r="CY59" s="60">
        <f ca="1">AVERAGE(OFFSET($CX$3,0,0,'Données projet'!$E$13+1,1))-AVERAGE(OFFSET($H$3,0,0,'Données projet'!$E$13+1,1))</f>
        <v>281.8501448773884</v>
      </c>
      <c r="CZ59" s="60">
        <f t="shared" si="42"/>
        <v>161.7340631691518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204.6</v>
      </c>
      <c r="DP59" s="18">
        <f>DO59*VLOOKUP('Données projet'!$B$14,Paramètres!$A$1:$I$89,3,0)*VLOOKUP('Données projet'!$B$14,Paramètres!$A$1:$I$89,5,0)</f>
        <v>185.12207999999998</v>
      </c>
      <c r="DQ59" s="14">
        <f t="shared" si="43"/>
        <v>46.459887003478677</v>
      </c>
      <c r="DR59" s="22">
        <f t="shared" si="16"/>
        <v>403.33859253105862</v>
      </c>
      <c r="DS59" s="60">
        <f t="shared" si="17"/>
        <v>696.67192586439194</v>
      </c>
      <c r="DT59" s="60">
        <f ca="1">AVERAGE(OFFSET($DS$3,0,0,'Données projet'!$E$14+1,1))-AVERAGE(OFFSET($H$3,0,0,'Données projet'!$E$14+1,1))</f>
        <v>295.19398489974265</v>
      </c>
      <c r="DU59" s="60">
        <f t="shared" si="44"/>
        <v>168.80998104712489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4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215.17080000000001</v>
      </c>
      <c r="P60" s="14">
        <f t="shared" si="33"/>
        <v>53.063930965723607</v>
      </c>
      <c r="Q60" s="22">
        <f t="shared" si="53"/>
        <v>467.17548976530185</v>
      </c>
      <c r="R60" s="60">
        <f t="shared" si="0"/>
        <v>760.50882309863516</v>
      </c>
      <c r="S60" s="60">
        <f ca="1">AVERAGE(OFFSET($R$3,0,0,'Données projet'!$E$9+1,1))-AVERAGE(OFFSET($H$3,0,0,'Données projet'!$E$9+1,1))</f>
        <v>341.82426415364569</v>
      </c>
      <c r="T60" s="60">
        <f t="shared" si="34"/>
        <v>193.53376539568887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10.433653846153845</v>
      </c>
      <c r="AI60" s="14">
        <f>IF('Données projet'!$A$62&gt;35,AI59+AH60-AQ59,IF(A60&lt;'Données projet'!$A$62,$AF$205^A60,IF(A60='Données projet'!$A$62,'Données projet'!$B$62,AI59+AH60-AQ59)))</f>
        <v>322.19903846153818</v>
      </c>
      <c r="AJ60" s="14">
        <f>AI60*VLOOKUP('Données projet'!$B$10,Paramètres!$A$1:$I$89,3,0)*VLOOKUP('Données projet'!$B$10,Paramètres!$A$1:$I$89,5,0)</f>
        <v>192.67502499999983</v>
      </c>
      <c r="AK60" s="14">
        <f t="shared" si="35"/>
        <v>48.130880815569739</v>
      </c>
      <c r="AL60" s="22">
        <f t="shared" si="4"/>
        <v>419.40361929545037</v>
      </c>
      <c r="AM60" s="60">
        <f t="shared" si="5"/>
        <v>712.73695262878368</v>
      </c>
      <c r="AN60" s="60">
        <f ca="1">AVERAGE(OFFSET($AM$3,0,0,'Données projet'!$E$10+1,1))-AVERAGE(OFFSET($H$3,0,0,'Données projet'!$E$10+1,1))</f>
        <v>189.8516574130017</v>
      </c>
      <c r="AO60" s="60">
        <f t="shared" si="36"/>
        <v>191.91100863555891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8.3255881583529199</v>
      </c>
      <c r="AV60" s="23">
        <f>EXP(-LN(2)/25)*AV59+(1-EXP(-LN(2)/25))/(LN(2)/25)*Calculateur!AQ60*Calculateur!AS60*VLOOKUP('Données projet'!$B$10,Paramètres!$A$1:$I$89,3,0)*0.475*44/12</f>
        <v>8.5409780752835918</v>
      </c>
      <c r="AW60" s="23">
        <f>EXP(-LN(2)/2)*AW59+(1-EXP(-LN(2)/2))/(LN(2)/2)*AQ60*AT60*VLOOKUP('Données projet'!$B$10,Paramètres!$A$1:$I$89,3,0)*0.475*44/12</f>
        <v>5.2168711503587162E-4</v>
      </c>
      <c r="AX60" s="23">
        <f t="shared" si="6"/>
        <v>16.867087920751548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5.2564102564102599</v>
      </c>
      <c r="BD60" s="13">
        <f>IF('Données projet'!$A$88&gt;35,BD59+BC60-BL59,IF(A60&lt;'Données projet'!$A$88,$BA$205^A60,IF(A60='Données projet'!$A$88,'Données projet'!$B$88,BD59+BC60-BL59)))</f>
        <v>205.38461538461524</v>
      </c>
      <c r="BE60" s="14">
        <f>BD60*VLOOKUP('Données projet'!$B$11,Paramètres!$A$1:$I$89,3,0)*VLOOKUP('Données projet'!$B$11,Paramètres!$A$1:$I$89,5,0)</f>
        <v>214.66799999999986</v>
      </c>
      <c r="BF60" s="14">
        <f t="shared" si="37"/>
        <v>52.954352258652939</v>
      </c>
      <c r="BG60" s="22">
        <f t="shared" si="7"/>
        <v>466.10893018382029</v>
      </c>
      <c r="BH60" s="60">
        <f t="shared" si="8"/>
        <v>759.44226351715361</v>
      </c>
      <c r="BI60" s="60">
        <f ca="1">AVERAGE(OFFSET($BH$3,0,0,'Données projet'!$E$11+1,1))-AVERAGE(OFFSET($H$3,0,0,'Données projet'!$E$11+1,1))</f>
        <v>373.7520752235389</v>
      </c>
      <c r="BJ60" s="60">
        <f t="shared" si="38"/>
        <v>205.19966474305761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10.769230769230768</v>
      </c>
      <c r="BY60" s="13">
        <f>IF('Données projet'!$A$114&gt;35,BY59+BX60-CG59,IF(A60&lt;'Données projet'!$A$114,$BV$205^A60,IF(A60='Données projet'!$A$114,'Données projet'!$B$114,BY59+BX60-CG59)))</f>
        <v>286.15384615384608</v>
      </c>
      <c r="BZ60" s="14">
        <f>BY60*VLOOKUP('Données projet'!$B$12,Paramètres!$A$1:$I$89,3,0)*VLOOKUP('Données projet'!$B$12,Paramètres!$A$1:$I$89,5,0)</f>
        <v>133.91999999999996</v>
      </c>
      <c r="CA60" s="14">
        <f t="shared" si="39"/>
        <v>34.900584164862018</v>
      </c>
      <c r="CB60" s="22">
        <f t="shared" si="10"/>
        <v>294.02918408713464</v>
      </c>
      <c r="CC60" s="60">
        <f t="shared" si="11"/>
        <v>587.36251742046795</v>
      </c>
      <c r="CD60" s="60">
        <f ca="1">AVERAGE(OFFSET($CC$3,0,0,'Données projet'!$E$12+1,1))-AVERAGE(OFFSET($H$3,0,0,'Données projet'!$E$12+1,1))</f>
        <v>141.31558705818316</v>
      </c>
      <c r="CE60" s="60">
        <f t="shared" si="40"/>
        <v>67.142010893211364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212.2</v>
      </c>
      <c r="CU60" s="18">
        <f>CT60*VLOOKUP('Données projet'!$B$13,Paramètres!$A$1:$I$89,3,0)*VLOOKUP('Données projet'!$B$13,Paramètres!$A$1:$I$89,5,0)</f>
        <v>185.37792000000002</v>
      </c>
      <c r="CV60" s="14">
        <f t="shared" si="41"/>
        <v>46.516616531004161</v>
      </c>
      <c r="CW60" s="22">
        <f t="shared" si="13"/>
        <v>403.88298445816559</v>
      </c>
      <c r="CX60" s="60">
        <f t="shared" si="14"/>
        <v>697.21631779149891</v>
      </c>
      <c r="CY60" s="60">
        <f ca="1">AVERAGE(OFFSET($CX$3,0,0,'Données projet'!$E$13+1,1))-AVERAGE(OFFSET($H$3,0,0,'Données projet'!$E$13+1,1))</f>
        <v>281.8501448773884</v>
      </c>
      <c r="CZ60" s="60">
        <f t="shared" si="42"/>
        <v>161.7340631691518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212.2</v>
      </c>
      <c r="DP60" s="18">
        <f>DO60*VLOOKUP('Données projet'!$B$14,Paramètres!$A$1:$I$89,3,0)*VLOOKUP('Données projet'!$B$14,Paramètres!$A$1:$I$89,5,0)</f>
        <v>191.99855999999997</v>
      </c>
      <c r="DQ60" s="14">
        <f t="shared" si="43"/>
        <v>47.981536645873334</v>
      </c>
      <c r="DR60" s="22">
        <f t="shared" si="16"/>
        <v>417.96533499156266</v>
      </c>
      <c r="DS60" s="60">
        <f t="shared" si="17"/>
        <v>711.29866832489597</v>
      </c>
      <c r="DT60" s="60">
        <f ca="1">AVERAGE(OFFSET($DS$3,0,0,'Données projet'!$E$14+1,1))-AVERAGE(OFFSET($H$3,0,0,'Données projet'!$E$14+1,1))</f>
        <v>295.19398489974265</v>
      </c>
      <c r="DU60" s="60">
        <f t="shared" si="44"/>
        <v>168.80998104712489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4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222.87720000000002</v>
      </c>
      <c r="P61" s="14">
        <f t="shared" si="33"/>
        <v>54.739757243913829</v>
      </c>
      <c r="Q61" s="22">
        <f t="shared" si="53"/>
        <v>483.51620053314986</v>
      </c>
      <c r="R61" s="60">
        <f t="shared" si="0"/>
        <v>776.84953386648317</v>
      </c>
      <c r="S61" s="60">
        <f ca="1">AVERAGE(OFFSET($R$3,0,0,'Données projet'!$E$9+1,1))-AVERAGE(OFFSET($H$3,0,0,'Données projet'!$E$9+1,1))</f>
        <v>341.82426415364569</v>
      </c>
      <c r="T61" s="60">
        <f t="shared" si="34"/>
        <v>193.53376539568887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10.433653846153845</v>
      </c>
      <c r="AI61" s="14">
        <f>IF('Données projet'!$A$62&gt;35,AI60+AH61-AQ60,IF(A61&lt;'Données projet'!$A$62,$AF$205^A61,IF(A61='Données projet'!$A$62,'Données projet'!$B$62,AI60+AH61-AQ60)))</f>
        <v>332.63269230769203</v>
      </c>
      <c r="AJ61" s="14">
        <f>AI61*VLOOKUP('Données projet'!$B$10,Paramètres!$A$1:$I$89,3,0)*VLOOKUP('Données projet'!$B$10,Paramètres!$A$1:$I$89,5,0)</f>
        <v>198.91434999999984</v>
      </c>
      <c r="AK61" s="14">
        <f t="shared" si="35"/>
        <v>49.505499184742547</v>
      </c>
      <c r="AL61" s="22">
        <f t="shared" si="4"/>
        <v>432.66457066342628</v>
      </c>
      <c r="AM61" s="60">
        <f t="shared" si="5"/>
        <v>725.99790399675953</v>
      </c>
      <c r="AN61" s="60">
        <f ca="1">AVERAGE(OFFSET($AM$3,0,0,'Données projet'!$E$10+1,1))-AVERAGE(OFFSET($H$3,0,0,'Données projet'!$E$10+1,1))</f>
        <v>189.8516574130017</v>
      </c>
      <c r="AO61" s="60">
        <f t="shared" si="36"/>
        <v>191.91100863555891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8.1623284526749735</v>
      </c>
      <c r="AV61" s="23">
        <f>EXP(-LN(2)/25)*AV60+(1-EXP(-LN(2)/25))/(LN(2)/25)*Calculateur!AQ61*Calculateur!AS61*VLOOKUP('Données projet'!$B$10,Paramètres!$A$1:$I$89,3,0)*0.475*44/12</f>
        <v>8.3074245806644456</v>
      </c>
      <c r="AW61" s="23">
        <f>EXP(-LN(2)/2)*AW60+(1-EXP(-LN(2)/2))/(LN(2)/2)*AQ61*AT61*VLOOKUP('Données projet'!$B$10,Paramètres!$A$1:$I$89,3,0)*0.475*44/12</f>
        <v>3.6888849669951132E-4</v>
      </c>
      <c r="AX61" s="23">
        <f t="shared" si="6"/>
        <v>16.470121921836117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5.2564102564102599</v>
      </c>
      <c r="BD61" s="13">
        <f>IF('Données projet'!$A$88&gt;35,BD60+BC61-BL60,IF(A61&lt;'Données projet'!$A$88,$BA$205^A61,IF(A61='Données projet'!$A$88,'Données projet'!$B$88,BD60+BC61-BL60)))</f>
        <v>210.64102564102549</v>
      </c>
      <c r="BE61" s="14">
        <f>BD61*VLOOKUP('Données projet'!$B$11,Paramètres!$A$1:$I$89,3,0)*VLOOKUP('Données projet'!$B$11,Paramètres!$A$1:$I$89,5,0)</f>
        <v>220.16199999999986</v>
      </c>
      <c r="BF61" s="14">
        <f t="shared" si="37"/>
        <v>54.150094111630509</v>
      </c>
      <c r="BG61" s="22">
        <f t="shared" si="7"/>
        <v>477.76023057775615</v>
      </c>
      <c r="BH61" s="60">
        <f t="shared" si="8"/>
        <v>771.0935639110894</v>
      </c>
      <c r="BI61" s="60">
        <f ca="1">AVERAGE(OFFSET($BH$3,0,0,'Données projet'!$E$11+1,1))-AVERAGE(OFFSET($H$3,0,0,'Données projet'!$E$11+1,1))</f>
        <v>373.7520752235389</v>
      </c>
      <c r="BJ61" s="60">
        <f t="shared" si="38"/>
        <v>205.19966474305761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10.769230769230768</v>
      </c>
      <c r="BY61" s="13">
        <f>IF('Données projet'!$A$114&gt;35,BY60+BX61-CG60,IF(A61&lt;'Données projet'!$A$114,$BV$205^A61,IF(A61='Données projet'!$A$114,'Données projet'!$B$114,BY60+BX61-CG60)))</f>
        <v>296.92307692307685</v>
      </c>
      <c r="BZ61" s="14">
        <f>BY61*VLOOKUP('Données projet'!$B$12,Paramètres!$A$1:$I$89,3,0)*VLOOKUP('Données projet'!$B$12,Paramètres!$A$1:$I$89,5,0)</f>
        <v>138.95999999999998</v>
      </c>
      <c r="CA61" s="14">
        <f t="shared" si="39"/>
        <v>36.058652807868881</v>
      </c>
      <c r="CB61" s="22">
        <f t="shared" si="10"/>
        <v>304.82415364037161</v>
      </c>
      <c r="CC61" s="60">
        <f t="shared" si="11"/>
        <v>598.15748697370486</v>
      </c>
      <c r="CD61" s="60">
        <f ca="1">AVERAGE(OFFSET($CC$3,0,0,'Données projet'!$E$12+1,1))-AVERAGE(OFFSET($H$3,0,0,'Données projet'!$E$12+1,1))</f>
        <v>141.31558705818316</v>
      </c>
      <c r="CE61" s="60">
        <f t="shared" si="40"/>
        <v>67.142010893211364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219.79999999999998</v>
      </c>
      <c r="CU61" s="18">
        <f>CT61*VLOOKUP('Données projet'!$B$13,Paramètres!$A$1:$I$89,3,0)*VLOOKUP('Données projet'!$B$13,Paramètres!$A$1:$I$89,5,0)</f>
        <v>192.01728000000003</v>
      </c>
      <c r="CV61" s="14">
        <f t="shared" si="41"/>
        <v>47.985670310783661</v>
      </c>
      <c r="CW61" s="22">
        <f t="shared" si="13"/>
        <v>418.00513845794825</v>
      </c>
      <c r="CX61" s="60">
        <f t="shared" si="14"/>
        <v>711.33847179128156</v>
      </c>
      <c r="CY61" s="60">
        <f ca="1">AVERAGE(OFFSET($CX$3,0,0,'Données projet'!$E$13+1,1))-AVERAGE(OFFSET($H$3,0,0,'Données projet'!$E$13+1,1))</f>
        <v>281.8501448773884</v>
      </c>
      <c r="CZ61" s="60">
        <f t="shared" si="42"/>
        <v>161.7340631691518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219.79999999999998</v>
      </c>
      <c r="DP61" s="18">
        <f>DO61*VLOOKUP('Données projet'!$B$14,Paramètres!$A$1:$I$89,3,0)*VLOOKUP('Données projet'!$B$14,Paramètres!$A$1:$I$89,5,0)</f>
        <v>198.87503999999998</v>
      </c>
      <c r="DQ61" s="14">
        <f t="shared" si="43"/>
        <v>49.496854461868558</v>
      </c>
      <c r="DR61" s="22">
        <f t="shared" si="16"/>
        <v>432.58104952108766</v>
      </c>
      <c r="DS61" s="60">
        <f t="shared" si="17"/>
        <v>725.91438285442098</v>
      </c>
      <c r="DT61" s="60">
        <f ca="1">AVERAGE(OFFSET($DS$3,0,0,'Données projet'!$E$14+1,1))-AVERAGE(OFFSET($H$3,0,0,'Données projet'!$E$14+1,1))</f>
        <v>295.19398489974265</v>
      </c>
      <c r="DU61" s="60">
        <f t="shared" si="44"/>
        <v>168.80998104712489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4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230.58360000000002</v>
      </c>
      <c r="P62" s="14">
        <f t="shared" si="33"/>
        <v>56.408850878327968</v>
      </c>
      <c r="Q62" s="22">
        <f t="shared" si="53"/>
        <v>499.8451852797545</v>
      </c>
      <c r="R62" s="60">
        <f t="shared" si="0"/>
        <v>793.17851861308782</v>
      </c>
      <c r="S62" s="60">
        <f ca="1">AVERAGE(OFFSET($R$3,0,0,'Données projet'!$E$9+1,1))-AVERAGE(OFFSET($H$3,0,0,'Données projet'!$E$9+1,1))</f>
        <v>341.82426415364569</v>
      </c>
      <c r="T62" s="60">
        <f t="shared" si="34"/>
        <v>193.53376539568887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10.433653846153845</v>
      </c>
      <c r="AI62" s="14">
        <f>IF('Données projet'!$A$62&gt;35,AI61+AH62-AQ61,IF(A62&lt;'Données projet'!$A$62,$AF$205^A62,IF(A62='Données projet'!$A$62,'Données projet'!$B$62,AI61+AH62-AQ61)))</f>
        <v>343.06634615384587</v>
      </c>
      <c r="AJ62" s="14">
        <f>AI62*VLOOKUP('Données projet'!$B$10,Paramètres!$A$1:$I$89,3,0)*VLOOKUP('Données projet'!$B$10,Paramètres!$A$1:$I$89,5,0)</f>
        <v>205.15367499999985</v>
      </c>
      <c r="AK62" s="14">
        <f t="shared" si="35"/>
        <v>50.875106959180371</v>
      </c>
      <c r="AL62" s="22">
        <f t="shared" si="4"/>
        <v>445.91679524557213</v>
      </c>
      <c r="AM62" s="60">
        <f t="shared" si="5"/>
        <v>739.25012857890545</v>
      </c>
      <c r="AN62" s="60">
        <f ca="1">AVERAGE(OFFSET($AM$3,0,0,'Données projet'!$E$10+1,1))-AVERAGE(OFFSET($H$3,0,0,'Données projet'!$E$10+1,1))</f>
        <v>189.8516574130017</v>
      </c>
      <c r="AO62" s="60">
        <f t="shared" si="36"/>
        <v>191.91100863555891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8.0022701702467849</v>
      </c>
      <c r="AV62" s="23">
        <f>EXP(-LN(2)/25)*AV61+(1-EXP(-LN(2)/25))/(LN(2)/25)*Calculateur!AQ62*Calculateur!AS62*VLOOKUP('Données projet'!$B$10,Paramètres!$A$1:$I$89,3,0)*0.475*44/12</f>
        <v>8.0802576186377042</v>
      </c>
      <c r="AW62" s="23">
        <f>EXP(-LN(2)/2)*AW61+(1-EXP(-LN(2)/2))/(LN(2)/2)*AQ62*AT62*VLOOKUP('Données projet'!$B$10,Paramètres!$A$1:$I$89,3,0)*0.475*44/12</f>
        <v>2.6084355751793581E-4</v>
      </c>
      <c r="AX62" s="23">
        <f t="shared" si="6"/>
        <v>16.082788632442007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5.2564102564102599</v>
      </c>
      <c r="BD62" s="13">
        <f>IF('Données projet'!$A$88&gt;35,BD61+BC62-BL61,IF(A62&lt;'Données projet'!$A$88,$BA$205^A62,IF(A62='Données projet'!$A$88,'Données projet'!$B$88,BD61+BC62-BL61)))</f>
        <v>215.89743589743574</v>
      </c>
      <c r="BE62" s="14">
        <f>BD62*VLOOKUP('Données projet'!$B$11,Paramètres!$A$1:$I$89,3,0)*VLOOKUP('Données projet'!$B$11,Paramètres!$A$1:$I$89,5,0)</f>
        <v>225.65599999999986</v>
      </c>
      <c r="BF62" s="14">
        <f t="shared" si="37"/>
        <v>55.342367368360115</v>
      </c>
      <c r="BG62" s="22">
        <f t="shared" si="7"/>
        <v>489.40548983322697</v>
      </c>
      <c r="BH62" s="60">
        <f t="shared" si="8"/>
        <v>782.73882316656022</v>
      </c>
      <c r="BI62" s="60">
        <f ca="1">AVERAGE(OFFSET($BH$3,0,0,'Données projet'!$E$11+1,1))-AVERAGE(OFFSET($H$3,0,0,'Données projet'!$E$11+1,1))</f>
        <v>373.7520752235389</v>
      </c>
      <c r="BJ62" s="60">
        <f t="shared" si="38"/>
        <v>205.19966474305761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10.769230769230768</v>
      </c>
      <c r="BY62" s="13">
        <f>IF('Données projet'!$A$114&gt;35,BY61+BX62-CG61,IF(A62&lt;'Données projet'!$A$114,$BV$205^A62,IF(A62='Données projet'!$A$114,'Données projet'!$B$114,BY61+BX62-CG61)))</f>
        <v>307.69230769230762</v>
      </c>
      <c r="BZ62" s="14">
        <f>BY62*VLOOKUP('Données projet'!$B$12,Paramètres!$A$1:$I$89,3,0)*VLOOKUP('Données projet'!$B$12,Paramètres!$A$1:$I$89,5,0)</f>
        <v>143.99999999999997</v>
      </c>
      <c r="CA62" s="14">
        <f t="shared" si="39"/>
        <v>37.211841536720947</v>
      </c>
      <c r="CB62" s="22">
        <f t="shared" si="10"/>
        <v>315.61062400978892</v>
      </c>
      <c r="CC62" s="60">
        <f t="shared" si="11"/>
        <v>608.94395734312229</v>
      </c>
      <c r="CD62" s="60">
        <f ca="1">AVERAGE(OFFSET($CC$3,0,0,'Données projet'!$E$12+1,1))-AVERAGE(OFFSET($H$3,0,0,'Données projet'!$E$12+1,1))</f>
        <v>141.31558705818316</v>
      </c>
      <c r="CE62" s="60">
        <f t="shared" si="40"/>
        <v>67.142010893211364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227.39999999999998</v>
      </c>
      <c r="CU62" s="18">
        <f>CT62*VLOOKUP('Données projet'!$B$13,Paramètres!$A$1:$I$89,3,0)*VLOOKUP('Données projet'!$B$13,Paramètres!$A$1:$I$89,5,0)</f>
        <v>198.65664000000001</v>
      </c>
      <c r="CV62" s="14">
        <f t="shared" si="41"/>
        <v>49.448822156743425</v>
      </c>
      <c r="CW62" s="22">
        <f t="shared" si="13"/>
        <v>432.11701325632816</v>
      </c>
      <c r="CX62" s="60">
        <f t="shared" si="14"/>
        <v>725.45034658966142</v>
      </c>
      <c r="CY62" s="60">
        <f ca="1">AVERAGE(OFFSET($CX$3,0,0,'Données projet'!$E$13+1,1))-AVERAGE(OFFSET($H$3,0,0,'Données projet'!$E$13+1,1))</f>
        <v>281.8501448773884</v>
      </c>
      <c r="CZ62" s="60">
        <f t="shared" si="42"/>
        <v>161.7340631691518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227.39999999999998</v>
      </c>
      <c r="DP62" s="18">
        <f>DO62*VLOOKUP('Données projet'!$B$14,Paramètres!$A$1:$I$89,3,0)*VLOOKUP('Données projet'!$B$14,Paramètres!$A$1:$I$89,5,0)</f>
        <v>205.75151999999994</v>
      </c>
      <c r="DQ62" s="14">
        <f t="shared" si="43"/>
        <v>51.006084477955554</v>
      </c>
      <c r="DR62" s="22">
        <f t="shared" si="16"/>
        <v>447.18616113243911</v>
      </c>
      <c r="DS62" s="60">
        <f t="shared" si="17"/>
        <v>740.51949446577237</v>
      </c>
      <c r="DT62" s="60">
        <f ca="1">AVERAGE(OFFSET($DS$3,0,0,'Données projet'!$E$14+1,1))-AVERAGE(OFFSET($H$3,0,0,'Données projet'!$E$14+1,1))</f>
        <v>295.19398489974265</v>
      </c>
      <c r="DU62" s="60">
        <f t="shared" si="44"/>
        <v>168.80998104712489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4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238.29000000000002</v>
      </c>
      <c r="P63" s="14">
        <f t="shared" si="33"/>
        <v>58.071462681001513</v>
      </c>
      <c r="Q63" s="22">
        <f t="shared" si="53"/>
        <v>516.16288083607753</v>
      </c>
      <c r="R63" s="60">
        <f t="shared" si="0"/>
        <v>809.49621416941091</v>
      </c>
      <c r="S63" s="60">
        <f ca="1">AVERAGE(OFFSET($R$3,0,0,'Données projet'!$E$9+1,1))-AVERAGE(OFFSET($H$3,0,0,'Données projet'!$E$9+1,1))</f>
        <v>341.82426415364569</v>
      </c>
      <c r="T63" s="60">
        <f t="shared" si="34"/>
        <v>193.53376539568887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353.5</v>
      </c>
      <c r="AG63" s="13">
        <f>VLOOKUP(A63,'Données projet'!$A$61:$I$81,9,0)</f>
        <v>10.433653846153845</v>
      </c>
      <c r="AH63" s="13">
        <f t="array" ref="AH63">INDEX(AG:AG,MIN(IF(ISNUMBER(AG63:AG259),ROW(AG63:AG259),"")))</f>
        <v>10.433653846153845</v>
      </c>
      <c r="AI63" s="14">
        <f>IF('Données projet'!$A$62&gt;35,AI62+AH63-AQ62,IF(A63&lt;'Données projet'!$A$62,$AF$205^A63,IF(A63='Données projet'!$A$62,'Données projet'!$B$62,AI62+AH63-AQ62)))</f>
        <v>353.49999999999972</v>
      </c>
      <c r="AJ63" s="14">
        <f>AI63*VLOOKUP('Données projet'!$B$10,Paramètres!$A$1:$I$89,3,0)*VLOOKUP('Données projet'!$B$10,Paramètres!$A$1:$I$89,5,0)</f>
        <v>211.39299999999983</v>
      </c>
      <c r="AK63" s="14">
        <f t="shared" si="35"/>
        <v>52.239874015944039</v>
      </c>
      <c r="AL63" s="22">
        <f t="shared" si="4"/>
        <v>459.1605889111022</v>
      </c>
      <c r="AM63" s="60">
        <f t="shared" si="5"/>
        <v>752.49392224443545</v>
      </c>
      <c r="AN63" s="60">
        <f ca="1">AVERAGE(OFFSET($AM$3,0,0,'Données projet'!$E$10+1,1))-AVERAGE(OFFSET($H$3,0,0,'Données projet'!$E$10+1,1))</f>
        <v>189.8516574130017</v>
      </c>
      <c r="AO63" s="60">
        <f t="shared" si="36"/>
        <v>191.91100863555891</v>
      </c>
      <c r="AP63" s="16">
        <f>IF(ISNA(VLOOKUP(A63,'Données projet'!$A$61:$I$81,3,0)),0,VLOOKUP(A63,'Données projet'!$A$61:$I$81,3,0))</f>
        <v>7</v>
      </c>
      <c r="AQ63" s="16">
        <f>IF(ISNA(VLOOKUP(A63,'Données projet'!$A$61:$I$81,4,0)),0,VLOOKUP(A63,'Données projet'!$A$61:$I$81,4,0))</f>
        <v>353.5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7.8453505331111</v>
      </c>
      <c r="AV63" s="23">
        <f>EXP(-LN(2)/25)*AV62+(1-EXP(-LN(2)/25))/(LN(2)/25)*Calculateur!AQ63*Calculateur!AS63*VLOOKUP('Données projet'!$B$10,Paramètres!$A$1:$I$89,3,0)*0.475*44/12</f>
        <v>7.8593025491337754</v>
      </c>
      <c r="AW63" s="23">
        <f>EXP(-LN(2)/2)*AW62+(1-EXP(-LN(2)/2))/(LN(2)/2)*AQ63*AT63*VLOOKUP('Données projet'!$B$10,Paramètres!$A$1:$I$89,3,0)*0.475*44/12</f>
        <v>1.8444424834975566E-4</v>
      </c>
      <c r="AX63" s="23">
        <f t="shared" si="6"/>
        <v>15.704837526493224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221.15384615384616</v>
      </c>
      <c r="BB63" s="13">
        <f>VLOOKUP(A63,'Données projet'!$A$87:$I$107,9,0)</f>
        <v>5.2564102564102599</v>
      </c>
      <c r="BC63" s="13">
        <f t="array" ref="BC63">INDEX(BB:BB,MIN(IF(ISNUMBER(BB63:BB259),ROW(BB63:BB259),"")))</f>
        <v>5.2564102564102599</v>
      </c>
      <c r="BD63" s="13">
        <f>IF('Données projet'!$A$88&gt;35,BD62+BC63-BL62,IF(A63&lt;'Données projet'!$A$88,$BA$205^A63,IF(A63='Données projet'!$A$88,'Données projet'!$B$88,BD62+BC63-BL62)))</f>
        <v>221.15384615384599</v>
      </c>
      <c r="BE63" s="14">
        <f>BD63*VLOOKUP('Données projet'!$B$11,Paramètres!$A$1:$I$89,3,0)*VLOOKUP('Données projet'!$B$11,Paramètres!$A$1:$I$89,5,0)</f>
        <v>231.14999999999984</v>
      </c>
      <c r="BF63" s="14">
        <f t="shared" si="37"/>
        <v>56.531266193272629</v>
      </c>
      <c r="BG63" s="22">
        <f t="shared" si="7"/>
        <v>501.04487195328284</v>
      </c>
      <c r="BH63" s="60">
        <f t="shared" si="8"/>
        <v>794.37820528661609</v>
      </c>
      <c r="BI63" s="60">
        <f ca="1">AVERAGE(OFFSET($BH$3,0,0,'Données projet'!$E$11+1,1))-AVERAGE(OFFSET($H$3,0,0,'Données projet'!$E$11+1,1))</f>
        <v>373.7520752235389</v>
      </c>
      <c r="BJ63" s="60">
        <f t="shared" si="38"/>
        <v>205.19966474305761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10.769230769230768</v>
      </c>
      <c r="BY63" s="13">
        <f>IF('Données projet'!$A$114&gt;35,BY62+BX63-CG62,IF(A63&lt;'Données projet'!$A$114,$BV$205^A63,IF(A63='Données projet'!$A$114,'Données projet'!$B$114,BY62+BX63-CG62)))</f>
        <v>318.4615384615384</v>
      </c>
      <c r="BZ63" s="14">
        <f>BY63*VLOOKUP('Données projet'!$B$12,Paramètres!$A$1:$I$89,3,0)*VLOOKUP('Données projet'!$B$12,Paramètres!$A$1:$I$89,5,0)</f>
        <v>149.03999999999996</v>
      </c>
      <c r="CA63" s="14">
        <f t="shared" si="39"/>
        <v>38.360340720309644</v>
      </c>
      <c r="CB63" s="22">
        <f t="shared" si="10"/>
        <v>326.38892675453917</v>
      </c>
      <c r="CC63" s="60">
        <f t="shared" si="11"/>
        <v>619.72226008787243</v>
      </c>
      <c r="CD63" s="60">
        <f ca="1">AVERAGE(OFFSET($CC$3,0,0,'Données projet'!$E$12+1,1))-AVERAGE(OFFSET($H$3,0,0,'Données projet'!$E$12+1,1))</f>
        <v>141.31558705818316</v>
      </c>
      <c r="CE63" s="60">
        <f t="shared" si="40"/>
        <v>67.142010893211364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235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234.99999999999997</v>
      </c>
      <c r="CU63" s="18">
        <f>CT63*VLOOKUP('Données projet'!$B$13,Paramètres!$A$1:$I$89,3,0)*VLOOKUP('Données projet'!$B$13,Paramètres!$A$1:$I$89,5,0)</f>
        <v>205.29599999999999</v>
      </c>
      <c r="CV63" s="14">
        <f t="shared" si="41"/>
        <v>50.906291934375353</v>
      </c>
      <c r="CW63" s="22">
        <f t="shared" si="13"/>
        <v>446.21899178570374</v>
      </c>
      <c r="CX63" s="60">
        <f t="shared" si="14"/>
        <v>739.55232511903705</v>
      </c>
      <c r="CY63" s="60">
        <f ca="1">AVERAGE(OFFSET($CX$3,0,0,'Données projet'!$E$13+1,1))-AVERAGE(OFFSET($H$3,0,0,'Données projet'!$E$13+1,1))</f>
        <v>281.8501448773884</v>
      </c>
      <c r="CZ63" s="60">
        <f t="shared" si="42"/>
        <v>161.7340631691518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235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234.99999999999997</v>
      </c>
      <c r="DP63" s="18">
        <f>DO63*VLOOKUP('Données projet'!$B$14,Paramètres!$A$1:$I$89,3,0)*VLOOKUP('Données projet'!$B$14,Paramètres!$A$1:$I$89,5,0)</f>
        <v>212.62799999999999</v>
      </c>
      <c r="DQ63" s="14">
        <f t="shared" si="43"/>
        <v>52.509453483719035</v>
      </c>
      <c r="DR63" s="22">
        <f t="shared" si="16"/>
        <v>461.78106481747727</v>
      </c>
      <c r="DS63" s="60">
        <f t="shared" si="17"/>
        <v>755.11439815081053</v>
      </c>
      <c r="DT63" s="60">
        <f ca="1">AVERAGE(OFFSET($DS$3,0,0,'Données projet'!$E$14+1,1))-AVERAGE(OFFSET($H$3,0,0,'Données projet'!$E$14+1,1))</f>
        <v>295.19398489974265</v>
      </c>
      <c r="DU63" s="60">
        <f t="shared" si="44"/>
        <v>168.80998104712489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42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4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203.00279999999995</v>
      </c>
      <c r="P64" s="14">
        <f t="shared" si="33"/>
        <v>50.403518824343074</v>
      </c>
      <c r="Q64" s="22">
        <f t="shared" si="53"/>
        <v>441.3493386190641</v>
      </c>
      <c r="R64" s="60">
        <f t="shared" si="0"/>
        <v>734.68267195239741</v>
      </c>
      <c r="S64" s="60">
        <f ca="1">AVERAGE(OFFSET($R$3,0,0,'Données projet'!$E$9+1,1))-AVERAGE(OFFSET($H$3,0,0,'Données projet'!$E$9+1,1))</f>
        <v>341.82426415364569</v>
      </c>
      <c r="T64" s="60">
        <f t="shared" si="34"/>
        <v>193.53376539568887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-2.8421709430404007E-13</v>
      </c>
      <c r="AJ64" s="14">
        <f>AI64*VLOOKUP('Données projet'!$B$10,Paramètres!$A$1:$I$89,3,0)*VLOOKUP('Données projet'!$B$10,Paramètres!$A$1:$I$89,5,0)</f>
        <v>-1.69961822393816E-13</v>
      </c>
      <c r="AK64" s="14" t="e">
        <f t="shared" si="35"/>
        <v>#NUM!</v>
      </c>
      <c r="AL64" s="22" t="e">
        <f t="shared" si="4"/>
        <v>#NUM!</v>
      </c>
      <c r="AM64" s="60" t="e">
        <f t="shared" si="5"/>
        <v>#NUM!</v>
      </c>
      <c r="AN64" s="60">
        <f ca="1">AVERAGE(OFFSET($AM$3,0,0,'Données projet'!$E$10+1,1))-AVERAGE(OFFSET($H$3,0,0,'Données projet'!$E$10+1,1))</f>
        <v>189.8516574130017</v>
      </c>
      <c r="AO64" s="60">
        <f t="shared" si="36"/>
        <v>191.91100863555891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7.6915079943481182</v>
      </c>
      <c r="AV64" s="23">
        <f>EXP(-LN(2)/25)*AV63+(1-EXP(-LN(2)/25))/(LN(2)/25)*Calculateur!AQ64*Calculateur!AS64*VLOOKUP('Données projet'!$B$10,Paramètres!$A$1:$I$89,3,0)*0.475*44/12</f>
        <v>7.6443895076249539</v>
      </c>
      <c r="AW64" s="23">
        <f>EXP(-LN(2)/2)*AW63+(1-EXP(-LN(2)/2))/(LN(2)/2)*AQ64*AT64*VLOOKUP('Données projet'!$B$10,Paramètres!$A$1:$I$89,3,0)*0.475*44/12</f>
        <v>1.3042177875896791E-4</v>
      </c>
      <c r="AX64" s="23">
        <f t="shared" si="6"/>
        <v>15.33602792375183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4.9999999999999947</v>
      </c>
      <c r="BD64" s="13">
        <f>IF('Données projet'!$A$88&gt;35,BD63+BC64-BL63,IF(A64&lt;'Données projet'!$A$88,$BA$205^A64,IF(A64='Données projet'!$A$88,'Données projet'!$B$88,BD63+BC64-BL63)))</f>
        <v>226.15384615384599</v>
      </c>
      <c r="BE64" s="14">
        <f>BD64*VLOOKUP('Données projet'!$B$11,Paramètres!$A$1:$I$89,3,0)*VLOOKUP('Données projet'!$B$11,Paramètres!$A$1:$I$89,5,0)</f>
        <v>236.37599999999983</v>
      </c>
      <c r="BF64" s="14">
        <f t="shared" si="37"/>
        <v>57.659120112122238</v>
      </c>
      <c r="BG64" s="22">
        <f t="shared" si="7"/>
        <v>512.11116752861255</v>
      </c>
      <c r="BH64" s="60">
        <f t="shared" si="8"/>
        <v>805.44450086194593</v>
      </c>
      <c r="BI64" s="60">
        <f ca="1">AVERAGE(OFFSET($BH$3,0,0,'Données projet'!$E$11+1,1))-AVERAGE(OFFSET($H$3,0,0,'Données projet'!$E$11+1,1))</f>
        <v>373.7520752235389</v>
      </c>
      <c r="BJ64" s="60">
        <f t="shared" si="38"/>
        <v>205.19966474305761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10.769230769230768</v>
      </c>
      <c r="BY64" s="13">
        <f>IF('Données projet'!$A$114&gt;35,BY63+BX64-CG63,IF(A64&lt;'Données projet'!$A$114,$BV$205^A64,IF(A64='Données projet'!$A$114,'Données projet'!$B$114,BY63+BX64-CG63)))</f>
        <v>329.23076923076917</v>
      </c>
      <c r="BZ64" s="14">
        <f>BY64*VLOOKUP('Données projet'!$B$12,Paramètres!$A$1:$I$89,3,0)*VLOOKUP('Données projet'!$B$12,Paramètres!$A$1:$I$89,5,0)</f>
        <v>154.07999999999998</v>
      </c>
      <c r="CA64" s="14">
        <f t="shared" si="39"/>
        <v>39.504327121889922</v>
      </c>
      <c r="CB64" s="22">
        <f t="shared" si="10"/>
        <v>337.15936973729157</v>
      </c>
      <c r="CC64" s="60">
        <f t="shared" si="11"/>
        <v>630.49270307062488</v>
      </c>
      <c r="CD64" s="60">
        <f ca="1">AVERAGE(OFFSET($CC$3,0,0,'Données projet'!$E$12+1,1))-AVERAGE(OFFSET($H$3,0,0,'Données projet'!$E$12+1,1))</f>
        <v>141.31558705818316</v>
      </c>
      <c r="CE64" s="60">
        <f t="shared" si="40"/>
        <v>67.142010893211364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200.19999999999996</v>
      </c>
      <c r="CU64" s="18">
        <f>CT64*VLOOKUP('Données projet'!$B$13,Paramètres!$A$1:$I$89,3,0)*VLOOKUP('Données projet'!$B$13,Paramètres!$A$1:$I$89,5,0)</f>
        <v>174.89472000000001</v>
      </c>
      <c r="CV64" s="14">
        <f t="shared" si="41"/>
        <v>44.184460410211607</v>
      </c>
      <c r="CW64" s="22">
        <f t="shared" si="13"/>
        <v>381.56290588111852</v>
      </c>
      <c r="CX64" s="60">
        <f t="shared" si="14"/>
        <v>674.89623921445184</v>
      </c>
      <c r="CY64" s="60">
        <f ca="1">AVERAGE(OFFSET($CX$3,0,0,'Données projet'!$E$13+1,1))-AVERAGE(OFFSET($H$3,0,0,'Données projet'!$E$13+1,1))</f>
        <v>281.8501448773884</v>
      </c>
      <c r="CZ64" s="60">
        <f t="shared" si="42"/>
        <v>161.7340631691518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200.19999999999996</v>
      </c>
      <c r="DP64" s="18">
        <f>DO64*VLOOKUP('Données projet'!$B$14,Paramètres!$A$1:$I$89,3,0)*VLOOKUP('Données projet'!$B$14,Paramètres!$A$1:$I$89,5,0)</f>
        <v>181.14095999999995</v>
      </c>
      <c r="DQ64" s="14">
        <f t="shared" si="43"/>
        <v>45.575935320610945</v>
      </c>
      <c r="DR64" s="22">
        <f t="shared" si="16"/>
        <v>394.86525935006392</v>
      </c>
      <c r="DS64" s="60">
        <f t="shared" si="17"/>
        <v>688.19859268339724</v>
      </c>
      <c r="DT64" s="60">
        <f ca="1">AVERAGE(OFFSET($DS$3,0,0,'Données projet'!$E$14+1,1))-AVERAGE(OFFSET($H$3,0,0,'Données projet'!$E$14+1,1))</f>
        <v>295.19398489974265</v>
      </c>
      <c r="DU64" s="60">
        <f t="shared" si="44"/>
        <v>168.80998104712489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4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210.30359999999996</v>
      </c>
      <c r="P65" s="14">
        <f t="shared" si="33"/>
        <v>52.001924357524459</v>
      </c>
      <c r="Q65" s="22">
        <f t="shared" si="53"/>
        <v>456.84878825602163</v>
      </c>
      <c r="R65" s="60">
        <f t="shared" si="0"/>
        <v>750.18212158935489</v>
      </c>
      <c r="S65" s="60">
        <f ca="1">AVERAGE(OFFSET($R$3,0,0,'Données projet'!$E$9+1,1))-AVERAGE(OFFSET($H$3,0,0,'Données projet'!$E$9+1,1))</f>
        <v>341.82426415364569</v>
      </c>
      <c r="T65" s="60">
        <f t="shared" si="34"/>
        <v>193.53376539568887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-2.8421709430404007E-13</v>
      </c>
      <c r="AJ65" s="14">
        <f>AI65*VLOOKUP('Données projet'!$B$10,Paramètres!$A$1:$I$89,3,0)*VLOOKUP('Données projet'!$B$10,Paramètres!$A$1:$I$89,5,0)</f>
        <v>-1.69961822393816E-13</v>
      </c>
      <c r="AK65" s="14" t="e">
        <f t="shared" si="35"/>
        <v>#NUM!</v>
      </c>
      <c r="AL65" s="22" t="e">
        <f t="shared" si="4"/>
        <v>#NUM!</v>
      </c>
      <c r="AM65" s="60" t="e">
        <f t="shared" si="5"/>
        <v>#NUM!</v>
      </c>
      <c r="AN65" s="60">
        <f ca="1">AVERAGE(OFFSET($AM$3,0,0,'Données projet'!$E$10+1,1))-AVERAGE(OFFSET($H$3,0,0,'Données projet'!$E$10+1,1))</f>
        <v>189.8516574130017</v>
      </c>
      <c r="AO65" s="60">
        <f t="shared" si="36"/>
        <v>191.91100863555891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7.5406822139355949</v>
      </c>
      <c r="AV65" s="23">
        <f>EXP(-LN(2)/25)*AV64+(1-EXP(-LN(2)/25))/(LN(2)/25)*Calculateur!AQ65*Calculateur!AS65*VLOOKUP('Données projet'!$B$10,Paramètres!$A$1:$I$89,3,0)*0.475*44/12</f>
        <v>7.4353532745379765</v>
      </c>
      <c r="AW65" s="23">
        <f>EXP(-LN(2)/2)*AW64+(1-EXP(-LN(2)/2))/(LN(2)/2)*AQ65*AT65*VLOOKUP('Données projet'!$B$10,Paramètres!$A$1:$I$89,3,0)*0.475*44/12</f>
        <v>9.2222124174877831E-5</v>
      </c>
      <c r="AX65" s="23">
        <f t="shared" si="6"/>
        <v>14.976127710597746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4.9999999999999947</v>
      </c>
      <c r="BD65" s="13">
        <f>IF('Données projet'!$A$88&gt;35,BD64+BC65-BL64,IF(A65&lt;'Données projet'!$A$88,$BA$205^A65,IF(A65='Données projet'!$A$88,'Données projet'!$B$88,BD64+BC65-BL64)))</f>
        <v>231.15384615384599</v>
      </c>
      <c r="BE65" s="14">
        <f>BD65*VLOOKUP('Données projet'!$B$11,Paramètres!$A$1:$I$89,3,0)*VLOOKUP('Données projet'!$B$11,Paramètres!$A$1:$I$89,5,0)</f>
        <v>241.60199999999983</v>
      </c>
      <c r="BF65" s="14">
        <f t="shared" si="37"/>
        <v>58.784075015353338</v>
      </c>
      <c r="BG65" s="22">
        <f t="shared" si="7"/>
        <v>523.17241398507338</v>
      </c>
      <c r="BH65" s="60">
        <f t="shared" si="8"/>
        <v>816.50574731840675</v>
      </c>
      <c r="BI65" s="60">
        <f ca="1">AVERAGE(OFFSET($BH$3,0,0,'Données projet'!$E$11+1,1))-AVERAGE(OFFSET($H$3,0,0,'Données projet'!$E$11+1,1))</f>
        <v>373.7520752235389</v>
      </c>
      <c r="BJ65" s="60">
        <f t="shared" si="38"/>
        <v>205.19966474305761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10.769230769230768</v>
      </c>
      <c r="BY65" s="13">
        <f>IF('Données projet'!$A$114&gt;35,BY64+BX65-CG64,IF(A65&lt;'Données projet'!$A$114,$BV$205^A65,IF(A65='Données projet'!$A$114,'Données projet'!$B$114,BY64+BX65-CG64)))</f>
        <v>339.99999999999994</v>
      </c>
      <c r="BZ65" s="14">
        <f>BY65*VLOOKUP('Données projet'!$B$12,Paramètres!$A$1:$I$89,3,0)*VLOOKUP('Données projet'!$B$12,Paramètres!$A$1:$I$89,5,0)</f>
        <v>159.11999999999998</v>
      </c>
      <c r="CA65" s="14">
        <f t="shared" si="39"/>
        <v>40.643965284387697</v>
      </c>
      <c r="CB65" s="22">
        <f t="shared" si="10"/>
        <v>347.92223953697516</v>
      </c>
      <c r="CC65" s="60">
        <f t="shared" si="11"/>
        <v>641.25557287030847</v>
      </c>
      <c r="CD65" s="60">
        <f ca="1">AVERAGE(OFFSET($CC$3,0,0,'Données projet'!$E$12+1,1))-AVERAGE(OFFSET($H$3,0,0,'Données projet'!$E$12+1,1))</f>
        <v>141.31558705818316</v>
      </c>
      <c r="CE65" s="60">
        <f t="shared" si="40"/>
        <v>67.142010893211364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207.39999999999995</v>
      </c>
      <c r="CU65" s="18">
        <f>CT65*VLOOKUP('Données projet'!$B$13,Paramètres!$A$1:$I$89,3,0)*VLOOKUP('Données projet'!$B$13,Paramètres!$A$1:$I$89,5,0)</f>
        <v>181.18463999999997</v>
      </c>
      <c r="CV65" s="14">
        <f t="shared" si="41"/>
        <v>45.585646034700282</v>
      </c>
      <c r="CW65" s="22">
        <f t="shared" si="13"/>
        <v>394.95824817710292</v>
      </c>
      <c r="CX65" s="60">
        <f t="shared" si="14"/>
        <v>688.29158151043623</v>
      </c>
      <c r="CY65" s="60">
        <f ca="1">AVERAGE(OFFSET($CX$3,0,0,'Données projet'!$E$13+1,1))-AVERAGE(OFFSET($H$3,0,0,'Données projet'!$E$13+1,1))</f>
        <v>281.8501448773884</v>
      </c>
      <c r="CZ65" s="60">
        <f t="shared" si="42"/>
        <v>161.7340631691518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207.39999999999995</v>
      </c>
      <c r="DP65" s="18">
        <f>DO65*VLOOKUP('Données projet'!$B$14,Paramètres!$A$1:$I$89,3,0)*VLOOKUP('Données projet'!$B$14,Paramètres!$A$1:$I$89,5,0)</f>
        <v>187.65551999999994</v>
      </c>
      <c r="DQ65" s="14">
        <f t="shared" si="43"/>
        <v>47.021247649900147</v>
      </c>
      <c r="DR65" s="22">
        <f t="shared" si="16"/>
        <v>408.72870365690932</v>
      </c>
      <c r="DS65" s="60">
        <f t="shared" si="17"/>
        <v>702.06203699024263</v>
      </c>
      <c r="DT65" s="60">
        <f ca="1">AVERAGE(OFFSET($DS$3,0,0,'Données projet'!$E$14+1,1))-AVERAGE(OFFSET($H$3,0,0,'Données projet'!$E$14+1,1))</f>
        <v>295.19398489974265</v>
      </c>
      <c r="DU65" s="60">
        <f t="shared" si="44"/>
        <v>168.80998104712489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4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217.60439999999994</v>
      </c>
      <c r="P66" s="14">
        <f t="shared" si="33"/>
        <v>53.593882578706356</v>
      </c>
      <c r="Q66" s="22">
        <f t="shared" si="53"/>
        <v>472.33700882458015</v>
      </c>
      <c r="R66" s="60">
        <f t="shared" si="0"/>
        <v>765.67034215791341</v>
      </c>
      <c r="S66" s="60">
        <f ca="1">AVERAGE(OFFSET($R$3,0,0,'Données projet'!$E$9+1,1))-AVERAGE(OFFSET($H$3,0,0,'Données projet'!$E$9+1,1))</f>
        <v>341.82426415364569</v>
      </c>
      <c r="T66" s="60">
        <f t="shared" si="34"/>
        <v>193.53376539568887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-2.8421709430404007E-13</v>
      </c>
      <c r="AJ66" s="14">
        <f>AI66*VLOOKUP('Données projet'!$B$10,Paramètres!$A$1:$I$89,3,0)*VLOOKUP('Données projet'!$B$10,Paramètres!$A$1:$I$89,5,0)</f>
        <v>-1.69961822393816E-13</v>
      </c>
      <c r="AK66" s="14" t="e">
        <f t="shared" si="35"/>
        <v>#NUM!</v>
      </c>
      <c r="AL66" s="22" t="e">
        <f t="shared" si="4"/>
        <v>#NUM!</v>
      </c>
      <c r="AM66" s="60" t="e">
        <f t="shared" si="5"/>
        <v>#NUM!</v>
      </c>
      <c r="AN66" s="60">
        <f ca="1">AVERAGE(OFFSET($AM$3,0,0,'Données projet'!$E$10+1,1))-AVERAGE(OFFSET($H$3,0,0,'Données projet'!$E$10+1,1))</f>
        <v>189.8516574130017</v>
      </c>
      <c r="AO66" s="60">
        <f t="shared" si="36"/>
        <v>191.91100863555891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7.3928140350823188</v>
      </c>
      <c r="AV66" s="23">
        <f>EXP(-LN(2)/25)*AV65+(1-EXP(-LN(2)/25))/(LN(2)/25)*Calculateur!AQ66*Calculateur!AS66*VLOOKUP('Données projet'!$B$10,Paramètres!$A$1:$I$89,3,0)*0.475*44/12</f>
        <v>7.2320331482375009</v>
      </c>
      <c r="AW66" s="23">
        <f>EXP(-LN(2)/2)*AW65+(1-EXP(-LN(2)/2))/(LN(2)/2)*AQ66*AT66*VLOOKUP('Données projet'!$B$10,Paramètres!$A$1:$I$89,3,0)*0.475*44/12</f>
        <v>6.5210889379483953E-5</v>
      </c>
      <c r="AX66" s="23">
        <f t="shared" si="6"/>
        <v>14.624912394209199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4.9999999999999947</v>
      </c>
      <c r="BD66" s="13">
        <f>IF('Données projet'!$A$88&gt;35,BD65+BC66-BL65,IF(A66&lt;'Données projet'!$A$88,$BA$205^A66,IF(A66='Données projet'!$A$88,'Données projet'!$B$88,BD65+BC66-BL65)))</f>
        <v>236.15384615384599</v>
      </c>
      <c r="BE66" s="14">
        <f>BD66*VLOOKUP('Données projet'!$B$11,Paramètres!$A$1:$I$89,3,0)*VLOOKUP('Données projet'!$B$11,Paramètres!$A$1:$I$89,5,0)</f>
        <v>246.82799999999986</v>
      </c>
      <c r="BF66" s="14">
        <f t="shared" si="37"/>
        <v>59.906200832567379</v>
      </c>
      <c r="BG66" s="22">
        <f t="shared" si="7"/>
        <v>534.22873311672129</v>
      </c>
      <c r="BH66" s="60">
        <f t="shared" si="8"/>
        <v>827.56206645005454</v>
      </c>
      <c r="BI66" s="60">
        <f ca="1">AVERAGE(OFFSET($BH$3,0,0,'Données projet'!$E$11+1,1))-AVERAGE(OFFSET($H$3,0,0,'Données projet'!$E$11+1,1))</f>
        <v>373.7520752235389</v>
      </c>
      <c r="BJ66" s="60">
        <f t="shared" si="38"/>
        <v>205.19966474305761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>
        <f>VLOOKUP(A66,'Données projet'!$A$113:$I$133,2,0)</f>
        <v>350.76923076923077</v>
      </c>
      <c r="BW66" s="13">
        <f>VLOOKUP(A66,'Données projet'!$A$113:$I$133,9,0)</f>
        <v>10.769230769230768</v>
      </c>
      <c r="BX66" s="13">
        <f t="array" ref="BX66">INDEX(BW:BW,MIN(IF(ISNUMBER(BW66:BW262),ROW(BW66:BW262),"")))</f>
        <v>10.769230769230768</v>
      </c>
      <c r="BY66" s="13">
        <f>IF('Données projet'!$A$114&gt;35,BY65+BX66-CG65,IF(A66&lt;'Données projet'!$A$114,$BV$205^A66,IF(A66='Données projet'!$A$114,'Données projet'!$B$114,BY65+BX66-CG65)))</f>
        <v>350.76923076923072</v>
      </c>
      <c r="BZ66" s="14">
        <f>BY66*VLOOKUP('Données projet'!$B$12,Paramètres!$A$1:$I$89,3,0)*VLOOKUP('Données projet'!$B$12,Paramètres!$A$1:$I$89,5,0)</f>
        <v>164.15999999999997</v>
      </c>
      <c r="CA66" s="14">
        <f t="shared" si="39"/>
        <v>41.779408735262933</v>
      </c>
      <c r="CB66" s="22">
        <f t="shared" si="10"/>
        <v>358.67780354724954</v>
      </c>
      <c r="CC66" s="60">
        <f t="shared" si="11"/>
        <v>652.01113688058285</v>
      </c>
      <c r="CD66" s="60">
        <f ca="1">AVERAGE(OFFSET($CC$3,0,0,'Données projet'!$E$12+1,1))-AVERAGE(OFFSET($H$3,0,0,'Données projet'!$E$12+1,1))</f>
        <v>141.31558705818316</v>
      </c>
      <c r="CE66" s="60">
        <f t="shared" si="40"/>
        <v>67.142010893211364</v>
      </c>
      <c r="CF66" s="16">
        <f>IF(ISNA(VLOOKUP(A66,'Données projet'!$A$113:$I$133,3,0)),0,VLOOKUP(A66,'Données projet'!$A$113:$I$133,3,0))</f>
        <v>2</v>
      </c>
      <c r="CG66" s="16">
        <f>IF(ISNA(VLOOKUP(A66,'Données projet'!$A$113:$I$133,4,0)),0,VLOOKUP(A66,'Données projet'!$A$113:$I$133,4,0))</f>
        <v>108.46153846153845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214.59999999999994</v>
      </c>
      <c r="CU66" s="18">
        <f>CT66*VLOOKUP('Données projet'!$B$13,Paramètres!$A$1:$I$89,3,0)*VLOOKUP('Données projet'!$B$13,Paramètres!$A$1:$I$89,5,0)</f>
        <v>187.47455999999997</v>
      </c>
      <c r="CV66" s="14">
        <f t="shared" si="41"/>
        <v>46.981179851370101</v>
      </c>
      <c r="CW66" s="22">
        <f t="shared" si="13"/>
        <v>408.34374690780288</v>
      </c>
      <c r="CX66" s="60">
        <f t="shared" si="14"/>
        <v>701.6770802411362</v>
      </c>
      <c r="CY66" s="60">
        <f ca="1">AVERAGE(OFFSET($CX$3,0,0,'Données projet'!$E$13+1,1))-AVERAGE(OFFSET($H$3,0,0,'Données projet'!$E$13+1,1))</f>
        <v>281.8501448773884</v>
      </c>
      <c r="CZ66" s="60">
        <f t="shared" si="42"/>
        <v>161.7340631691518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214.59999999999994</v>
      </c>
      <c r="DP66" s="18">
        <f>DO66*VLOOKUP('Données projet'!$B$14,Paramètres!$A$1:$I$89,3,0)*VLOOKUP('Données projet'!$B$14,Paramètres!$A$1:$I$89,5,0)</f>
        <v>194.17007999999996</v>
      </c>
      <c r="DQ66" s="14">
        <f t="shared" si="43"/>
        <v>48.460730182351035</v>
      </c>
      <c r="DR66" s="22">
        <f t="shared" si="16"/>
        <v>422.5819944009279</v>
      </c>
      <c r="DS66" s="60">
        <f t="shared" si="17"/>
        <v>715.91532773426115</v>
      </c>
      <c r="DT66" s="60">
        <f ca="1">AVERAGE(OFFSET($DS$3,0,0,'Données projet'!$E$14+1,1))-AVERAGE(OFFSET($H$3,0,0,'Données projet'!$E$14+1,1))</f>
        <v>295.19398489974265</v>
      </c>
      <c r="DU66" s="60">
        <f t="shared" si="44"/>
        <v>168.80998104712489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4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224.90519999999995</v>
      </c>
      <c r="P67" s="14">
        <f t="shared" si="33"/>
        <v>55.17963460003309</v>
      </c>
      <c r="Q67" s="22">
        <f t="shared" ref="Q67:Q98" si="54">(O67+P67)*0.475*44/12</f>
        <v>487.81442026172425</v>
      </c>
      <c r="R67" s="60">
        <f t="shared" ref="R67:R130" si="55">Q67+(I67+J67)*44/12</f>
        <v>781.14775359505757</v>
      </c>
      <c r="S67" s="60">
        <f ca="1">AVERAGE(OFFSET($R$3,0,0,'Données projet'!$E$9+1,1))-AVERAGE(OFFSET($H$3,0,0,'Données projet'!$E$9+1,1))</f>
        <v>341.82426415364569</v>
      </c>
      <c r="T67" s="60">
        <f t="shared" si="34"/>
        <v>193.53376539568887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-2.8421709430404007E-13</v>
      </c>
      <c r="AJ67" s="14">
        <f>AI67*VLOOKUP('Données projet'!$B$10,Paramètres!$A$1:$I$89,3,0)*VLOOKUP('Données projet'!$B$10,Paramètres!$A$1:$I$89,5,0)</f>
        <v>-1.69961822393816E-13</v>
      </c>
      <c r="AK67" s="14" t="e">
        <f t="shared" si="35"/>
        <v>#NUM!</v>
      </c>
      <c r="AL67" s="22" t="e">
        <f t="shared" si="4"/>
        <v>#NUM!</v>
      </c>
      <c r="AM67" s="60" t="e">
        <f t="shared" si="5"/>
        <v>#NUM!</v>
      </c>
      <c r="AN67" s="60">
        <f ca="1">AVERAGE(OFFSET($AM$3,0,0,'Données projet'!$E$10+1,1))-AVERAGE(OFFSET($H$3,0,0,'Données projet'!$E$10+1,1))</f>
        <v>189.8516574130017</v>
      </c>
      <c r="AO67" s="60">
        <f t="shared" si="36"/>
        <v>191.91100863555891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7.2478454610256726</v>
      </c>
      <c r="AV67" s="23">
        <f>EXP(-LN(2)/25)*AV66+(1-EXP(-LN(2)/25))/(LN(2)/25)*Calculateur!AQ67*Calculateur!AS67*VLOOKUP('Données projet'!$B$10,Paramètres!$A$1:$I$89,3,0)*0.475*44/12</f>
        <v>7.034272821482852</v>
      </c>
      <c r="AW67" s="23">
        <f>EXP(-LN(2)/2)*AW66+(1-EXP(-LN(2)/2))/(LN(2)/2)*AQ67*AT67*VLOOKUP('Données projet'!$B$10,Paramètres!$A$1:$I$89,3,0)*0.475*44/12</f>
        <v>4.6111062087438915E-5</v>
      </c>
      <c r="AX67" s="23">
        <f t="shared" si="6"/>
        <v>14.282164393570611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4.9999999999999947</v>
      </c>
      <c r="BD67" s="13">
        <f>IF('Données projet'!$A$88&gt;35,BD66+BC67-BL66,IF(A67&lt;'Données projet'!$A$88,$BA$205^A67,IF(A67='Données projet'!$A$88,'Données projet'!$B$88,BD66+BC67-BL66)))</f>
        <v>241.15384615384599</v>
      </c>
      <c r="BE67" s="14">
        <f>BD67*VLOOKUP('Données projet'!$B$11,Paramètres!$A$1:$I$89,3,0)*VLOOKUP('Données projet'!$B$11,Paramètres!$A$1:$I$89,5,0)</f>
        <v>252.05399999999986</v>
      </c>
      <c r="BF67" s="14">
        <f t="shared" si="37"/>
        <v>61.025564362992029</v>
      </c>
      <c r="BG67" s="22">
        <f t="shared" si="7"/>
        <v>545.28024126554419</v>
      </c>
      <c r="BH67" s="60">
        <f t="shared" si="8"/>
        <v>838.61357459887745</v>
      </c>
      <c r="BI67" s="60">
        <f ca="1">AVERAGE(OFFSET($BH$3,0,0,'Données projet'!$E$11+1,1))-AVERAGE(OFFSET($H$3,0,0,'Données projet'!$E$11+1,1))</f>
        <v>373.7520752235389</v>
      </c>
      <c r="BJ67" s="60">
        <f t="shared" si="38"/>
        <v>205.19966474305761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9.8717948717948705</v>
      </c>
      <c r="BY67" s="13">
        <f>IF('Données projet'!$A$114&gt;35,BY66+BX67-CG66,IF(A67&lt;'Données projet'!$A$114,$BV$205^A67,IF(A67='Données projet'!$A$114,'Données projet'!$B$114,BY66+BX67-CG66)))</f>
        <v>252.17948717948713</v>
      </c>
      <c r="BZ67" s="14">
        <f>BY67*VLOOKUP('Données projet'!$B$12,Paramètres!$A$1:$I$89,3,0)*VLOOKUP('Données projet'!$B$12,Paramètres!$A$1:$I$89,5,0)</f>
        <v>118.01999999999998</v>
      </c>
      <c r="CA67" s="14">
        <f t="shared" si="39"/>
        <v>31.212750593480965</v>
      </c>
      <c r="CB67" s="22">
        <f t="shared" si="10"/>
        <v>259.91370728364598</v>
      </c>
      <c r="CC67" s="60">
        <f t="shared" si="11"/>
        <v>553.24704061697935</v>
      </c>
      <c r="CD67" s="60">
        <f ca="1">AVERAGE(OFFSET($CC$3,0,0,'Données projet'!$E$12+1,1))-AVERAGE(OFFSET($H$3,0,0,'Données projet'!$E$12+1,1))</f>
        <v>141.31558705818316</v>
      </c>
      <c r="CE67" s="60">
        <f t="shared" si="40"/>
        <v>67.142010893211364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221.79999999999993</v>
      </c>
      <c r="CU67" s="18">
        <f>CT67*VLOOKUP('Données projet'!$B$13,Paramètres!$A$1:$I$89,3,0)*VLOOKUP('Données projet'!$B$13,Paramètres!$A$1:$I$89,5,0)</f>
        <v>193.76447999999996</v>
      </c>
      <c r="CV67" s="14">
        <f t="shared" si="41"/>
        <v>48.371273222646451</v>
      </c>
      <c r="CW67" s="22">
        <f t="shared" si="13"/>
        <v>421.71977019610921</v>
      </c>
      <c r="CX67" s="60">
        <f t="shared" si="14"/>
        <v>715.05310352944252</v>
      </c>
      <c r="CY67" s="60">
        <f ca="1">AVERAGE(OFFSET($CX$3,0,0,'Données projet'!$E$13+1,1))-AVERAGE(OFFSET($H$3,0,0,'Données projet'!$E$13+1,1))</f>
        <v>281.8501448773884</v>
      </c>
      <c r="CZ67" s="60">
        <f t="shared" si="42"/>
        <v>161.7340631691518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221.79999999999993</v>
      </c>
      <c r="DP67" s="18">
        <f>DO67*VLOOKUP('Données projet'!$B$14,Paramètres!$A$1:$I$89,3,0)*VLOOKUP('Données projet'!$B$14,Paramètres!$A$1:$I$89,5,0)</f>
        <v>200.68463999999992</v>
      </c>
      <c r="DQ67" s="14">
        <f t="shared" si="43"/>
        <v>49.894600936700193</v>
      </c>
      <c r="DR67" s="22">
        <f t="shared" si="16"/>
        <v>436.42551129808606</v>
      </c>
      <c r="DS67" s="60">
        <f t="shared" si="17"/>
        <v>729.75884463141938</v>
      </c>
      <c r="DT67" s="60">
        <f ca="1">AVERAGE(OFFSET($DS$3,0,0,'Données projet'!$E$14+1,1))-AVERAGE(OFFSET($H$3,0,0,'Données projet'!$E$14+1,1))</f>
        <v>295.19398489974265</v>
      </c>
      <c r="DU67" s="60">
        <f t="shared" si="44"/>
        <v>168.80998104712489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4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232.2059999999999</v>
      </c>
      <c r="P68" s="14">
        <f t="shared" si="33"/>
        <v>56.759404991217522</v>
      </c>
      <c r="Q68" s="22">
        <f t="shared" si="54"/>
        <v>503.281413693037</v>
      </c>
      <c r="R68" s="60">
        <f t="shared" si="55"/>
        <v>796.61474702637031</v>
      </c>
      <c r="S68" s="60">
        <f ca="1">AVERAGE(OFFSET($R$3,0,0,'Données projet'!$E$9+1,1))-AVERAGE(OFFSET($H$3,0,0,'Données projet'!$E$9+1,1))</f>
        <v>341.82426415364569</v>
      </c>
      <c r="T68" s="60">
        <f t="shared" si="34"/>
        <v>193.53376539568887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-2.8421709430404007E-13</v>
      </c>
      <c r="AJ68" s="14">
        <f>AI68*VLOOKUP('Données projet'!$B$10,Paramètres!$A$1:$I$89,3,0)*VLOOKUP('Données projet'!$B$10,Paramètres!$A$1:$I$89,5,0)</f>
        <v>-1.69961822393816E-13</v>
      </c>
      <c r="AK68" s="14" t="e">
        <f t="shared" si="35"/>
        <v>#NUM!</v>
      </c>
      <c r="AL68" s="22" t="e">
        <f t="shared" ref="AL68:AL131" si="58">(AJ68+AK68)*0.475*44/12</f>
        <v>#NUM!</v>
      </c>
      <c r="AM68" s="60" t="e">
        <f t="shared" ref="AM68:AM131" si="59">AL68+(AD68+AE68)*44/12</f>
        <v>#NUM!</v>
      </c>
      <c r="AN68" s="60">
        <f ca="1">AVERAGE(OFFSET($AM$3,0,0,'Données projet'!$E$10+1,1))-AVERAGE(OFFSET($H$3,0,0,'Données projet'!$E$10+1,1))</f>
        <v>189.8516574130017</v>
      </c>
      <c r="AO68" s="60">
        <f t="shared" si="36"/>
        <v>191.91100863555891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7.1057196322841776</v>
      </c>
      <c r="AV68" s="23">
        <f>EXP(-LN(2)/25)*AV67+(1-EXP(-LN(2)/25))/(LN(2)/25)*Calculateur!AQ68*Calculateur!AS68*VLOOKUP('Données projet'!$B$10,Paramètres!$A$1:$I$89,3,0)*0.475*44/12</f>
        <v>6.8419202612630725</v>
      </c>
      <c r="AW68" s="23">
        <f>EXP(-LN(2)/2)*AW67+(1-EXP(-LN(2)/2))/(LN(2)/2)*AQ68*AT68*VLOOKUP('Données projet'!$B$10,Paramètres!$A$1:$I$89,3,0)*0.475*44/12</f>
        <v>3.2605444689741977E-5</v>
      </c>
      <c r="AX68" s="23">
        <f t="shared" ref="AX68:AX131" si="60">SUM(AU68:AW68)</f>
        <v>13.94767249899194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246.15384615384613</v>
      </c>
      <c r="BB68" s="13">
        <f>VLOOKUP(A68,'Données projet'!$A$87:$I$107,9,0)</f>
        <v>4.9999999999999947</v>
      </c>
      <c r="BC68" s="13">
        <f t="array" ref="BC68">INDEX(BB:BB,MIN(IF(ISNUMBER(BB68:BB264),ROW(BB68:BB264),"")))</f>
        <v>4.9999999999999947</v>
      </c>
      <c r="BD68" s="13">
        <f>IF('Données projet'!$A$88&gt;35,BD67+BC68-BL67,IF(A68&lt;'Données projet'!$A$88,$BA$205^A68,IF(A68='Données projet'!$A$88,'Données projet'!$B$88,BD67+BC68-BL67)))</f>
        <v>246.15384615384599</v>
      </c>
      <c r="BE68" s="14">
        <f>BD68*VLOOKUP('Données projet'!$B$11,Paramètres!$A$1:$I$89,3,0)*VLOOKUP('Données projet'!$B$11,Paramètres!$A$1:$I$89,5,0)</f>
        <v>257.27999999999986</v>
      </c>
      <c r="BF68" s="14">
        <f t="shared" si="37"/>
        <v>62.142229477562289</v>
      </c>
      <c r="BG68" s="22">
        <f t="shared" ref="BG68:BG131" si="61">(BE68+BF68)*0.475*44/12</f>
        <v>556.32704967342067</v>
      </c>
      <c r="BH68" s="60">
        <f t="shared" ref="BH68:BH131" si="62">BG68+(AY68+AZ68)*44/12</f>
        <v>849.66038300675405</v>
      </c>
      <c r="BI68" s="60">
        <f ca="1">AVERAGE(OFFSET($BH$3,0,0,'Données projet'!$E$11+1,1))-AVERAGE(OFFSET($H$3,0,0,'Données projet'!$E$11+1,1))</f>
        <v>373.7520752235389</v>
      </c>
      <c r="BJ68" s="60">
        <f t="shared" si="38"/>
        <v>205.19966474305761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23.717948717948715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9.8717948717948705</v>
      </c>
      <c r="BY68" s="13">
        <f>IF('Données projet'!$A$114&gt;35,BY67+BX68-CG67,IF(A68&lt;'Données projet'!$A$114,$BV$205^A68,IF(A68='Données projet'!$A$114,'Données projet'!$B$114,BY67+BX68-CG67)))</f>
        <v>262.05128205128199</v>
      </c>
      <c r="BZ68" s="14">
        <f>BY68*VLOOKUP('Données projet'!$B$12,Paramètres!$A$1:$I$89,3,0)*VLOOKUP('Données projet'!$B$12,Paramètres!$A$1:$I$89,5,0)</f>
        <v>122.63999999999997</v>
      </c>
      <c r="CA68" s="14">
        <f t="shared" si="39"/>
        <v>32.289953931572668</v>
      </c>
      <c r="CB68" s="22">
        <f t="shared" ref="CB68:CB131" si="64">(BZ68+CA68)*0.475*44/12</f>
        <v>269.83633643082231</v>
      </c>
      <c r="CC68" s="60">
        <f t="shared" ref="CC68:CC131" si="65">CB68+(BT68+BU68)*44/12</f>
        <v>563.16966976415563</v>
      </c>
      <c r="CD68" s="60">
        <f ca="1">AVERAGE(OFFSET($CC$3,0,0,'Données projet'!$E$12+1,1))-AVERAGE(OFFSET($H$3,0,0,'Données projet'!$E$12+1,1))</f>
        <v>141.31558705818316</v>
      </c>
      <c r="CE68" s="60">
        <f t="shared" si="40"/>
        <v>67.142010893211364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228.99999999999991</v>
      </c>
      <c r="CU68" s="18">
        <f>CT68*VLOOKUP('Données projet'!$B$13,Paramètres!$A$1:$I$89,3,0)*VLOOKUP('Données projet'!$B$13,Paramètres!$A$1:$I$89,5,0)</f>
        <v>200.05439999999993</v>
      </c>
      <c r="CV68" s="14">
        <f t="shared" si="41"/>
        <v>49.756123009618186</v>
      </c>
      <c r="CW68" s="22">
        <f t="shared" ref="CW68:CW131" si="67">(CU68+CV68)*0.475*44/12</f>
        <v>435.0866609084182</v>
      </c>
      <c r="CX68" s="60">
        <f t="shared" ref="CX68:CX131" si="68">CW68+(CO68+CP68)*44/12</f>
        <v>728.41999424175151</v>
      </c>
      <c r="CY68" s="60">
        <f ca="1">AVERAGE(OFFSET($CX$3,0,0,'Données projet'!$E$13+1,1))-AVERAGE(OFFSET($H$3,0,0,'Données projet'!$E$13+1,1))</f>
        <v>281.8501448773884</v>
      </c>
      <c r="CZ68" s="60">
        <f t="shared" si="42"/>
        <v>161.7340631691518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228.99999999999991</v>
      </c>
      <c r="DP68" s="18">
        <f>DO68*VLOOKUP('Données projet'!$B$14,Paramètres!$A$1:$I$89,3,0)*VLOOKUP('Données projet'!$B$14,Paramètres!$A$1:$I$89,5,0)</f>
        <v>207.19919999999991</v>
      </c>
      <c r="DQ68" s="14">
        <f t="shared" si="43"/>
        <v>51.3230629736655</v>
      </c>
      <c r="DR68" s="22">
        <f t="shared" ref="DR68:DR131" si="70">(DP68+DQ68)*0.475*44/12</f>
        <v>450.25960801246725</v>
      </c>
      <c r="DS68" s="60">
        <f t="shared" ref="DS68:DS131" si="71">DR68+(DJ68+DK68)*44/12</f>
        <v>743.59294134580057</v>
      </c>
      <c r="DT68" s="60">
        <f ca="1">AVERAGE(OFFSET($DS$3,0,0,'Données projet'!$E$14+1,1))-AVERAGE(OFFSET($H$3,0,0,'Données projet'!$E$14+1,1))</f>
        <v>295.19398489974265</v>
      </c>
      <c r="DU68" s="60">
        <f t="shared" si="44"/>
        <v>168.80998104712489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4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239.10119999999995</v>
      </c>
      <c r="P69" s="14">
        <f t="shared" ref="P69:P132" si="87">EXP(-1.0587+0.8836*LN(O69)+0.284)</f>
        <v>58.246107075777331</v>
      </c>
      <c r="Q69" s="22">
        <f t="shared" si="54"/>
        <v>517.87989315697871</v>
      </c>
      <c r="R69" s="60">
        <f t="shared" si="55"/>
        <v>811.21322649031208</v>
      </c>
      <c r="S69" s="60">
        <f ca="1">AVERAGE(OFFSET($R$3,0,0,'Données projet'!$E$9+1,1))-AVERAGE(OFFSET($H$3,0,0,'Données projet'!$E$9+1,1))</f>
        <v>341.82426415364569</v>
      </c>
      <c r="T69" s="60">
        <f t="shared" ref="T69:T132" si="88">$T$3</f>
        <v>193.53376539568887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-2.8421709430404007E-13</v>
      </c>
      <c r="AJ69" s="14">
        <f>AI69*VLOOKUP('Données projet'!$B$10,Paramètres!$A$1:$I$89,3,0)*VLOOKUP('Données projet'!$B$10,Paramètres!$A$1:$I$89,5,0)</f>
        <v>-1.69961822393816E-13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0" t="e">
        <f t="shared" si="59"/>
        <v>#NUM!</v>
      </c>
      <c r="AN69" s="60">
        <f ca="1">AVERAGE(OFFSET($AM$3,0,0,'Données projet'!$E$10+1,1))-AVERAGE(OFFSET($H$3,0,0,'Données projet'!$E$10+1,1))</f>
        <v>189.8516574130017</v>
      </c>
      <c r="AO69" s="60">
        <f t="shared" ref="AO69:AO132" si="90">$AO$3</f>
        <v>191.91100863555891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6.966380804356108</v>
      </c>
      <c r="AV69" s="23">
        <f>EXP(-LN(2)/25)*AV68+(1-EXP(-LN(2)/25))/(LN(2)/25)*Calculateur!AQ69*Calculateur!AS69*VLOOKUP('Données projet'!$B$10,Paramètres!$A$1:$I$89,3,0)*0.475*44/12</f>
        <v>6.6548275919178845</v>
      </c>
      <c r="AW69" s="23">
        <f>EXP(-LN(2)/2)*AW68+(1-EXP(-LN(2)/2))/(LN(2)/2)*AQ69*AT69*VLOOKUP('Données projet'!$B$10,Paramètres!$A$1:$I$89,3,0)*0.475*44/12</f>
        <v>2.3055531043719458E-5</v>
      </c>
      <c r="AX69" s="23">
        <f t="shared" si="60"/>
        <v>13.621231451805036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4.8717948717948785</v>
      </c>
      <c r="BD69" s="13">
        <f>IF('Données projet'!$A$88&gt;35,BD68+BC69-BL68,IF(A69&lt;'Données projet'!$A$88,$BA$205^A69,IF(A69='Données projet'!$A$88,'Données projet'!$B$88,BD68+BC69-BL68)))</f>
        <v>227.30769230769215</v>
      </c>
      <c r="BE69" s="14">
        <f>BD69*VLOOKUP('Données projet'!$B$11,Paramètres!$A$1:$I$89,3,0)*VLOOKUP('Données projet'!$B$11,Paramètres!$A$1:$I$89,5,0)</f>
        <v>237.58199999999985</v>
      </c>
      <c r="BF69" s="14">
        <f t="shared" ref="BF69:BF132" si="91">EXP(-1.0587+0.8836*LN(BE69)+0.284)</f>
        <v>57.918979800180793</v>
      </c>
      <c r="BG69" s="22">
        <f t="shared" si="61"/>
        <v>514.66420648531459</v>
      </c>
      <c r="BH69" s="60">
        <f t="shared" si="62"/>
        <v>807.99753981864797</v>
      </c>
      <c r="BI69" s="60">
        <f ca="1">AVERAGE(OFFSET($BH$3,0,0,'Données projet'!$E$11+1,1))-AVERAGE(OFFSET($H$3,0,0,'Données projet'!$E$11+1,1))</f>
        <v>373.7520752235389</v>
      </c>
      <c r="BJ69" s="60">
        <f t="shared" ref="BJ69:BJ132" si="92">$BJ$3</f>
        <v>205.19966474305761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9.8717948717948705</v>
      </c>
      <c r="BY69" s="13">
        <f>IF('Données projet'!$A$114&gt;35,BY68+BX69-CG68,IF(A69&lt;'Données projet'!$A$114,$BV$205^A69,IF(A69='Données projet'!$A$114,'Données projet'!$B$114,BY68+BX69-CG68)))</f>
        <v>271.92307692307685</v>
      </c>
      <c r="BZ69" s="14">
        <f>BY69*VLOOKUP('Données projet'!$B$12,Paramètres!$A$1:$I$89,3,0)*VLOOKUP('Données projet'!$B$12,Paramètres!$A$1:$I$89,5,0)</f>
        <v>127.25999999999998</v>
      </c>
      <c r="CA69" s="14">
        <f t="shared" ref="CA69:CA132" si="93">EXP(-1.0587+0.8836*LN(BZ69)+0.284)</f>
        <v>33.362442969975817</v>
      </c>
      <c r="CB69" s="22">
        <f t="shared" si="64"/>
        <v>279.75075483937445</v>
      </c>
      <c r="CC69" s="60">
        <f t="shared" si="65"/>
        <v>573.08408817270777</v>
      </c>
      <c r="CD69" s="60">
        <f ca="1">AVERAGE(OFFSET($CC$3,0,0,'Données projet'!$E$12+1,1))-AVERAGE(OFFSET($H$3,0,0,'Données projet'!$E$12+1,1))</f>
        <v>141.31558705818316</v>
      </c>
      <c r="CE69" s="60">
        <f t="shared" ref="CE69:CE132" si="94">$CE$3</f>
        <v>67.142010893211364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235.79999999999993</v>
      </c>
      <c r="CU69" s="18">
        <f>CT69*VLOOKUP('Données projet'!$B$13,Paramètres!$A$1:$I$89,3,0)*VLOOKUP('Données projet'!$B$13,Paramètres!$A$1:$I$89,5,0)</f>
        <v>205.99487999999997</v>
      </c>
      <c r="CV69" s="14">
        <f t="shared" ref="CV69:CV132" si="95">EXP(-1.0587+0.8836*LN(CU69)+0.284)</f>
        <v>51.059387760357858</v>
      </c>
      <c r="CW69" s="22">
        <f t="shared" si="67"/>
        <v>447.70284968262325</v>
      </c>
      <c r="CX69" s="60">
        <f t="shared" si="68"/>
        <v>741.03618301595657</v>
      </c>
      <c r="CY69" s="60">
        <f ca="1">AVERAGE(OFFSET($CX$3,0,0,'Données projet'!$E$13+1,1))-AVERAGE(OFFSET($H$3,0,0,'Données projet'!$E$13+1,1))</f>
        <v>281.8501448773884</v>
      </c>
      <c r="CZ69" s="60">
        <f t="shared" ref="CZ69:CZ132" si="96">$CZ$3</f>
        <v>161.7340631691518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235.79999999999993</v>
      </c>
      <c r="DP69" s="18">
        <f>DO69*VLOOKUP('Données projet'!$B$14,Paramètres!$A$1:$I$89,3,0)*VLOOKUP('Données projet'!$B$14,Paramètres!$A$1:$I$89,5,0)</f>
        <v>213.35183999999992</v>
      </c>
      <c r="DQ69" s="14">
        <f t="shared" ref="DQ69:DQ132" si="97">EXP(-1.0587+0.8836*LN(DP69)+0.284)</f>
        <v>52.667370665417188</v>
      </c>
      <c r="DR69" s="22">
        <f t="shared" si="70"/>
        <v>463.31679190893482</v>
      </c>
      <c r="DS69" s="60">
        <f t="shared" si="71"/>
        <v>756.65012524226813</v>
      </c>
      <c r="DT69" s="60">
        <f ca="1">AVERAGE(OFFSET($DS$3,0,0,'Données projet'!$E$14+1,1))-AVERAGE(OFFSET($H$3,0,0,'Données projet'!$E$14+1,1))</f>
        <v>295.19398489974265</v>
      </c>
      <c r="DU69" s="60">
        <f t="shared" ref="DU69:DU132" si="98">$DU$3</f>
        <v>168.80998104712489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4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245.99639999999997</v>
      </c>
      <c r="P70" s="14">
        <f t="shared" si="87"/>
        <v>59.72782632026442</v>
      </c>
      <c r="Q70" s="22">
        <f t="shared" si="54"/>
        <v>532.46969417446041</v>
      </c>
      <c r="R70" s="60">
        <f t="shared" si="55"/>
        <v>825.80302750779379</v>
      </c>
      <c r="S70" s="60">
        <f ca="1">AVERAGE(OFFSET($R$3,0,0,'Données projet'!$E$9+1,1))-AVERAGE(OFFSET($H$3,0,0,'Données projet'!$E$9+1,1))</f>
        <v>341.82426415364569</v>
      </c>
      <c r="T70" s="60">
        <f t="shared" si="88"/>
        <v>193.53376539568887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-2.8421709430404007E-13</v>
      </c>
      <c r="AJ70" s="14">
        <f>AI70*VLOOKUP('Données projet'!$B$10,Paramètres!$A$1:$I$89,3,0)*VLOOKUP('Données projet'!$B$10,Paramètres!$A$1:$I$89,5,0)</f>
        <v>-1.69961822393816E-13</v>
      </c>
      <c r="AK70" s="14" t="e">
        <f t="shared" si="89"/>
        <v>#NUM!</v>
      </c>
      <c r="AL70" s="22" t="e">
        <f t="shared" si="58"/>
        <v>#NUM!</v>
      </c>
      <c r="AM70" s="60" t="e">
        <f t="shared" si="59"/>
        <v>#NUM!</v>
      </c>
      <c r="AN70" s="60">
        <f ca="1">AVERAGE(OFFSET($AM$3,0,0,'Données projet'!$E$10+1,1))-AVERAGE(OFFSET($H$3,0,0,'Données projet'!$E$10+1,1))</f>
        <v>189.8516574130017</v>
      </c>
      <c r="AO70" s="60">
        <f t="shared" si="90"/>
        <v>191.91100863555891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6.8297743258554142</v>
      </c>
      <c r="AV70" s="23">
        <f>EXP(-LN(2)/25)*AV69+(1-EXP(-LN(2)/25))/(LN(2)/25)*Calculateur!AQ70*Calculateur!AS70*VLOOKUP('Données projet'!$B$10,Paramètres!$A$1:$I$89,3,0)*0.475*44/12</f>
        <v>6.4728509814547168</v>
      </c>
      <c r="AW70" s="23">
        <f>EXP(-LN(2)/2)*AW69+(1-EXP(-LN(2)/2))/(LN(2)/2)*AQ70*AT70*VLOOKUP('Données projet'!$B$10,Paramètres!$A$1:$I$89,3,0)*0.475*44/12</f>
        <v>1.6302722344870988E-5</v>
      </c>
      <c r="AX70" s="23">
        <f t="shared" si="60"/>
        <v>13.302641610032476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4.8717948717948785</v>
      </c>
      <c r="BD70" s="13">
        <f>IF('Données projet'!$A$88&gt;35,BD69+BC70-BL69,IF(A70&lt;'Données projet'!$A$88,$BA$205^A70,IF(A70='Données projet'!$A$88,'Données projet'!$B$88,BD69+BC70-BL69)))</f>
        <v>232.17948717948704</v>
      </c>
      <c r="BE70" s="14">
        <f>BD70*VLOOKUP('Données projet'!$B$11,Paramètres!$A$1:$I$89,3,0)*VLOOKUP('Données projet'!$B$11,Paramètres!$A$1:$I$89,5,0)</f>
        <v>242.67399999999989</v>
      </c>
      <c r="BF70" s="14">
        <f t="shared" si="91"/>
        <v>59.014483080009285</v>
      </c>
      <c r="BG70" s="22">
        <f t="shared" si="61"/>
        <v>525.44077469768263</v>
      </c>
      <c r="BH70" s="60">
        <f t="shared" si="62"/>
        <v>818.77410803101588</v>
      </c>
      <c r="BI70" s="60">
        <f ca="1">AVERAGE(OFFSET($BH$3,0,0,'Données projet'!$E$11+1,1))-AVERAGE(OFFSET($H$3,0,0,'Données projet'!$E$11+1,1))</f>
        <v>373.7520752235389</v>
      </c>
      <c r="BJ70" s="60">
        <f t="shared" si="92"/>
        <v>205.19966474305761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9.8717948717948705</v>
      </c>
      <c r="BY70" s="13">
        <f>IF('Données projet'!$A$114&gt;35,BY69+BX70-CG69,IF(A70&lt;'Données projet'!$A$114,$BV$205^A70,IF(A70='Données projet'!$A$114,'Données projet'!$B$114,BY69+BX70-CG69)))</f>
        <v>281.79487179487171</v>
      </c>
      <c r="BZ70" s="14">
        <f>BY70*VLOOKUP('Données projet'!$B$12,Paramètres!$A$1:$I$89,3,0)*VLOOKUP('Données projet'!$B$12,Paramètres!$A$1:$I$89,5,0)</f>
        <v>131.87999999999994</v>
      </c>
      <c r="CA70" s="14">
        <f t="shared" si="93"/>
        <v>34.430408458396784</v>
      </c>
      <c r="CB70" s="22">
        <f t="shared" si="64"/>
        <v>289.65729473170762</v>
      </c>
      <c r="CC70" s="60">
        <f t="shared" si="65"/>
        <v>582.99062806504094</v>
      </c>
      <c r="CD70" s="60">
        <f ca="1">AVERAGE(OFFSET($CC$3,0,0,'Données projet'!$E$12+1,1))-AVERAGE(OFFSET($H$3,0,0,'Données projet'!$E$12+1,1))</f>
        <v>141.31558705818316</v>
      </c>
      <c r="CE70" s="60">
        <f t="shared" si="94"/>
        <v>67.142010893211364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242.59999999999994</v>
      </c>
      <c r="CU70" s="18">
        <f>CT70*VLOOKUP('Données projet'!$B$13,Paramètres!$A$1:$I$89,3,0)*VLOOKUP('Données projet'!$B$13,Paramètres!$A$1:$I$89,5,0)</f>
        <v>211.93535999999995</v>
      </c>
      <c r="CV70" s="14">
        <f t="shared" si="95"/>
        <v>52.358284480748523</v>
      </c>
      <c r="CW70" s="22">
        <f t="shared" si="67"/>
        <v>460.31143080397027</v>
      </c>
      <c r="CX70" s="60">
        <f t="shared" si="68"/>
        <v>753.64476413730358</v>
      </c>
      <c r="CY70" s="60">
        <f ca="1">AVERAGE(OFFSET($CX$3,0,0,'Données projet'!$E$13+1,1))-AVERAGE(OFFSET($H$3,0,0,'Données projet'!$E$13+1,1))</f>
        <v>281.8501448773884</v>
      </c>
      <c r="CZ70" s="60">
        <f t="shared" si="96"/>
        <v>161.7340631691518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242.59999999999994</v>
      </c>
      <c r="DP70" s="18">
        <f>DO70*VLOOKUP('Données projet'!$B$14,Paramètres!$A$1:$I$89,3,0)*VLOOKUP('Données projet'!$B$14,Paramètres!$A$1:$I$89,5,0)</f>
        <v>219.50447999999992</v>
      </c>
      <c r="DQ70" s="14">
        <f t="shared" si="97"/>
        <v>54.007172767040167</v>
      </c>
      <c r="DR70" s="22">
        <f t="shared" si="70"/>
        <v>476.36612856926143</v>
      </c>
      <c r="DS70" s="60">
        <f t="shared" si="71"/>
        <v>769.69946190259475</v>
      </c>
      <c r="DT70" s="60">
        <f ca="1">AVERAGE(OFFSET($DS$3,0,0,'Données projet'!$E$14+1,1))-AVERAGE(OFFSET($H$3,0,0,'Données projet'!$E$14+1,1))</f>
        <v>295.19398489974265</v>
      </c>
      <c r="DU70" s="60">
        <f t="shared" si="98"/>
        <v>168.80998104712489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4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252.89159999999998</v>
      </c>
      <c r="P71" s="14">
        <f t="shared" si="87"/>
        <v>61.204718436590312</v>
      </c>
      <c r="Q71" s="22">
        <f t="shared" si="54"/>
        <v>547.05108794372802</v>
      </c>
      <c r="R71" s="60">
        <f t="shared" si="55"/>
        <v>840.38442127706139</v>
      </c>
      <c r="S71" s="60">
        <f ca="1">AVERAGE(OFFSET($R$3,0,0,'Données projet'!$E$9+1,1))-AVERAGE(OFFSET($H$3,0,0,'Données projet'!$E$9+1,1))</f>
        <v>341.82426415364569</v>
      </c>
      <c r="T71" s="60">
        <f t="shared" si="88"/>
        <v>193.53376539568887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-2.8421709430404007E-13</v>
      </c>
      <c r="AJ71" s="14">
        <f>AI71*VLOOKUP('Données projet'!$B$10,Paramètres!$A$1:$I$89,3,0)*VLOOKUP('Données projet'!$B$10,Paramètres!$A$1:$I$89,5,0)</f>
        <v>-1.69961822393816E-13</v>
      </c>
      <c r="AK71" s="14" t="e">
        <f t="shared" si="89"/>
        <v>#NUM!</v>
      </c>
      <c r="AL71" s="22" t="e">
        <f t="shared" si="58"/>
        <v>#NUM!</v>
      </c>
      <c r="AM71" s="60" t="e">
        <f t="shared" si="59"/>
        <v>#NUM!</v>
      </c>
      <c r="AN71" s="60">
        <f ca="1">AVERAGE(OFFSET($AM$3,0,0,'Données projet'!$E$10+1,1))-AVERAGE(OFFSET($H$3,0,0,'Données projet'!$E$10+1,1))</f>
        <v>189.8516574130017</v>
      </c>
      <c r="AO71" s="60">
        <f t="shared" si="90"/>
        <v>191.91100863555891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6.6958466170763948</v>
      </c>
      <c r="AV71" s="23">
        <f>EXP(-LN(2)/25)*AV70+(1-EXP(-LN(2)/25))/(LN(2)/25)*Calculateur!AQ71*Calculateur!AS71*VLOOKUP('Données projet'!$B$10,Paramètres!$A$1:$I$89,3,0)*0.475*44/12</f>
        <v>6.2958505309743984</v>
      </c>
      <c r="AW71" s="23">
        <f>EXP(-LN(2)/2)*AW70+(1-EXP(-LN(2)/2))/(LN(2)/2)*AQ71*AT71*VLOOKUP('Données projet'!$B$10,Paramètres!$A$1:$I$89,3,0)*0.475*44/12</f>
        <v>1.1527765521859729E-5</v>
      </c>
      <c r="AX71" s="23">
        <f t="shared" si="60"/>
        <v>12.991708675816316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4.8717948717948785</v>
      </c>
      <c r="BD71" s="13">
        <f>IF('Données projet'!$A$88&gt;35,BD70+BC71-BL70,IF(A71&lt;'Données projet'!$A$88,$BA$205^A71,IF(A71='Données projet'!$A$88,'Données projet'!$B$88,BD70+BC71-BL70)))</f>
        <v>237.05128205128193</v>
      </c>
      <c r="BE71" s="14">
        <f>BD71*VLOOKUP('Données projet'!$B$11,Paramètres!$A$1:$I$89,3,0)*VLOOKUP('Données projet'!$B$11,Paramètres!$A$1:$I$89,5,0)</f>
        <v>247.76599999999991</v>
      </c>
      <c r="BF71" s="14">
        <f t="shared" si="91"/>
        <v>60.107313751974949</v>
      </c>
      <c r="BG71" s="22">
        <f t="shared" si="61"/>
        <v>536.21268811802292</v>
      </c>
      <c r="BH71" s="60">
        <f t="shared" si="62"/>
        <v>829.54602145135618</v>
      </c>
      <c r="BI71" s="60">
        <f ca="1">AVERAGE(OFFSET($BH$3,0,0,'Données projet'!$E$11+1,1))-AVERAGE(OFFSET($H$3,0,0,'Données projet'!$E$11+1,1))</f>
        <v>373.7520752235389</v>
      </c>
      <c r="BJ71" s="60">
        <f t="shared" si="92"/>
        <v>205.19966474305761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9.8717948717948705</v>
      </c>
      <c r="BY71" s="13">
        <f>IF('Données projet'!$A$114&gt;35,BY70+BX71-CG70,IF(A71&lt;'Données projet'!$A$114,$BV$205^A71,IF(A71='Données projet'!$A$114,'Données projet'!$B$114,BY70+BX71-CG70)))</f>
        <v>291.66666666666657</v>
      </c>
      <c r="BZ71" s="14">
        <f>BY71*VLOOKUP('Données projet'!$B$12,Paramètres!$A$1:$I$89,3,0)*VLOOKUP('Données projet'!$B$12,Paramètres!$A$1:$I$89,5,0)</f>
        <v>136.49999999999994</v>
      </c>
      <c r="CA71" s="14">
        <f t="shared" si="93"/>
        <v>35.494027024087352</v>
      </c>
      <c r="CB71" s="22">
        <f t="shared" si="64"/>
        <v>299.55626373361866</v>
      </c>
      <c r="CC71" s="60">
        <f t="shared" si="65"/>
        <v>592.88959706695198</v>
      </c>
      <c r="CD71" s="60">
        <f ca="1">AVERAGE(OFFSET($CC$3,0,0,'Données projet'!$E$12+1,1))-AVERAGE(OFFSET($H$3,0,0,'Données projet'!$E$12+1,1))</f>
        <v>141.31558705818316</v>
      </c>
      <c r="CE71" s="60">
        <f t="shared" si="94"/>
        <v>67.142010893211364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249.39999999999995</v>
      </c>
      <c r="CU71" s="18">
        <f>CT71*VLOOKUP('Données projet'!$B$13,Paramètres!$A$1:$I$89,3,0)*VLOOKUP('Données projet'!$B$13,Paramètres!$A$1:$I$89,5,0)</f>
        <v>217.87583999999998</v>
      </c>
      <c r="CV71" s="14">
        <f t="shared" si="95"/>
        <v>53.652949670124926</v>
      </c>
      <c r="CW71" s="22">
        <f t="shared" si="67"/>
        <v>472.9126420088009</v>
      </c>
      <c r="CX71" s="60">
        <f t="shared" si="68"/>
        <v>766.24597534213422</v>
      </c>
      <c r="CY71" s="60">
        <f ca="1">AVERAGE(OFFSET($CX$3,0,0,'Données projet'!$E$13+1,1))-AVERAGE(OFFSET($H$3,0,0,'Données projet'!$E$13+1,1))</f>
        <v>281.8501448773884</v>
      </c>
      <c r="CZ71" s="60">
        <f t="shared" si="96"/>
        <v>161.7340631691518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249.39999999999995</v>
      </c>
      <c r="DP71" s="18">
        <f>DO71*VLOOKUP('Données projet'!$B$14,Paramètres!$A$1:$I$89,3,0)*VLOOKUP('Données projet'!$B$14,Paramètres!$A$1:$I$89,5,0)</f>
        <v>225.65711999999994</v>
      </c>
      <c r="DQ71" s="14">
        <f t="shared" si="97"/>
        <v>55.342610076561513</v>
      </c>
      <c r="DR71" s="22">
        <f t="shared" si="70"/>
        <v>489.40786321667775</v>
      </c>
      <c r="DS71" s="60">
        <f t="shared" si="71"/>
        <v>782.74119655001107</v>
      </c>
      <c r="DT71" s="60">
        <f ca="1">AVERAGE(OFFSET($DS$3,0,0,'Données projet'!$E$14+1,1))-AVERAGE(OFFSET($H$3,0,0,'Données projet'!$E$14+1,1))</f>
        <v>295.19398489974265</v>
      </c>
      <c r="DU71" s="60">
        <f t="shared" si="98"/>
        <v>168.80998104712489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4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259.78679999999997</v>
      </c>
      <c r="P72" s="14">
        <f t="shared" si="87"/>
        <v>62.676930162260739</v>
      </c>
      <c r="Q72" s="22">
        <f t="shared" si="54"/>
        <v>561.62433003260401</v>
      </c>
      <c r="R72" s="60">
        <f t="shared" si="55"/>
        <v>854.95766336593738</v>
      </c>
      <c r="S72" s="60">
        <f ca="1">AVERAGE(OFFSET($R$3,0,0,'Données projet'!$E$9+1,1))-AVERAGE(OFFSET($H$3,0,0,'Données projet'!$E$9+1,1))</f>
        <v>341.82426415364569</v>
      </c>
      <c r="T72" s="60">
        <f t="shared" si="88"/>
        <v>193.53376539568887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-2.8421709430404007E-13</v>
      </c>
      <c r="AJ72" s="14">
        <f>AI72*VLOOKUP('Données projet'!$B$10,Paramètres!$A$1:$I$89,3,0)*VLOOKUP('Données projet'!$B$10,Paramètres!$A$1:$I$89,5,0)</f>
        <v>-1.69961822393816E-13</v>
      </c>
      <c r="AK72" s="14" t="e">
        <f t="shared" si="89"/>
        <v>#NUM!</v>
      </c>
      <c r="AL72" s="22" t="e">
        <f t="shared" si="58"/>
        <v>#NUM!</v>
      </c>
      <c r="AM72" s="60" t="e">
        <f t="shared" si="59"/>
        <v>#NUM!</v>
      </c>
      <c r="AN72" s="60">
        <f ca="1">AVERAGE(OFFSET($AM$3,0,0,'Données projet'!$E$10+1,1))-AVERAGE(OFFSET($H$3,0,0,'Données projet'!$E$10+1,1))</f>
        <v>189.8516574130017</v>
      </c>
      <c r="AO72" s="60">
        <f t="shared" si="90"/>
        <v>191.91100863555891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6.564545148978695</v>
      </c>
      <c r="AV72" s="23">
        <f>EXP(-LN(2)/25)*AV71+(1-EXP(-LN(2)/25))/(LN(2)/25)*Calculateur!AQ72*Calculateur!AS72*VLOOKUP('Données projet'!$B$10,Paramètres!$A$1:$I$89,3,0)*0.475*44/12</f>
        <v>6.1236901671205137</v>
      </c>
      <c r="AW72" s="23">
        <f>EXP(-LN(2)/2)*AW71+(1-EXP(-LN(2)/2))/(LN(2)/2)*AQ72*AT72*VLOOKUP('Données projet'!$B$10,Paramètres!$A$1:$I$89,3,0)*0.475*44/12</f>
        <v>8.1513611724354941E-6</v>
      </c>
      <c r="AX72" s="23">
        <f t="shared" si="60"/>
        <v>12.688243467460381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4.8717948717948785</v>
      </c>
      <c r="BD72" s="13">
        <f>IF('Données projet'!$A$88&gt;35,BD71+BC72-BL71,IF(A72&lt;'Données projet'!$A$88,$BA$205^A72,IF(A72='Données projet'!$A$88,'Données projet'!$B$88,BD71+BC72-BL71)))</f>
        <v>241.92307692307682</v>
      </c>
      <c r="BE72" s="14">
        <f>BD72*VLOOKUP('Données projet'!$B$11,Paramètres!$A$1:$I$89,3,0)*VLOOKUP('Données projet'!$B$11,Paramètres!$A$1:$I$89,5,0)</f>
        <v>252.85799999999992</v>
      </c>
      <c r="BF72" s="14">
        <f t="shared" si="91"/>
        <v>61.197533071441029</v>
      </c>
      <c r="BG72" s="22">
        <f t="shared" si="61"/>
        <v>546.98005343275963</v>
      </c>
      <c r="BH72" s="60">
        <f t="shared" si="62"/>
        <v>840.31338676609289</v>
      </c>
      <c r="BI72" s="60">
        <f ca="1">AVERAGE(OFFSET($BH$3,0,0,'Données projet'!$E$11+1,1))-AVERAGE(OFFSET($H$3,0,0,'Données projet'!$E$11+1,1))</f>
        <v>373.7520752235389</v>
      </c>
      <c r="BJ72" s="60">
        <f t="shared" si="92"/>
        <v>205.19966474305761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9.8717948717948705</v>
      </c>
      <c r="BY72" s="13">
        <f>IF('Données projet'!$A$114&gt;35,BY71+BX72-CG71,IF(A72&lt;'Données projet'!$A$114,$BV$205^A72,IF(A72='Données projet'!$A$114,'Données projet'!$B$114,BY71+BX72-CG71)))</f>
        <v>301.53846153846143</v>
      </c>
      <c r="BZ72" s="14">
        <f>BY72*VLOOKUP('Données projet'!$B$12,Paramètres!$A$1:$I$89,3,0)*VLOOKUP('Données projet'!$B$12,Paramètres!$A$1:$I$89,5,0)</f>
        <v>141.11999999999995</v>
      </c>
      <c r="CA72" s="14">
        <f t="shared" si="93"/>
        <v>36.553462659686843</v>
      </c>
      <c r="CB72" s="22">
        <f t="shared" si="64"/>
        <v>309.4479474656211</v>
      </c>
      <c r="CC72" s="60">
        <f t="shared" si="65"/>
        <v>602.78128079895441</v>
      </c>
      <c r="CD72" s="60">
        <f ca="1">AVERAGE(OFFSET($CC$3,0,0,'Données projet'!$E$12+1,1))-AVERAGE(OFFSET($H$3,0,0,'Données projet'!$E$12+1,1))</f>
        <v>141.31558705818316</v>
      </c>
      <c r="CE72" s="60">
        <f t="shared" si="94"/>
        <v>67.142010893211364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256.19999999999993</v>
      </c>
      <c r="CU72" s="18">
        <f>CT72*VLOOKUP('Données projet'!$B$13,Paramètres!$A$1:$I$89,3,0)*VLOOKUP('Données projet'!$B$13,Paramètres!$A$1:$I$89,5,0)</f>
        <v>223.81631999999999</v>
      </c>
      <c r="CV72" s="14">
        <f t="shared" si="95"/>
        <v>54.94351196072666</v>
      </c>
      <c r="CW72" s="22">
        <f t="shared" si="67"/>
        <v>485.50670733159899</v>
      </c>
      <c r="CX72" s="60">
        <f t="shared" si="68"/>
        <v>778.8400406649323</v>
      </c>
      <c r="CY72" s="60">
        <f ca="1">AVERAGE(OFFSET($CX$3,0,0,'Données projet'!$E$13+1,1))-AVERAGE(OFFSET($H$3,0,0,'Données projet'!$E$13+1,1))</f>
        <v>281.8501448773884</v>
      </c>
      <c r="CZ72" s="60">
        <f t="shared" si="96"/>
        <v>161.7340631691518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256.19999999999993</v>
      </c>
      <c r="DP72" s="18">
        <f>DO72*VLOOKUP('Données projet'!$B$14,Paramètres!$A$1:$I$89,3,0)*VLOOKUP('Données projet'!$B$14,Paramètres!$A$1:$I$89,5,0)</f>
        <v>231.80975999999993</v>
      </c>
      <c r="DQ72" s="14">
        <f t="shared" si="97"/>
        <v>56.673815277159328</v>
      </c>
      <c r="DR72" s="22">
        <f t="shared" si="70"/>
        <v>502.44222694105241</v>
      </c>
      <c r="DS72" s="60">
        <f t="shared" si="71"/>
        <v>795.77556027438573</v>
      </c>
      <c r="DT72" s="60">
        <f ca="1">AVERAGE(OFFSET($DS$3,0,0,'Données projet'!$E$14+1,1))-AVERAGE(OFFSET($H$3,0,0,'Données projet'!$E$14+1,1))</f>
        <v>295.19398489974265</v>
      </c>
      <c r="DU72" s="60">
        <f t="shared" si="98"/>
        <v>168.80998104712489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4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266.68199999999996</v>
      </c>
      <c r="P73" s="14">
        <f t="shared" si="87"/>
        <v>64.144600001897771</v>
      </c>
      <c r="Q73" s="22">
        <f t="shared" si="54"/>
        <v>576.189661669972</v>
      </c>
      <c r="R73" s="60">
        <f t="shared" si="55"/>
        <v>869.52299500330537</v>
      </c>
      <c r="S73" s="60">
        <f ca="1">AVERAGE(OFFSET($R$3,0,0,'Données projet'!$E$9+1,1))-AVERAGE(OFFSET($H$3,0,0,'Données projet'!$E$9+1,1))</f>
        <v>341.82426415364569</v>
      </c>
      <c r="T73" s="60">
        <f t="shared" si="88"/>
        <v>193.53376539568887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-2.8421709430404007E-13</v>
      </c>
      <c r="AJ73" s="14">
        <f>AI73*VLOOKUP('Données projet'!$B$10,Paramètres!$A$1:$I$89,3,0)*VLOOKUP('Données projet'!$B$10,Paramètres!$A$1:$I$89,5,0)</f>
        <v>-1.69961822393816E-13</v>
      </c>
      <c r="AK73" s="14" t="e">
        <f t="shared" si="89"/>
        <v>#NUM!</v>
      </c>
      <c r="AL73" s="22" t="e">
        <f t="shared" si="58"/>
        <v>#NUM!</v>
      </c>
      <c r="AM73" s="60" t="e">
        <f t="shared" si="59"/>
        <v>#NUM!</v>
      </c>
      <c r="AN73" s="60">
        <f ca="1">AVERAGE(OFFSET($AM$3,0,0,'Données projet'!$E$10+1,1))-AVERAGE(OFFSET($H$3,0,0,'Données projet'!$E$10+1,1))</f>
        <v>189.8516574130017</v>
      </c>
      <c r="AO73" s="60">
        <f t="shared" si="90"/>
        <v>191.91100863555891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6.4358184225844042</v>
      </c>
      <c r="AV73" s="23">
        <f>EXP(-LN(2)/25)*AV72+(1-EXP(-LN(2)/25))/(LN(2)/25)*Calculateur!AQ73*Calculateur!AS73*VLOOKUP('Données projet'!$B$10,Paramètres!$A$1:$I$89,3,0)*0.475*44/12</f>
        <v>5.9562375374697334</v>
      </c>
      <c r="AW73" s="23">
        <f>EXP(-LN(2)/2)*AW72+(1-EXP(-LN(2)/2))/(LN(2)/2)*AQ73*AT73*VLOOKUP('Données projet'!$B$10,Paramètres!$A$1:$I$89,3,0)*0.475*44/12</f>
        <v>5.7638827609298644E-6</v>
      </c>
      <c r="AX73" s="23">
        <f t="shared" si="60"/>
        <v>12.392061723936898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246.7948717948718</v>
      </c>
      <c r="BB73" s="13">
        <f>VLOOKUP(A73,'Données projet'!$A$87:$I$107,9,0)</f>
        <v>4.8717948717948785</v>
      </c>
      <c r="BC73" s="13">
        <f t="array" ref="BC73">INDEX(BB:BB,MIN(IF(ISNUMBER(BB73:BB269),ROW(BB73:BB269),"")))</f>
        <v>4.8717948717948785</v>
      </c>
      <c r="BD73" s="13">
        <f>IF('Données projet'!$A$88&gt;35,BD72+BC73-BL72,IF(A73&lt;'Données projet'!$A$88,$BA$205^A73,IF(A73='Données projet'!$A$88,'Données projet'!$B$88,BD72+BC73-BL72)))</f>
        <v>246.79487179487171</v>
      </c>
      <c r="BE73" s="14">
        <f>BD73*VLOOKUP('Données projet'!$B$11,Paramètres!$A$1:$I$89,3,0)*VLOOKUP('Données projet'!$B$11,Paramètres!$A$1:$I$89,5,0)</f>
        <v>257.94999999999993</v>
      </c>
      <c r="BF73" s="14">
        <f t="shared" si="91"/>
        <v>62.285199685619638</v>
      </c>
      <c r="BG73" s="22">
        <f t="shared" si="61"/>
        <v>557.7429727857874</v>
      </c>
      <c r="BH73" s="60">
        <f t="shared" si="62"/>
        <v>851.07630611912077</v>
      </c>
      <c r="BI73" s="60">
        <f ca="1">AVERAGE(OFFSET($BH$3,0,0,'Données projet'!$E$11+1,1))-AVERAGE(OFFSET($H$3,0,0,'Données projet'!$E$11+1,1))</f>
        <v>373.7520752235389</v>
      </c>
      <c r="BJ73" s="60">
        <f t="shared" si="92"/>
        <v>205.19966474305761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9.8717948717948705</v>
      </c>
      <c r="BY73" s="13">
        <f>IF('Données projet'!$A$114&gt;35,BY72+BX73-CG72,IF(A73&lt;'Données projet'!$A$114,$BV$205^A73,IF(A73='Données projet'!$A$114,'Données projet'!$B$114,BY72+BX73-CG72)))</f>
        <v>311.4102564102563</v>
      </c>
      <c r="BZ73" s="14">
        <f>BY73*VLOOKUP('Données projet'!$B$12,Paramètres!$A$1:$I$89,3,0)*VLOOKUP('Données projet'!$B$12,Paramètres!$A$1:$I$89,5,0)</f>
        <v>145.73999999999995</v>
      </c>
      <c r="CA73" s="14">
        <f t="shared" si="93"/>
        <v>37.608868010754726</v>
      </c>
      <c r="CB73" s="22">
        <f t="shared" si="64"/>
        <v>319.33261178539772</v>
      </c>
      <c r="CC73" s="60">
        <f t="shared" si="65"/>
        <v>612.66594511873109</v>
      </c>
      <c r="CD73" s="60">
        <f ca="1">AVERAGE(OFFSET($CC$3,0,0,'Données projet'!$E$12+1,1))-AVERAGE(OFFSET($H$3,0,0,'Données projet'!$E$12+1,1))</f>
        <v>141.31558705818316</v>
      </c>
      <c r="CE73" s="60">
        <f t="shared" si="94"/>
        <v>67.142010893211364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263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262.99999999999994</v>
      </c>
      <c r="CU73" s="18">
        <f>CT73*VLOOKUP('Données projet'!$B$13,Paramètres!$A$1:$I$89,3,0)*VLOOKUP('Données projet'!$B$13,Paramètres!$A$1:$I$89,5,0)</f>
        <v>229.75679999999997</v>
      </c>
      <c r="CV73" s="14">
        <f t="shared" si="95"/>
        <v>56.23009276772752</v>
      </c>
      <c r="CW73" s="22">
        <f t="shared" si="67"/>
        <v>498.09383823712534</v>
      </c>
      <c r="CX73" s="60">
        <f t="shared" si="68"/>
        <v>791.42717157045865</v>
      </c>
      <c r="CY73" s="60">
        <f ca="1">AVERAGE(OFFSET($CX$3,0,0,'Données projet'!$E$13+1,1))-AVERAGE(OFFSET($H$3,0,0,'Données projet'!$E$13+1,1))</f>
        <v>281.8501448773884</v>
      </c>
      <c r="CZ73" s="60">
        <f t="shared" si="96"/>
        <v>161.7340631691518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42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263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262.99999999999994</v>
      </c>
      <c r="DP73" s="18">
        <f>DO73*VLOOKUP('Données projet'!$B$14,Paramètres!$A$1:$I$89,3,0)*VLOOKUP('Données projet'!$B$14,Paramètres!$A$1:$I$89,5,0)</f>
        <v>237.96239999999995</v>
      </c>
      <c r="DQ73" s="14">
        <f t="shared" si="97"/>
        <v>58.00091360766335</v>
      </c>
      <c r="DR73" s="22">
        <f t="shared" si="70"/>
        <v>515.4694378666801</v>
      </c>
      <c r="DS73" s="60">
        <f t="shared" si="71"/>
        <v>808.80277120001347</v>
      </c>
      <c r="DT73" s="60">
        <f ca="1">AVERAGE(OFFSET($DS$3,0,0,'Données projet'!$E$14+1,1))-AVERAGE(OFFSET($H$3,0,0,'Données projet'!$E$14+1,1))</f>
        <v>295.19398489974265</v>
      </c>
      <c r="DU73" s="60">
        <f t="shared" si="98"/>
        <v>168.80998104712489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42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4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230.38079999999994</v>
      </c>
      <c r="P74" s="14">
        <f t="shared" si="87"/>
        <v>56.365011465139979</v>
      </c>
      <c r="Q74" s="22">
        <f t="shared" si="54"/>
        <v>499.41562163511867</v>
      </c>
      <c r="R74" s="60">
        <f t="shared" si="55"/>
        <v>792.74895496845193</v>
      </c>
      <c r="S74" s="60">
        <f ca="1">AVERAGE(OFFSET($R$3,0,0,'Données projet'!$E$9+1,1))-AVERAGE(OFFSET($H$3,0,0,'Données projet'!$E$9+1,1))</f>
        <v>341.82426415364569</v>
      </c>
      <c r="T74" s="60">
        <f t="shared" si="88"/>
        <v>193.53376539568887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-2.8421709430404007E-13</v>
      </c>
      <c r="AJ74" s="14">
        <f>AI74*VLOOKUP('Données projet'!$B$10,Paramètres!$A$1:$I$89,3,0)*VLOOKUP('Données projet'!$B$10,Paramètres!$A$1:$I$89,5,0)</f>
        <v>-1.69961822393816E-13</v>
      </c>
      <c r="AK74" s="14" t="e">
        <f t="shared" si="89"/>
        <v>#NUM!</v>
      </c>
      <c r="AL74" s="22" t="e">
        <f t="shared" si="58"/>
        <v>#NUM!</v>
      </c>
      <c r="AM74" s="60" t="e">
        <f t="shared" si="59"/>
        <v>#NUM!</v>
      </c>
      <c r="AN74" s="60">
        <f ca="1">AVERAGE(OFFSET($AM$3,0,0,'Données projet'!$E$10+1,1))-AVERAGE(OFFSET($H$3,0,0,'Données projet'!$E$10+1,1))</f>
        <v>189.8516574130017</v>
      </c>
      <c r="AO74" s="60">
        <f t="shared" si="90"/>
        <v>191.91100863555891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6.3096159487791548</v>
      </c>
      <c r="AV74" s="23">
        <f>EXP(-LN(2)/25)*AV73+(1-EXP(-LN(2)/25))/(LN(2)/25)*Calculateur!AQ74*Calculateur!AS74*VLOOKUP('Données projet'!$B$10,Paramètres!$A$1:$I$89,3,0)*0.475*44/12</f>
        <v>5.7933639087827045</v>
      </c>
      <c r="AW74" s="23">
        <f>EXP(-LN(2)/2)*AW73+(1-EXP(-LN(2)/2))/(LN(2)/2)*AQ74*AT74*VLOOKUP('Données projet'!$B$10,Paramètres!$A$1:$I$89,3,0)*0.475*44/12</f>
        <v>4.0756805862177471E-6</v>
      </c>
      <c r="AX74" s="23">
        <f t="shared" si="60"/>
        <v>12.102983933242445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4.4871794871794863</v>
      </c>
      <c r="BD74" s="13">
        <f>IF('Données projet'!$A$88&gt;35,BD73+BC74-BL73,IF(A74&lt;'Données projet'!$A$88,$BA$205^A74,IF(A74='Données projet'!$A$88,'Données projet'!$B$88,BD73+BC74-BL73)))</f>
        <v>251.28205128205119</v>
      </c>
      <c r="BE74" s="14">
        <f>BD74*VLOOKUP('Données projet'!$B$11,Paramètres!$A$1:$I$89,3,0)*VLOOKUP('Données projet'!$B$11,Paramètres!$A$1:$I$89,5,0)</f>
        <v>262.63999999999993</v>
      </c>
      <c r="BF74" s="14">
        <f t="shared" si="91"/>
        <v>63.284787967077669</v>
      </c>
      <c r="BG74" s="22">
        <f t="shared" si="61"/>
        <v>567.65233904266006</v>
      </c>
      <c r="BH74" s="60">
        <f t="shared" si="62"/>
        <v>860.98567237599332</v>
      </c>
      <c r="BI74" s="60">
        <f ca="1">AVERAGE(OFFSET($BH$3,0,0,'Données projet'!$E$11+1,1))-AVERAGE(OFFSET($H$3,0,0,'Données projet'!$E$11+1,1))</f>
        <v>373.7520752235389</v>
      </c>
      <c r="BJ74" s="60">
        <f t="shared" si="92"/>
        <v>205.19966474305761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9.8717948717948705</v>
      </c>
      <c r="BY74" s="13">
        <f>IF('Données projet'!$A$114&gt;35,BY73+BX74-CG73,IF(A74&lt;'Données projet'!$A$114,$BV$205^A74,IF(A74='Données projet'!$A$114,'Données projet'!$B$114,BY73+BX74-CG73)))</f>
        <v>321.28205128205116</v>
      </c>
      <c r="BZ74" s="14">
        <f>BY74*VLOOKUP('Données projet'!$B$12,Paramètres!$A$1:$I$89,3,0)*VLOOKUP('Données projet'!$B$12,Paramètres!$A$1:$I$89,5,0)</f>
        <v>150.35999999999993</v>
      </c>
      <c r="CA74" s="14">
        <f t="shared" si="93"/>
        <v>38.660385495456531</v>
      </c>
      <c r="CB74" s="22">
        <f t="shared" si="64"/>
        <v>329.21050473791996</v>
      </c>
      <c r="CC74" s="60">
        <f t="shared" si="65"/>
        <v>622.54383807125328</v>
      </c>
      <c r="CD74" s="60">
        <f ca="1">AVERAGE(OFFSET($CC$3,0,0,'Données projet'!$E$12+1,1))-AVERAGE(OFFSET($H$3,0,0,'Données projet'!$E$12+1,1))</f>
        <v>141.31558705818316</v>
      </c>
      <c r="CE74" s="60">
        <f t="shared" si="94"/>
        <v>67.142010893211364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227.19999999999993</v>
      </c>
      <c r="CU74" s="18">
        <f>CT74*VLOOKUP('Données projet'!$B$13,Paramètres!$A$1:$I$89,3,0)*VLOOKUP('Données projet'!$B$13,Paramètres!$A$1:$I$89,5,0)</f>
        <v>198.48191999999997</v>
      </c>
      <c r="CV74" s="14">
        <f t="shared" si="95"/>
        <v>49.410391887159271</v>
      </c>
      <c r="CW74" s="22">
        <f t="shared" si="67"/>
        <v>431.74577653680234</v>
      </c>
      <c r="CX74" s="60">
        <f t="shared" si="68"/>
        <v>725.07910987013565</v>
      </c>
      <c r="CY74" s="60">
        <f ca="1">AVERAGE(OFFSET($CX$3,0,0,'Données projet'!$E$13+1,1))-AVERAGE(OFFSET($H$3,0,0,'Données projet'!$E$13+1,1))</f>
        <v>281.8501448773884</v>
      </c>
      <c r="CZ74" s="60">
        <f t="shared" si="96"/>
        <v>161.7340631691518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227.19999999999993</v>
      </c>
      <c r="DP74" s="18">
        <f>DO74*VLOOKUP('Données projet'!$B$14,Paramètres!$A$1:$I$89,3,0)*VLOOKUP('Données projet'!$B$14,Paramètres!$A$1:$I$89,5,0)</f>
        <v>205.57055999999994</v>
      </c>
      <c r="DQ74" s="14">
        <f t="shared" si="97"/>
        <v>50.966443946767392</v>
      </c>
      <c r="DR74" s="22">
        <f t="shared" si="70"/>
        <v>446.80194854061978</v>
      </c>
      <c r="DS74" s="60">
        <f t="shared" si="71"/>
        <v>740.13528187395309</v>
      </c>
      <c r="DT74" s="60">
        <f ca="1">AVERAGE(OFFSET($DS$3,0,0,'Données projet'!$E$14+1,1))-AVERAGE(OFFSET($H$3,0,0,'Données projet'!$E$14+1,1))</f>
        <v>295.19398489974265</v>
      </c>
      <c r="DU74" s="60">
        <f t="shared" si="98"/>
        <v>168.80998104712489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4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236.66759999999994</v>
      </c>
      <c r="P75" s="14">
        <f t="shared" si="87"/>
        <v>57.721965974560838</v>
      </c>
      <c r="Q75" s="22">
        <f t="shared" si="54"/>
        <v>512.72849407235992</v>
      </c>
      <c r="R75" s="60">
        <f t="shared" si="55"/>
        <v>806.06182740569329</v>
      </c>
      <c r="S75" s="60">
        <f ca="1">AVERAGE(OFFSET($R$3,0,0,'Données projet'!$E$9+1,1))-AVERAGE(OFFSET($H$3,0,0,'Données projet'!$E$9+1,1))</f>
        <v>341.82426415364569</v>
      </c>
      <c r="T75" s="60">
        <f t="shared" si="88"/>
        <v>193.53376539568887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-2.8421709430404007E-13</v>
      </c>
      <c r="AJ75" s="14">
        <f>AI75*VLOOKUP('Données projet'!$B$10,Paramètres!$A$1:$I$89,3,0)*VLOOKUP('Données projet'!$B$10,Paramètres!$A$1:$I$89,5,0)</f>
        <v>-1.69961822393816E-13</v>
      </c>
      <c r="AK75" s="14" t="e">
        <f t="shared" si="89"/>
        <v>#NUM!</v>
      </c>
      <c r="AL75" s="22" t="e">
        <f t="shared" si="58"/>
        <v>#NUM!</v>
      </c>
      <c r="AM75" s="60" t="e">
        <f t="shared" si="59"/>
        <v>#NUM!</v>
      </c>
      <c r="AN75" s="60">
        <f ca="1">AVERAGE(OFFSET($AM$3,0,0,'Données projet'!$E$10+1,1))-AVERAGE(OFFSET($H$3,0,0,'Données projet'!$E$10+1,1))</f>
        <v>189.8516574130017</v>
      </c>
      <c r="AO75" s="60">
        <f t="shared" si="90"/>
        <v>191.91100863555891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6.1858882285093175</v>
      </c>
      <c r="AV75" s="23">
        <f>EXP(-LN(2)/25)*AV74+(1-EXP(-LN(2)/25))/(LN(2)/25)*Calculateur!AQ75*Calculateur!AS75*VLOOKUP('Données projet'!$B$10,Paramètres!$A$1:$I$89,3,0)*0.475*44/12</f>
        <v>5.6349440680372744</v>
      </c>
      <c r="AW75" s="23">
        <f>EXP(-LN(2)/2)*AW74+(1-EXP(-LN(2)/2))/(LN(2)/2)*AQ75*AT75*VLOOKUP('Données projet'!$B$10,Paramètres!$A$1:$I$89,3,0)*0.475*44/12</f>
        <v>2.8819413804649322E-6</v>
      </c>
      <c r="AX75" s="23">
        <f t="shared" si="60"/>
        <v>11.820835178487972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4.4871794871794863</v>
      </c>
      <c r="BD75" s="13">
        <f>IF('Données projet'!$A$88&gt;35,BD74+BC75-BL74,IF(A75&lt;'Données projet'!$A$88,$BA$205^A75,IF(A75='Données projet'!$A$88,'Données projet'!$B$88,BD74+BC75-BL74)))</f>
        <v>255.76923076923066</v>
      </c>
      <c r="BE75" s="14">
        <f>BD75*VLOOKUP('Données projet'!$B$11,Paramètres!$A$1:$I$89,3,0)*VLOOKUP('Données projet'!$B$11,Paramètres!$A$1:$I$89,5,0)</f>
        <v>267.32999999999993</v>
      </c>
      <c r="BF75" s="14">
        <f t="shared" si="91"/>
        <v>64.282300574115965</v>
      </c>
      <c r="BG75" s="22">
        <f t="shared" si="61"/>
        <v>577.5580901665852</v>
      </c>
      <c r="BH75" s="60">
        <f t="shared" si="62"/>
        <v>870.89142349991857</v>
      </c>
      <c r="BI75" s="60">
        <f ca="1">AVERAGE(OFFSET($BH$3,0,0,'Données projet'!$E$11+1,1))-AVERAGE(OFFSET($H$3,0,0,'Données projet'!$E$11+1,1))</f>
        <v>373.7520752235389</v>
      </c>
      <c r="BJ75" s="60">
        <f t="shared" si="92"/>
        <v>205.19966474305761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9.8717948717948705</v>
      </c>
      <c r="BY75" s="13">
        <f>IF('Données projet'!$A$114&gt;35,BY74+BX75-CG74,IF(A75&lt;'Données projet'!$A$114,$BV$205^A75,IF(A75='Données projet'!$A$114,'Données projet'!$B$114,BY74+BX75-CG74)))</f>
        <v>331.15384615384602</v>
      </c>
      <c r="BZ75" s="14">
        <f>BY75*VLOOKUP('Données projet'!$B$12,Paramètres!$A$1:$I$89,3,0)*VLOOKUP('Données projet'!$B$12,Paramètres!$A$1:$I$89,5,0)</f>
        <v>154.97999999999993</v>
      </c>
      <c r="CA75" s="14">
        <f t="shared" si="93"/>
        <v>39.708148282768228</v>
      </c>
      <c r="CB75" s="22">
        <f t="shared" si="64"/>
        <v>339.08185825915456</v>
      </c>
      <c r="CC75" s="60">
        <f t="shared" si="65"/>
        <v>632.41519159248787</v>
      </c>
      <c r="CD75" s="60">
        <f ca="1">AVERAGE(OFFSET($CC$3,0,0,'Données projet'!$E$12+1,1))-AVERAGE(OFFSET($H$3,0,0,'Données projet'!$E$12+1,1))</f>
        <v>141.31558705818316</v>
      </c>
      <c r="CE75" s="60">
        <f t="shared" si="94"/>
        <v>67.142010893211364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233.39999999999992</v>
      </c>
      <c r="CU75" s="18">
        <f>CT75*VLOOKUP('Données projet'!$B$13,Paramètres!$A$1:$I$89,3,0)*VLOOKUP('Données projet'!$B$13,Paramètres!$A$1:$I$89,5,0)</f>
        <v>203.89823999999999</v>
      </c>
      <c r="CV75" s="14">
        <f t="shared" si="95"/>
        <v>50.599918019430213</v>
      </c>
      <c r="CW75" s="22">
        <f t="shared" si="67"/>
        <v>443.25095855050762</v>
      </c>
      <c r="CX75" s="60">
        <f t="shared" si="68"/>
        <v>736.58429188384093</v>
      </c>
      <c r="CY75" s="60">
        <f ca="1">AVERAGE(OFFSET($CX$3,0,0,'Données projet'!$E$13+1,1))-AVERAGE(OFFSET($H$3,0,0,'Données projet'!$E$13+1,1))</f>
        <v>281.8501448773884</v>
      </c>
      <c r="CZ75" s="60">
        <f t="shared" si="96"/>
        <v>161.7340631691518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233.39999999999992</v>
      </c>
      <c r="DP75" s="18">
        <f>DO75*VLOOKUP('Données projet'!$B$14,Paramètres!$A$1:$I$89,3,0)*VLOOKUP('Données projet'!$B$14,Paramètres!$A$1:$I$89,5,0)</f>
        <v>211.18031999999994</v>
      </c>
      <c r="DQ75" s="14">
        <f t="shared" si="97"/>
        <v>52.193431117443019</v>
      </c>
      <c r="DR75" s="22">
        <f t="shared" si="70"/>
        <v>458.70928319621316</v>
      </c>
      <c r="DS75" s="60">
        <f t="shared" si="71"/>
        <v>752.04261652954642</v>
      </c>
      <c r="DT75" s="60">
        <f ca="1">AVERAGE(OFFSET($DS$3,0,0,'Données projet'!$E$14+1,1))-AVERAGE(OFFSET($H$3,0,0,'Données projet'!$E$14+1,1))</f>
        <v>295.19398489974265</v>
      </c>
      <c r="DU75" s="60">
        <f t="shared" si="98"/>
        <v>168.80998104712489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4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242.95439999999994</v>
      </c>
      <c r="P76" s="14">
        <f t="shared" si="87"/>
        <v>59.074730698078945</v>
      </c>
      <c r="Q76" s="22">
        <f t="shared" si="54"/>
        <v>526.034069299154</v>
      </c>
      <c r="R76" s="60">
        <f t="shared" si="55"/>
        <v>819.36740263248726</v>
      </c>
      <c r="S76" s="60">
        <f ca="1">AVERAGE(OFFSET($R$3,0,0,'Données projet'!$E$9+1,1))-AVERAGE(OFFSET($H$3,0,0,'Données projet'!$E$9+1,1))</f>
        <v>341.82426415364569</v>
      </c>
      <c r="T76" s="60">
        <f t="shared" si="88"/>
        <v>193.53376539568887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-2.8421709430404007E-13</v>
      </c>
      <c r="AJ76" s="14">
        <f>AI76*VLOOKUP('Données projet'!$B$10,Paramètres!$A$1:$I$89,3,0)*VLOOKUP('Données projet'!$B$10,Paramètres!$A$1:$I$89,5,0)</f>
        <v>-1.69961822393816E-13</v>
      </c>
      <c r="AK76" s="14" t="e">
        <f t="shared" si="89"/>
        <v>#NUM!</v>
      </c>
      <c r="AL76" s="22" t="e">
        <f t="shared" si="58"/>
        <v>#NUM!</v>
      </c>
      <c r="AM76" s="60" t="e">
        <f t="shared" si="59"/>
        <v>#NUM!</v>
      </c>
      <c r="AN76" s="60">
        <f ca="1">AVERAGE(OFFSET($AM$3,0,0,'Données projet'!$E$10+1,1))-AVERAGE(OFFSET($H$3,0,0,'Données projet'!$E$10+1,1))</f>
        <v>189.8516574130017</v>
      </c>
      <c r="AO76" s="60">
        <f t="shared" si="90"/>
        <v>191.91100863555891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6.0645867333675145</v>
      </c>
      <c r="AV76" s="23">
        <f>EXP(-LN(2)/25)*AV75+(1-EXP(-LN(2)/25))/(LN(2)/25)*Calculateur!AQ76*Calculateur!AS76*VLOOKUP('Données projet'!$B$10,Paramètres!$A$1:$I$89,3,0)*0.475*44/12</f>
        <v>5.4808562261679654</v>
      </c>
      <c r="AW76" s="23">
        <f>EXP(-LN(2)/2)*AW75+(1-EXP(-LN(2)/2))/(LN(2)/2)*AQ76*AT76*VLOOKUP('Données projet'!$B$10,Paramètres!$A$1:$I$89,3,0)*0.475*44/12</f>
        <v>2.0378402931088735E-6</v>
      </c>
      <c r="AX76" s="23">
        <f t="shared" si="60"/>
        <v>11.545444997375773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4.4871794871794863</v>
      </c>
      <c r="BD76" s="13">
        <f>IF('Données projet'!$A$88&gt;35,BD75+BC76-BL75,IF(A76&lt;'Données projet'!$A$88,$BA$205^A76,IF(A76='Données projet'!$A$88,'Données projet'!$B$88,BD75+BC76-BL75)))</f>
        <v>260.25641025641016</v>
      </c>
      <c r="BE76" s="14">
        <f>BD76*VLOOKUP('Données projet'!$B$11,Paramètres!$A$1:$I$89,3,0)*VLOOKUP('Données projet'!$B$11,Paramètres!$A$1:$I$89,5,0)</f>
        <v>272.01999999999992</v>
      </c>
      <c r="BF76" s="14">
        <f t="shared" si="91"/>
        <v>65.277778123539591</v>
      </c>
      <c r="BG76" s="22">
        <f t="shared" si="61"/>
        <v>587.46029689849797</v>
      </c>
      <c r="BH76" s="60">
        <f t="shared" si="62"/>
        <v>880.79363023183123</v>
      </c>
      <c r="BI76" s="60">
        <f ca="1">AVERAGE(OFFSET($BH$3,0,0,'Données projet'!$E$11+1,1))-AVERAGE(OFFSET($H$3,0,0,'Données projet'!$E$11+1,1))</f>
        <v>373.7520752235389</v>
      </c>
      <c r="BJ76" s="60">
        <f t="shared" si="92"/>
        <v>205.19966474305761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9.8717948717948705</v>
      </c>
      <c r="BY76" s="13">
        <f>IF('Données projet'!$A$114&gt;35,BY75+BX76-CG75,IF(A76&lt;'Données projet'!$A$114,$BV$205^A76,IF(A76='Données projet'!$A$114,'Données projet'!$B$114,BY75+BX76-CG75)))</f>
        <v>341.02564102564088</v>
      </c>
      <c r="BZ76" s="14">
        <f>BY76*VLOOKUP('Données projet'!$B$12,Paramètres!$A$1:$I$89,3,0)*VLOOKUP('Données projet'!$B$12,Paramètres!$A$1:$I$89,5,0)</f>
        <v>159.59999999999994</v>
      </c>
      <c r="CA76" s="14">
        <f t="shared" si="93"/>
        <v>40.752281150761135</v>
      </c>
      <c r="CB76" s="22">
        <f t="shared" si="64"/>
        <v>348.94688967090889</v>
      </c>
      <c r="CC76" s="60">
        <f t="shared" si="65"/>
        <v>642.2802230042422</v>
      </c>
      <c r="CD76" s="60">
        <f ca="1">AVERAGE(OFFSET($CC$3,0,0,'Données projet'!$E$12+1,1))-AVERAGE(OFFSET($H$3,0,0,'Données projet'!$E$12+1,1))</f>
        <v>141.31558705818316</v>
      </c>
      <c r="CE76" s="60">
        <f t="shared" si="94"/>
        <v>67.142010893211364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239.59999999999991</v>
      </c>
      <c r="CU76" s="18">
        <f>CT76*VLOOKUP('Données projet'!$B$13,Paramètres!$A$1:$I$89,3,0)*VLOOKUP('Données projet'!$B$13,Paramètres!$A$1:$I$89,5,0)</f>
        <v>209.31455999999994</v>
      </c>
      <c r="CV76" s="14">
        <f t="shared" si="95"/>
        <v>51.7857713242147</v>
      </c>
      <c r="CW76" s="22">
        <f t="shared" si="67"/>
        <v>454.74974372300716</v>
      </c>
      <c r="CX76" s="60">
        <f t="shared" si="68"/>
        <v>748.08307705634047</v>
      </c>
      <c r="CY76" s="60">
        <f ca="1">AVERAGE(OFFSET($CX$3,0,0,'Données projet'!$E$13+1,1))-AVERAGE(OFFSET($H$3,0,0,'Données projet'!$E$13+1,1))</f>
        <v>281.8501448773884</v>
      </c>
      <c r="CZ76" s="60">
        <f t="shared" si="96"/>
        <v>161.7340631691518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239.59999999999991</v>
      </c>
      <c r="DP76" s="18">
        <f>DO76*VLOOKUP('Données projet'!$B$14,Paramètres!$A$1:$I$89,3,0)*VLOOKUP('Données projet'!$B$14,Paramètres!$A$1:$I$89,5,0)</f>
        <v>216.7900799999999</v>
      </c>
      <c r="DQ76" s="14">
        <f t="shared" si="97"/>
        <v>53.416629794462551</v>
      </c>
      <c r="DR76" s="22">
        <f t="shared" si="70"/>
        <v>470.61001955868869</v>
      </c>
      <c r="DS76" s="60">
        <f t="shared" si="71"/>
        <v>763.94335289202195</v>
      </c>
      <c r="DT76" s="60">
        <f ca="1">AVERAGE(OFFSET($DS$3,0,0,'Données projet'!$E$14+1,1))-AVERAGE(OFFSET($H$3,0,0,'Données projet'!$E$14+1,1))</f>
        <v>295.19398489974265</v>
      </c>
      <c r="DU76" s="60">
        <f t="shared" si="98"/>
        <v>168.80998104712489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4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249.24119999999988</v>
      </c>
      <c r="P77" s="14">
        <f t="shared" si="87"/>
        <v>60.42342651744687</v>
      </c>
      <c r="Q77" s="22">
        <f t="shared" si="54"/>
        <v>539.3325578512198</v>
      </c>
      <c r="R77" s="60">
        <f t="shared" si="55"/>
        <v>832.66589118455317</v>
      </c>
      <c r="S77" s="60">
        <f ca="1">AVERAGE(OFFSET($R$3,0,0,'Données projet'!$E$9+1,1))-AVERAGE(OFFSET($H$3,0,0,'Données projet'!$E$9+1,1))</f>
        <v>341.82426415364569</v>
      </c>
      <c r="T77" s="60">
        <f t="shared" si="88"/>
        <v>193.53376539568887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-2.8421709430404007E-13</v>
      </c>
      <c r="AJ77" s="14">
        <f>AI77*VLOOKUP('Données projet'!$B$10,Paramètres!$A$1:$I$89,3,0)*VLOOKUP('Données projet'!$B$10,Paramètres!$A$1:$I$89,5,0)</f>
        <v>-1.69961822393816E-13</v>
      </c>
      <c r="AK77" s="14" t="e">
        <f t="shared" si="89"/>
        <v>#NUM!</v>
      </c>
      <c r="AL77" s="22" t="e">
        <f t="shared" si="58"/>
        <v>#NUM!</v>
      </c>
      <c r="AM77" s="60" t="e">
        <f t="shared" si="59"/>
        <v>#NUM!</v>
      </c>
      <c r="AN77" s="60">
        <f ca="1">AVERAGE(OFFSET($AM$3,0,0,'Données projet'!$E$10+1,1))-AVERAGE(OFFSET($H$3,0,0,'Données projet'!$E$10+1,1))</f>
        <v>189.8516574130017</v>
      </c>
      <c r="AO77" s="60">
        <f t="shared" si="90"/>
        <v>191.91100863555891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5.9456638865588358</v>
      </c>
      <c r="AV77" s="23">
        <f>EXP(-LN(2)/25)*AV76+(1-EXP(-LN(2)/25))/(LN(2)/25)*Calculateur!AQ77*Calculateur!AS77*VLOOKUP('Données projet'!$B$10,Paramètres!$A$1:$I$89,3,0)*0.475*44/12</f>
        <v>5.3309819244377001</v>
      </c>
      <c r="AW77" s="23">
        <f>EXP(-LN(2)/2)*AW76+(1-EXP(-LN(2)/2))/(LN(2)/2)*AQ77*AT77*VLOOKUP('Données projet'!$B$10,Paramètres!$A$1:$I$89,3,0)*0.475*44/12</f>
        <v>1.4409706902324661E-6</v>
      </c>
      <c r="AX77" s="23">
        <f t="shared" si="60"/>
        <v>11.276647251967226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4.4871794871794863</v>
      </c>
      <c r="BD77" s="13">
        <f>IF('Données projet'!$A$88&gt;35,BD76+BC77-BL76,IF(A77&lt;'Données projet'!$A$88,$BA$205^A77,IF(A77='Données projet'!$A$88,'Données projet'!$B$88,BD76+BC77-BL76)))</f>
        <v>264.74358974358967</v>
      </c>
      <c r="BE77" s="14">
        <f>BD77*VLOOKUP('Données projet'!$B$11,Paramètres!$A$1:$I$89,3,0)*VLOOKUP('Données projet'!$B$11,Paramètres!$A$1:$I$89,5,0)</f>
        <v>276.70999999999992</v>
      </c>
      <c r="BF77" s="14">
        <f t="shared" si="91"/>
        <v>66.271259751326923</v>
      </c>
      <c r="BG77" s="22">
        <f t="shared" si="61"/>
        <v>597.35902740022755</v>
      </c>
      <c r="BH77" s="60">
        <f t="shared" si="62"/>
        <v>890.69236073356092</v>
      </c>
      <c r="BI77" s="60">
        <f ca="1">AVERAGE(OFFSET($BH$3,0,0,'Données projet'!$E$11+1,1))-AVERAGE(OFFSET($H$3,0,0,'Données projet'!$E$11+1,1))</f>
        <v>373.7520752235389</v>
      </c>
      <c r="BJ77" s="60">
        <f t="shared" si="92"/>
        <v>205.19966474305761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9.8717948717948705</v>
      </c>
      <c r="BY77" s="13">
        <f>IF('Données projet'!$A$114&gt;35,BY76+BX77-CG76,IF(A77&lt;'Données projet'!$A$114,$BV$205^A77,IF(A77='Données projet'!$A$114,'Données projet'!$B$114,BY76+BX77-CG76)))</f>
        <v>350.89743589743574</v>
      </c>
      <c r="BZ77" s="14">
        <f>BY77*VLOOKUP('Données projet'!$B$12,Paramètres!$A$1:$I$89,3,0)*VLOOKUP('Données projet'!$B$12,Paramètres!$A$1:$I$89,5,0)</f>
        <v>164.21999999999994</v>
      </c>
      <c r="CA77" s="14">
        <f t="shared" si="93"/>
        <v>41.792901242713462</v>
      </c>
      <c r="CB77" s="22">
        <f t="shared" si="64"/>
        <v>358.80580299772583</v>
      </c>
      <c r="CC77" s="60">
        <f t="shared" si="65"/>
        <v>652.13913633105915</v>
      </c>
      <c r="CD77" s="60">
        <f ca="1">AVERAGE(OFFSET($CC$3,0,0,'Données projet'!$E$12+1,1))-AVERAGE(OFFSET($H$3,0,0,'Données projet'!$E$12+1,1))</f>
        <v>141.31558705818316</v>
      </c>
      <c r="CE77" s="60">
        <f t="shared" si="94"/>
        <v>67.142010893211364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245.7999999999999</v>
      </c>
      <c r="CU77" s="18">
        <f>CT77*VLOOKUP('Données projet'!$B$13,Paramètres!$A$1:$I$89,3,0)*VLOOKUP('Données projet'!$B$13,Paramètres!$A$1:$I$89,5,0)</f>
        <v>214.73087999999996</v>
      </c>
      <c r="CV77" s="14">
        <f t="shared" si="95"/>
        <v>52.968057768221847</v>
      </c>
      <c r="CW77" s="22">
        <f t="shared" si="67"/>
        <v>466.24231661298631</v>
      </c>
      <c r="CX77" s="60">
        <f t="shared" si="68"/>
        <v>759.57564994631957</v>
      </c>
      <c r="CY77" s="60">
        <f ca="1">AVERAGE(OFFSET($CX$3,0,0,'Données projet'!$E$13+1,1))-AVERAGE(OFFSET($H$3,0,0,'Données projet'!$E$13+1,1))</f>
        <v>281.8501448773884</v>
      </c>
      <c r="CZ77" s="60">
        <f t="shared" si="96"/>
        <v>161.7340631691518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245.7999999999999</v>
      </c>
      <c r="DP77" s="18">
        <f>DO77*VLOOKUP('Données projet'!$B$14,Paramètres!$A$1:$I$89,3,0)*VLOOKUP('Données projet'!$B$14,Paramètres!$A$1:$I$89,5,0)</f>
        <v>222.3998399999999</v>
      </c>
      <c r="DQ77" s="14">
        <f t="shared" si="97"/>
        <v>54.636149281681448</v>
      </c>
      <c r="DR77" s="22">
        <f t="shared" si="70"/>
        <v>482.50434799892832</v>
      </c>
      <c r="DS77" s="60">
        <f t="shared" si="71"/>
        <v>775.83768133226158</v>
      </c>
      <c r="DT77" s="60">
        <f ca="1">AVERAGE(OFFSET($DS$3,0,0,'Données projet'!$E$14+1,1))-AVERAGE(OFFSET($H$3,0,0,'Données projet'!$E$14+1,1))</f>
        <v>295.19398489974265</v>
      </c>
      <c r="DU77" s="60">
        <f t="shared" si="98"/>
        <v>168.80998104712489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4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255.52799999999991</v>
      </c>
      <c r="P78" s="14">
        <f t="shared" si="87"/>
        <v>61.768167868721477</v>
      </c>
      <c r="Q78" s="22">
        <f t="shared" si="54"/>
        <v>552.62415903802309</v>
      </c>
      <c r="R78" s="60">
        <f t="shared" si="55"/>
        <v>845.95749237135647</v>
      </c>
      <c r="S78" s="60">
        <f ca="1">AVERAGE(OFFSET($R$3,0,0,'Données projet'!$E$9+1,1))-AVERAGE(OFFSET($H$3,0,0,'Données projet'!$E$9+1,1))</f>
        <v>341.82426415364569</v>
      </c>
      <c r="T78" s="60">
        <f t="shared" si="88"/>
        <v>193.53376539568887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-2.8421709430404007E-13</v>
      </c>
      <c r="AJ78" s="14">
        <f>AI78*VLOOKUP('Données projet'!$B$10,Paramètres!$A$1:$I$89,3,0)*VLOOKUP('Données projet'!$B$10,Paramètres!$A$1:$I$89,5,0)</f>
        <v>-1.69961822393816E-13</v>
      </c>
      <c r="AK78" s="14" t="e">
        <f t="shared" si="89"/>
        <v>#NUM!</v>
      </c>
      <c r="AL78" s="22" t="e">
        <f t="shared" si="58"/>
        <v>#NUM!</v>
      </c>
      <c r="AM78" s="60" t="e">
        <f t="shared" si="59"/>
        <v>#NUM!</v>
      </c>
      <c r="AN78" s="60">
        <f ca="1">AVERAGE(OFFSET($AM$3,0,0,'Données projet'!$E$10+1,1))-AVERAGE(OFFSET($H$3,0,0,'Données projet'!$E$10+1,1))</f>
        <v>189.8516574130017</v>
      </c>
      <c r="AO78" s="60">
        <f t="shared" si="90"/>
        <v>191.91100863555891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5.8290730442403014</v>
      </c>
      <c r="AV78" s="23">
        <f>EXP(-LN(2)/25)*AV77+(1-EXP(-LN(2)/25))/(LN(2)/25)*Calculateur!AQ78*Calculateur!AS78*VLOOKUP('Données projet'!$B$10,Paramètres!$A$1:$I$89,3,0)*0.475*44/12</f>
        <v>5.1852059433697963</v>
      </c>
      <c r="AW78" s="23">
        <f>EXP(-LN(2)/2)*AW77+(1-EXP(-LN(2)/2))/(LN(2)/2)*AQ78*AT78*VLOOKUP('Données projet'!$B$10,Paramètres!$A$1:$I$89,3,0)*0.475*44/12</f>
        <v>1.0189201465544368E-6</v>
      </c>
      <c r="AX78" s="23">
        <f t="shared" si="60"/>
        <v>11.014280006530244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269.23076923076923</v>
      </c>
      <c r="BB78" s="13">
        <f>VLOOKUP(A78,'Données projet'!$A$87:$I$107,9,0)</f>
        <v>4.4871794871794863</v>
      </c>
      <c r="BC78" s="13">
        <f t="array" ref="BC78">INDEX(BB:BB,MIN(IF(ISNUMBER(BB78:BB274),ROW(BB78:BB274),"")))</f>
        <v>4.4871794871794863</v>
      </c>
      <c r="BD78" s="13">
        <f>IF('Données projet'!$A$88&gt;35,BD77+BC78-BL77,IF(A78&lt;'Données projet'!$A$88,$BA$205^A78,IF(A78='Données projet'!$A$88,'Données projet'!$B$88,BD77+BC78-BL77)))</f>
        <v>269.23076923076917</v>
      </c>
      <c r="BE78" s="14">
        <f>BD78*VLOOKUP('Données projet'!$B$11,Paramètres!$A$1:$I$89,3,0)*VLOOKUP('Données projet'!$B$11,Paramètres!$A$1:$I$89,5,0)</f>
        <v>281.39999999999998</v>
      </c>
      <c r="BF78" s="14">
        <f t="shared" si="91"/>
        <v>67.262783190785612</v>
      </c>
      <c r="BG78" s="22">
        <f t="shared" si="61"/>
        <v>607.25434739061825</v>
      </c>
      <c r="BH78" s="60">
        <f t="shared" si="62"/>
        <v>900.58768072395151</v>
      </c>
      <c r="BI78" s="60">
        <f ca="1">AVERAGE(OFFSET($BH$3,0,0,'Données projet'!$E$11+1,1))-AVERAGE(OFFSET($H$3,0,0,'Données projet'!$E$11+1,1))</f>
        <v>373.7520752235389</v>
      </c>
      <c r="BJ78" s="60">
        <f t="shared" si="92"/>
        <v>205.19966474305761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23.076923076923077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360.76923076923077</v>
      </c>
      <c r="BW78" s="13">
        <f>VLOOKUP(A78,'Données projet'!$A$113:$I$133,9,0)</f>
        <v>9.8717948717948705</v>
      </c>
      <c r="BX78" s="13">
        <f t="array" ref="BX78">INDEX(BW:BW,MIN(IF(ISNUMBER(BW78:BW274),ROW(BW78:BW274),"")))</f>
        <v>9.8717948717948705</v>
      </c>
      <c r="BY78" s="13">
        <f>IF('Données projet'!$A$114&gt;35,BY77+BX78-CG77,IF(A78&lt;'Données projet'!$A$114,$BV$205^A78,IF(A78='Données projet'!$A$114,'Données projet'!$B$114,BY77+BX78-CG77)))</f>
        <v>360.7692307692306</v>
      </c>
      <c r="BZ78" s="14">
        <f>BY78*VLOOKUP('Données projet'!$B$12,Paramètres!$A$1:$I$89,3,0)*VLOOKUP('Données projet'!$B$12,Paramètres!$A$1:$I$89,5,0)</f>
        <v>168.83999999999995</v>
      </c>
      <c r="CA78" s="14">
        <f t="shared" si="93"/>
        <v>42.830118735743163</v>
      </c>
      <c r="CB78" s="22">
        <f t="shared" si="64"/>
        <v>368.65879013141921</v>
      </c>
      <c r="CC78" s="60">
        <f t="shared" si="65"/>
        <v>661.99212346475247</v>
      </c>
      <c r="CD78" s="60">
        <f ca="1">AVERAGE(OFFSET($CC$3,0,0,'Données projet'!$E$12+1,1))-AVERAGE(OFFSET($H$3,0,0,'Données projet'!$E$12+1,1))</f>
        <v>141.31558705818316</v>
      </c>
      <c r="CE78" s="60">
        <f t="shared" si="94"/>
        <v>67.142010893211364</v>
      </c>
      <c r="CF78" s="16">
        <f>IF(ISNA(VLOOKUP(A78,'Données projet'!$A$113:$I$133,3,0)),0,VLOOKUP(A78,'Données projet'!$A$113:$I$133,3,0))</f>
        <v>3</v>
      </c>
      <c r="CG78" s="16">
        <f>IF(ISNA(VLOOKUP(A78,'Données projet'!$A$113:$I$133,4,0)),0,VLOOKUP(A78,'Données projet'!$A$113:$I$133,4,0))</f>
        <v>85.384615384615415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252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251.99999999999989</v>
      </c>
      <c r="CU78" s="18">
        <f>CT78*VLOOKUP('Données projet'!$B$13,Paramètres!$A$1:$I$89,3,0)*VLOOKUP('Données projet'!$B$13,Paramètres!$A$1:$I$89,5,0)</f>
        <v>220.14719999999991</v>
      </c>
      <c r="CV78" s="14">
        <f t="shared" si="95"/>
        <v>54.146877667769637</v>
      </c>
      <c r="CW78" s="22">
        <f t="shared" si="67"/>
        <v>477.72885193803194</v>
      </c>
      <c r="CX78" s="60">
        <f t="shared" si="68"/>
        <v>771.06218527136525</v>
      </c>
      <c r="CY78" s="60">
        <f ca="1">AVERAGE(OFFSET($CX$3,0,0,'Données projet'!$E$13+1,1))-AVERAGE(OFFSET($H$3,0,0,'Données projet'!$E$13+1,1))</f>
        <v>281.8501448773884</v>
      </c>
      <c r="CZ78" s="60">
        <f t="shared" si="96"/>
        <v>161.7340631691518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252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251.99999999999989</v>
      </c>
      <c r="DP78" s="18">
        <f>DO78*VLOOKUP('Données projet'!$B$14,Paramètres!$A$1:$I$89,3,0)*VLOOKUP('Données projet'!$B$14,Paramètres!$A$1:$I$89,5,0)</f>
        <v>228.00959999999986</v>
      </c>
      <c r="DQ78" s="14">
        <f t="shared" si="97"/>
        <v>55.852093054619779</v>
      </c>
      <c r="DR78" s="22">
        <f t="shared" si="70"/>
        <v>494.39244873679587</v>
      </c>
      <c r="DS78" s="60">
        <f t="shared" si="71"/>
        <v>787.72578207012918</v>
      </c>
      <c r="DT78" s="60">
        <f ca="1">AVERAGE(OFFSET($DS$3,0,0,'Données projet'!$E$14+1,1))-AVERAGE(OFFSET($H$3,0,0,'Données projet'!$E$14+1,1))</f>
        <v>295.19398489974265</v>
      </c>
      <c r="DU78" s="60">
        <f t="shared" si="98"/>
        <v>168.80998104712489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4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261.61199999999991</v>
      </c>
      <c r="P79" s="14">
        <f t="shared" si="87"/>
        <v>63.065867509496442</v>
      </c>
      <c r="Q79" s="22">
        <f t="shared" si="54"/>
        <v>565.48061924570618</v>
      </c>
      <c r="R79" s="60">
        <f t="shared" si="55"/>
        <v>858.81395257903955</v>
      </c>
      <c r="S79" s="60">
        <f ca="1">AVERAGE(OFFSET($R$3,0,0,'Données projet'!$E$9+1,1))-AVERAGE(OFFSET($H$3,0,0,'Données projet'!$E$9+1,1))</f>
        <v>341.82426415364569</v>
      </c>
      <c r="T79" s="60">
        <f t="shared" si="88"/>
        <v>193.53376539568887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-2.8421709430404007E-13</v>
      </c>
      <c r="AJ79" s="14">
        <f>AI79*VLOOKUP('Données projet'!$B$10,Paramètres!$A$1:$I$89,3,0)*VLOOKUP('Données projet'!$B$10,Paramètres!$A$1:$I$89,5,0)</f>
        <v>-1.69961822393816E-13</v>
      </c>
      <c r="AK79" s="14" t="e">
        <f t="shared" si="89"/>
        <v>#NUM!</v>
      </c>
      <c r="AL79" s="22" t="e">
        <f t="shared" si="58"/>
        <v>#NUM!</v>
      </c>
      <c r="AM79" s="60" t="e">
        <f t="shared" si="59"/>
        <v>#NUM!</v>
      </c>
      <c r="AN79" s="60">
        <f ca="1">AVERAGE(OFFSET($AM$3,0,0,'Données projet'!$E$10+1,1))-AVERAGE(OFFSET($H$3,0,0,'Données projet'!$E$10+1,1))</f>
        <v>189.8516574130017</v>
      </c>
      <c r="AO79" s="60">
        <f t="shared" si="90"/>
        <v>191.91100863555891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5.714768477226241</v>
      </c>
      <c r="AV79" s="23">
        <f>EXP(-LN(2)/25)*AV78+(1-EXP(-LN(2)/25))/(LN(2)/25)*Calculateur!AQ79*Calculateur!AS79*VLOOKUP('Données projet'!$B$10,Paramètres!$A$1:$I$89,3,0)*0.475*44/12</f>
        <v>5.0434162141702199</v>
      </c>
      <c r="AW79" s="23">
        <f>EXP(-LN(2)/2)*AW78+(1-EXP(-LN(2)/2))/(LN(2)/2)*AQ79*AT79*VLOOKUP('Données projet'!$B$10,Paramètres!$A$1:$I$89,3,0)*0.475*44/12</f>
        <v>7.2048534511623305E-7</v>
      </c>
      <c r="AX79" s="23">
        <f t="shared" si="60"/>
        <v>10.758185411881806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4.3589743589743595</v>
      </c>
      <c r="BD79" s="13">
        <f>IF('Données projet'!$A$88&gt;35,BD78+BC79-BL78,IF(A79&lt;'Données projet'!$A$88,$BA$205^A79,IF(A79='Données projet'!$A$88,'Données projet'!$B$88,BD78+BC79-BL78)))</f>
        <v>250.51282051282047</v>
      </c>
      <c r="BE79" s="14">
        <f>BD79*VLOOKUP('Données projet'!$B$11,Paramètres!$A$1:$I$89,3,0)*VLOOKUP('Données projet'!$B$11,Paramètres!$A$1:$I$89,5,0)</f>
        <v>261.83599999999996</v>
      </c>
      <c r="BF79" s="14">
        <f t="shared" si="91"/>
        <v>63.11357854066847</v>
      </c>
      <c r="BG79" s="22">
        <f t="shared" si="61"/>
        <v>565.95384929166414</v>
      </c>
      <c r="BH79" s="60">
        <f t="shared" si="62"/>
        <v>859.28718262499751</v>
      </c>
      <c r="BI79" s="60">
        <f ca="1">AVERAGE(OFFSET($BH$3,0,0,'Données projet'!$E$11+1,1))-AVERAGE(OFFSET($H$3,0,0,'Données projet'!$E$11+1,1))</f>
        <v>373.7520752235389</v>
      </c>
      <c r="BJ79" s="60">
        <f t="shared" si="92"/>
        <v>205.19966474305761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8.9743589743589727</v>
      </c>
      <c r="BY79" s="13">
        <f>IF('Données projet'!$A$114&gt;35,BY78+BX79-CG78,IF(A79&lt;'Données projet'!$A$114,$BV$205^A79,IF(A79='Données projet'!$A$114,'Données projet'!$B$114,BY78+BX79-CG78)))</f>
        <v>284.35897435897414</v>
      </c>
      <c r="BZ79" s="14">
        <f>BY79*VLOOKUP('Données projet'!$B$12,Paramètres!$A$1:$I$89,3,0)*VLOOKUP('Données projet'!$B$12,Paramètres!$A$1:$I$89,5,0)</f>
        <v>133.0799999999999</v>
      </c>
      <c r="CA79" s="14">
        <f t="shared" si="93"/>
        <v>34.707084092439132</v>
      </c>
      <c r="CB79" s="22">
        <f t="shared" si="64"/>
        <v>292.22917146099797</v>
      </c>
      <c r="CC79" s="60">
        <f t="shared" si="65"/>
        <v>585.56250479433129</v>
      </c>
      <c r="CD79" s="60">
        <f ca="1">AVERAGE(OFFSET($CC$3,0,0,'Données projet'!$E$12+1,1))-AVERAGE(OFFSET($H$3,0,0,'Données projet'!$E$12+1,1))</f>
        <v>141.31558705818316</v>
      </c>
      <c r="CE79" s="60">
        <f t="shared" si="94"/>
        <v>67.142010893211364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257.99999999999989</v>
      </c>
      <c r="CU79" s="18">
        <f>CT79*VLOOKUP('Données projet'!$B$13,Paramètres!$A$1:$I$89,3,0)*VLOOKUP('Données projet'!$B$13,Paramètres!$A$1:$I$89,5,0)</f>
        <v>225.38879999999995</v>
      </c>
      <c r="CV79" s="14">
        <f t="shared" si="95"/>
        <v>55.284460117161544</v>
      </c>
      <c r="CW79" s="22">
        <f t="shared" si="67"/>
        <v>488.83926137072285</v>
      </c>
      <c r="CX79" s="60">
        <f t="shared" si="68"/>
        <v>782.17259470405611</v>
      </c>
      <c r="CY79" s="60">
        <f ca="1">AVERAGE(OFFSET($CX$3,0,0,'Données projet'!$E$13+1,1))-AVERAGE(OFFSET($H$3,0,0,'Données projet'!$E$13+1,1))</f>
        <v>281.8501448773884</v>
      </c>
      <c r="CZ79" s="60">
        <f t="shared" si="96"/>
        <v>161.7340631691518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257.99999999999989</v>
      </c>
      <c r="DP79" s="18">
        <f>DO79*VLOOKUP('Données projet'!$B$14,Paramètres!$A$1:$I$89,3,0)*VLOOKUP('Données projet'!$B$14,Paramètres!$A$1:$I$89,5,0)</f>
        <v>233.43839999999989</v>
      </c>
      <c r="DQ79" s="14">
        <f t="shared" si="97"/>
        <v>57.025500710931624</v>
      </c>
      <c r="DR79" s="22">
        <f t="shared" si="70"/>
        <v>505.89129373820577</v>
      </c>
      <c r="DS79" s="60">
        <f t="shared" si="71"/>
        <v>799.22462707153909</v>
      </c>
      <c r="DT79" s="60">
        <f ca="1">AVERAGE(OFFSET($DS$3,0,0,'Données projet'!$E$14+1,1))-AVERAGE(OFFSET($H$3,0,0,'Données projet'!$E$14+1,1))</f>
        <v>295.19398489974265</v>
      </c>
      <c r="DU79" s="60">
        <f t="shared" si="98"/>
        <v>168.80998104712489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4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267.69599999999991</v>
      </c>
      <c r="P80" s="14">
        <f t="shared" si="87"/>
        <v>64.360058723585439</v>
      </c>
      <c r="Q80" s="22">
        <f t="shared" si="54"/>
        <v>578.33096894357777</v>
      </c>
      <c r="R80" s="60">
        <f t="shared" si="55"/>
        <v>871.66430227691103</v>
      </c>
      <c r="S80" s="60">
        <f ca="1">AVERAGE(OFFSET($R$3,0,0,'Données projet'!$E$9+1,1))-AVERAGE(OFFSET($H$3,0,0,'Données projet'!$E$9+1,1))</f>
        <v>341.82426415364569</v>
      </c>
      <c r="T80" s="60">
        <f t="shared" si="88"/>
        <v>193.53376539568887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-2.8421709430404007E-13</v>
      </c>
      <c r="AJ80" s="14">
        <f>AI80*VLOOKUP('Données projet'!$B$10,Paramètres!$A$1:$I$89,3,0)*VLOOKUP('Données projet'!$B$10,Paramètres!$A$1:$I$89,5,0)</f>
        <v>-1.69961822393816E-13</v>
      </c>
      <c r="AK80" s="14" t="e">
        <f t="shared" si="89"/>
        <v>#NUM!</v>
      </c>
      <c r="AL80" s="22" t="e">
        <f t="shared" si="58"/>
        <v>#NUM!</v>
      </c>
      <c r="AM80" s="60" t="e">
        <f t="shared" si="59"/>
        <v>#NUM!</v>
      </c>
      <c r="AN80" s="60">
        <f ca="1">AVERAGE(OFFSET($AM$3,0,0,'Données projet'!$E$10+1,1))-AVERAGE(OFFSET($H$3,0,0,'Données projet'!$E$10+1,1))</f>
        <v>189.8516574130017</v>
      </c>
      <c r="AO80" s="60">
        <f t="shared" si="90"/>
        <v>191.91100863555891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5.6027053530524249</v>
      </c>
      <c r="AV80" s="23">
        <f>EXP(-LN(2)/25)*AV79+(1-EXP(-LN(2)/25))/(LN(2)/25)*Calculateur!AQ80*Calculateur!AS80*VLOOKUP('Données projet'!$B$10,Paramètres!$A$1:$I$89,3,0)*0.475*44/12</f>
        <v>4.9055037325720035</v>
      </c>
      <c r="AW80" s="23">
        <f>EXP(-LN(2)/2)*AW79+(1-EXP(-LN(2)/2))/(LN(2)/2)*AQ80*AT80*VLOOKUP('Données projet'!$B$10,Paramètres!$A$1:$I$89,3,0)*0.475*44/12</f>
        <v>5.0946007327721838E-7</v>
      </c>
      <c r="AX80" s="23">
        <f t="shared" si="60"/>
        <v>10.508209595084503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4.3589743589743595</v>
      </c>
      <c r="BD80" s="13">
        <f>IF('Données projet'!$A$88&gt;35,BD79+BC80-BL79,IF(A80&lt;'Données projet'!$A$88,$BA$205^A80,IF(A80='Données projet'!$A$88,'Données projet'!$B$88,BD79+BC80-BL79)))</f>
        <v>254.87179487179483</v>
      </c>
      <c r="BE80" s="14">
        <f>BD80*VLOOKUP('Données projet'!$B$11,Paramètres!$A$1:$I$89,3,0)*VLOOKUP('Données projet'!$B$11,Paramètres!$A$1:$I$89,5,0)</f>
        <v>266.392</v>
      </c>
      <c r="BF80" s="14">
        <f t="shared" si="91"/>
        <v>64.08296213521713</v>
      </c>
      <c r="BG80" s="22">
        <f t="shared" si="61"/>
        <v>575.57722571883653</v>
      </c>
      <c r="BH80" s="60">
        <f t="shared" si="62"/>
        <v>868.9105590521699</v>
      </c>
      <c r="BI80" s="60">
        <f ca="1">AVERAGE(OFFSET($BH$3,0,0,'Données projet'!$E$11+1,1))-AVERAGE(OFFSET($H$3,0,0,'Données projet'!$E$11+1,1))</f>
        <v>373.7520752235389</v>
      </c>
      <c r="BJ80" s="60">
        <f t="shared" si="92"/>
        <v>205.19966474305761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8.9743589743589727</v>
      </c>
      <c r="BY80" s="13">
        <f>IF('Données projet'!$A$114&gt;35,BY79+BX80-CG79,IF(A80&lt;'Données projet'!$A$114,$BV$205^A80,IF(A80='Données projet'!$A$114,'Données projet'!$B$114,BY79+BX80-CG79)))</f>
        <v>293.33333333333309</v>
      </c>
      <c r="BZ80" s="14">
        <f>BY80*VLOOKUP('Données projet'!$B$12,Paramètres!$A$1:$I$89,3,0)*VLOOKUP('Données projet'!$B$12,Paramètres!$A$1:$I$89,5,0)</f>
        <v>137.27999999999989</v>
      </c>
      <c r="CA80" s="14">
        <f t="shared" si="93"/>
        <v>35.673181961873411</v>
      </c>
      <c r="CB80" s="22">
        <f t="shared" si="64"/>
        <v>301.22679191692936</v>
      </c>
      <c r="CC80" s="60">
        <f t="shared" si="65"/>
        <v>594.56012525026267</v>
      </c>
      <c r="CD80" s="60">
        <f ca="1">AVERAGE(OFFSET($CC$3,0,0,'Données projet'!$E$12+1,1))-AVERAGE(OFFSET($H$3,0,0,'Données projet'!$E$12+1,1))</f>
        <v>141.31558705818316</v>
      </c>
      <c r="CE80" s="60">
        <f t="shared" si="94"/>
        <v>67.142010893211364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263.99999999999989</v>
      </c>
      <c r="CU80" s="18">
        <f>CT80*VLOOKUP('Données projet'!$B$13,Paramètres!$A$1:$I$89,3,0)*VLOOKUP('Données projet'!$B$13,Paramètres!$A$1:$I$89,5,0)</f>
        <v>230.63039999999992</v>
      </c>
      <c r="CV80" s="14">
        <f t="shared" si="95"/>
        <v>56.418967028503204</v>
      </c>
      <c r="CW80" s="22">
        <f t="shared" si="67"/>
        <v>499.94431424130966</v>
      </c>
      <c r="CX80" s="60">
        <f t="shared" si="68"/>
        <v>793.27764757464297</v>
      </c>
      <c r="CY80" s="60">
        <f ca="1">AVERAGE(OFFSET($CX$3,0,0,'Données projet'!$E$13+1,1))-AVERAGE(OFFSET($H$3,0,0,'Données projet'!$E$13+1,1))</f>
        <v>281.8501448773884</v>
      </c>
      <c r="CZ80" s="60">
        <f t="shared" si="96"/>
        <v>161.7340631691518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263.99999999999989</v>
      </c>
      <c r="DP80" s="18">
        <f>DO80*VLOOKUP('Données projet'!$B$14,Paramètres!$A$1:$I$89,3,0)*VLOOKUP('Données projet'!$B$14,Paramètres!$A$1:$I$89,5,0)</f>
        <v>238.86719999999988</v>
      </c>
      <c r="DQ80" s="14">
        <f t="shared" si="97"/>
        <v>58.195735973104156</v>
      </c>
      <c r="DR80" s="22">
        <f t="shared" si="70"/>
        <v>517.38461348648957</v>
      </c>
      <c r="DS80" s="60">
        <f t="shared" si="71"/>
        <v>810.71794681982283</v>
      </c>
      <c r="DT80" s="60">
        <f ca="1">AVERAGE(OFFSET($DS$3,0,0,'Données projet'!$E$14+1,1))-AVERAGE(OFFSET($H$3,0,0,'Données projet'!$E$14+1,1))</f>
        <v>295.19398489974265</v>
      </c>
      <c r="DU80" s="60">
        <f t="shared" si="98"/>
        <v>168.80998104712489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4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273.77999999999992</v>
      </c>
      <c r="P81" s="14">
        <f t="shared" si="87"/>
        <v>65.650830427167435</v>
      </c>
      <c r="Q81" s="22">
        <f t="shared" si="54"/>
        <v>591.17536299398307</v>
      </c>
      <c r="R81" s="60">
        <f t="shared" si="55"/>
        <v>884.50869632731633</v>
      </c>
      <c r="S81" s="60">
        <f ca="1">AVERAGE(OFFSET($R$3,0,0,'Données projet'!$E$9+1,1))-AVERAGE(OFFSET($H$3,0,0,'Données projet'!$E$9+1,1))</f>
        <v>341.82426415364569</v>
      </c>
      <c r="T81" s="60">
        <f t="shared" si="88"/>
        <v>193.53376539568887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-2.8421709430404007E-13</v>
      </c>
      <c r="AJ81" s="14">
        <f>AI81*VLOOKUP('Données projet'!$B$10,Paramètres!$A$1:$I$89,3,0)*VLOOKUP('Données projet'!$B$10,Paramètres!$A$1:$I$89,5,0)</f>
        <v>-1.69961822393816E-13</v>
      </c>
      <c r="AK81" s="14" t="e">
        <f t="shared" si="89"/>
        <v>#NUM!</v>
      </c>
      <c r="AL81" s="22" t="e">
        <f t="shared" si="58"/>
        <v>#NUM!</v>
      </c>
      <c r="AM81" s="60" t="e">
        <f t="shared" si="59"/>
        <v>#NUM!</v>
      </c>
      <c r="AN81" s="60">
        <f ca="1">AVERAGE(OFFSET($AM$3,0,0,'Données projet'!$E$10+1,1))-AVERAGE(OFFSET($H$3,0,0,'Données projet'!$E$10+1,1))</f>
        <v>189.8516574130017</v>
      </c>
      <c r="AO81" s="60">
        <f t="shared" si="90"/>
        <v>191.91100863555891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5.4928397183919007</v>
      </c>
      <c r="AV81" s="23">
        <f>EXP(-LN(2)/25)*AV80+(1-EXP(-LN(2)/25))/(LN(2)/25)*Calculateur!AQ81*Calculateur!AS81*VLOOKUP('Données projet'!$B$10,Paramètres!$A$1:$I$89,3,0)*0.475*44/12</f>
        <v>4.7713624750355921</v>
      </c>
      <c r="AW81" s="23">
        <f>EXP(-LN(2)/2)*AW80+(1-EXP(-LN(2)/2))/(LN(2)/2)*AQ81*AT81*VLOOKUP('Données projet'!$B$10,Paramètres!$A$1:$I$89,3,0)*0.475*44/12</f>
        <v>3.6024267255811653E-7</v>
      </c>
      <c r="AX81" s="23">
        <f t="shared" si="60"/>
        <v>10.264202553670167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4.3589743589743595</v>
      </c>
      <c r="BD81" s="13">
        <f>IF('Données projet'!$A$88&gt;35,BD80+BC81-BL80,IF(A81&lt;'Données projet'!$A$88,$BA$205^A81,IF(A81='Données projet'!$A$88,'Données projet'!$B$88,BD80+BC81-BL80)))</f>
        <v>259.23076923076917</v>
      </c>
      <c r="BE81" s="14">
        <f>BD81*VLOOKUP('Données projet'!$B$11,Paramètres!$A$1:$I$89,3,0)*VLOOKUP('Données projet'!$B$11,Paramètres!$A$1:$I$89,5,0)</f>
        <v>270.94799999999992</v>
      </c>
      <c r="BF81" s="14">
        <f t="shared" si="91"/>
        <v>65.050417754962155</v>
      </c>
      <c r="BG81" s="22">
        <f t="shared" si="61"/>
        <v>585.19724425655897</v>
      </c>
      <c r="BH81" s="60">
        <f t="shared" si="62"/>
        <v>878.53057758989235</v>
      </c>
      <c r="BI81" s="60">
        <f ca="1">AVERAGE(OFFSET($BH$3,0,0,'Données projet'!$E$11+1,1))-AVERAGE(OFFSET($H$3,0,0,'Données projet'!$E$11+1,1))</f>
        <v>373.7520752235389</v>
      </c>
      <c r="BJ81" s="60">
        <f t="shared" si="92"/>
        <v>205.19966474305761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8.9743589743589727</v>
      </c>
      <c r="BY81" s="13">
        <f>IF('Données projet'!$A$114&gt;35,BY80+BX81-CG80,IF(A81&lt;'Données projet'!$A$114,$BV$205^A81,IF(A81='Données projet'!$A$114,'Données projet'!$B$114,BY80+BX81-CG80)))</f>
        <v>302.30769230769204</v>
      </c>
      <c r="BZ81" s="14">
        <f>BY81*VLOOKUP('Données projet'!$B$12,Paramètres!$A$1:$I$89,3,0)*VLOOKUP('Données projet'!$B$12,Paramètres!$A$1:$I$89,5,0)</f>
        <v>141.47999999999988</v>
      </c>
      <c r="CA81" s="14">
        <f t="shared" si="93"/>
        <v>36.635844927016009</v>
      </c>
      <c r="CB81" s="22">
        <f t="shared" si="64"/>
        <v>310.21842991455259</v>
      </c>
      <c r="CC81" s="60">
        <f t="shared" si="65"/>
        <v>603.5517632478859</v>
      </c>
      <c r="CD81" s="60">
        <f ca="1">AVERAGE(OFFSET($CC$3,0,0,'Données projet'!$E$12+1,1))-AVERAGE(OFFSET($H$3,0,0,'Données projet'!$E$12+1,1))</f>
        <v>141.31558705818316</v>
      </c>
      <c r="CE81" s="60">
        <f t="shared" si="94"/>
        <v>67.142010893211364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269.99999999999989</v>
      </c>
      <c r="CU81" s="18">
        <f>CT81*VLOOKUP('Données projet'!$B$13,Paramètres!$A$1:$I$89,3,0)*VLOOKUP('Données projet'!$B$13,Paramètres!$A$1:$I$89,5,0)</f>
        <v>235.87199999999996</v>
      </c>
      <c r="CV81" s="14">
        <f t="shared" si="95"/>
        <v>57.550476347015277</v>
      </c>
      <c r="CW81" s="22">
        <f t="shared" si="67"/>
        <v>511.04414630438487</v>
      </c>
      <c r="CX81" s="60">
        <f t="shared" si="68"/>
        <v>804.37747963771812</v>
      </c>
      <c r="CY81" s="60">
        <f ca="1">AVERAGE(OFFSET($CX$3,0,0,'Données projet'!$E$13+1,1))-AVERAGE(OFFSET($H$3,0,0,'Données projet'!$E$13+1,1))</f>
        <v>281.8501448773884</v>
      </c>
      <c r="CZ81" s="60">
        <f t="shared" si="96"/>
        <v>161.7340631691518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269.99999999999989</v>
      </c>
      <c r="DP81" s="18">
        <f>DO81*VLOOKUP('Données projet'!$B$14,Paramètres!$A$1:$I$89,3,0)*VLOOKUP('Données projet'!$B$14,Paramètres!$A$1:$I$89,5,0)</f>
        <v>244.29599999999991</v>
      </c>
      <c r="DQ81" s="14">
        <f t="shared" si="97"/>
        <v>59.362879241040318</v>
      </c>
      <c r="DR81" s="22">
        <f t="shared" si="70"/>
        <v>528.87254801147833</v>
      </c>
      <c r="DS81" s="60">
        <f t="shared" si="71"/>
        <v>822.20588134481159</v>
      </c>
      <c r="DT81" s="60">
        <f ca="1">AVERAGE(OFFSET($DS$3,0,0,'Données projet'!$E$14+1,1))-AVERAGE(OFFSET($H$3,0,0,'Données projet'!$E$14+1,1))</f>
        <v>295.19398489974265</v>
      </c>
      <c r="DU81" s="60">
        <f t="shared" si="98"/>
        <v>168.80998104712489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4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279.86399999999986</v>
      </c>
      <c r="P82" s="14">
        <f t="shared" si="87"/>
        <v>66.938267358965007</v>
      </c>
      <c r="Q82" s="22">
        <f t="shared" si="54"/>
        <v>604.01394898353044</v>
      </c>
      <c r="R82" s="60">
        <f t="shared" si="55"/>
        <v>897.34728231686381</v>
      </c>
      <c r="S82" s="60">
        <f ca="1">AVERAGE(OFFSET($R$3,0,0,'Données projet'!$E$9+1,1))-AVERAGE(OFFSET($H$3,0,0,'Données projet'!$E$9+1,1))</f>
        <v>341.82426415364569</v>
      </c>
      <c r="T82" s="60">
        <f t="shared" si="88"/>
        <v>193.53376539568887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-2.8421709430404007E-13</v>
      </c>
      <c r="AJ82" s="14">
        <f>AI82*VLOOKUP('Données projet'!$B$10,Paramètres!$A$1:$I$89,3,0)*VLOOKUP('Données projet'!$B$10,Paramètres!$A$1:$I$89,5,0)</f>
        <v>-1.69961822393816E-13</v>
      </c>
      <c r="AK82" s="14" t="e">
        <f t="shared" si="89"/>
        <v>#NUM!</v>
      </c>
      <c r="AL82" s="22" t="e">
        <f t="shared" si="58"/>
        <v>#NUM!</v>
      </c>
      <c r="AM82" s="60" t="e">
        <f t="shared" si="59"/>
        <v>#NUM!</v>
      </c>
      <c r="AN82" s="60">
        <f ca="1">AVERAGE(OFFSET($AM$3,0,0,'Données projet'!$E$10+1,1))-AVERAGE(OFFSET($H$3,0,0,'Données projet'!$E$10+1,1))</f>
        <v>189.8516574130017</v>
      </c>
      <c r="AO82" s="60">
        <f t="shared" si="90"/>
        <v>191.91100863555891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5.3851284818156486</v>
      </c>
      <c r="AV82" s="23">
        <f>EXP(-LN(2)/25)*AV81+(1-EXP(-LN(2)/25))/(LN(2)/25)*Calculateur!AQ82*Calculateur!AS82*VLOOKUP('Données projet'!$B$10,Paramètres!$A$1:$I$89,3,0)*0.475*44/12</f>
        <v>4.6408893172406964</v>
      </c>
      <c r="AW82" s="23">
        <f>EXP(-LN(2)/2)*AW81+(1-EXP(-LN(2)/2))/(LN(2)/2)*AQ82*AT82*VLOOKUP('Données projet'!$B$10,Paramètres!$A$1:$I$89,3,0)*0.475*44/12</f>
        <v>2.5473003663860919E-7</v>
      </c>
      <c r="AX82" s="23">
        <f t="shared" si="60"/>
        <v>10.02601805378638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4.3589743589743595</v>
      </c>
      <c r="BD82" s="13">
        <f>IF('Données projet'!$A$88&gt;35,BD81+BC82-BL81,IF(A82&lt;'Données projet'!$A$88,$BA$205^A82,IF(A82='Données projet'!$A$88,'Données projet'!$B$88,BD81+BC82-BL81)))</f>
        <v>263.58974358974353</v>
      </c>
      <c r="BE82" s="14">
        <f>BD82*VLOOKUP('Données projet'!$B$11,Paramètres!$A$1:$I$89,3,0)*VLOOKUP('Données projet'!$B$11,Paramètres!$A$1:$I$89,5,0)</f>
        <v>275.50399999999996</v>
      </c>
      <c r="BF82" s="14">
        <f t="shared" si="91"/>
        <v>66.015981560472</v>
      </c>
      <c r="BG82" s="22">
        <f t="shared" si="61"/>
        <v>594.81396788448865</v>
      </c>
      <c r="BH82" s="60">
        <f t="shared" si="62"/>
        <v>888.14730121782191</v>
      </c>
      <c r="BI82" s="60">
        <f ca="1">AVERAGE(OFFSET($BH$3,0,0,'Données projet'!$E$11+1,1))-AVERAGE(OFFSET($H$3,0,0,'Données projet'!$E$11+1,1))</f>
        <v>373.7520752235389</v>
      </c>
      <c r="BJ82" s="60">
        <f t="shared" si="92"/>
        <v>205.19966474305761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8.9743589743589727</v>
      </c>
      <c r="BY82" s="13">
        <f>IF('Données projet'!$A$114&gt;35,BY81+BX82-CG81,IF(A82&lt;'Données projet'!$A$114,$BV$205^A82,IF(A82='Données projet'!$A$114,'Données projet'!$B$114,BY81+BX82-CG81)))</f>
        <v>311.28205128205099</v>
      </c>
      <c r="BZ82" s="14">
        <f>BY82*VLOOKUP('Données projet'!$B$12,Paramètres!$A$1:$I$89,3,0)*VLOOKUP('Données projet'!$B$12,Paramètres!$A$1:$I$89,5,0)</f>
        <v>145.67999999999986</v>
      </c>
      <c r="CA82" s="14">
        <f t="shared" si="93"/>
        <v>37.595186663644121</v>
      </c>
      <c r="CB82" s="22">
        <f t="shared" si="64"/>
        <v>319.2042834391799</v>
      </c>
      <c r="CC82" s="60">
        <f t="shared" si="65"/>
        <v>612.53761677251327</v>
      </c>
      <c r="CD82" s="60">
        <f ca="1">AVERAGE(OFFSET($CC$3,0,0,'Données projet'!$E$12+1,1))-AVERAGE(OFFSET($H$3,0,0,'Données projet'!$E$12+1,1))</f>
        <v>141.31558705818316</v>
      </c>
      <c r="CE82" s="60">
        <f t="shared" si="94"/>
        <v>67.142010893211364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275.99999999999989</v>
      </c>
      <c r="CU82" s="18">
        <f>CT82*VLOOKUP('Données projet'!$B$13,Paramètres!$A$1:$I$89,3,0)*VLOOKUP('Données projet'!$B$13,Paramètres!$A$1:$I$89,5,0)</f>
        <v>241.11359999999993</v>
      </c>
      <c r="CV82" s="14">
        <f t="shared" si="95"/>
        <v>58.679062355898857</v>
      </c>
      <c r="CW82" s="22">
        <f t="shared" si="67"/>
        <v>522.13888693652382</v>
      </c>
      <c r="CX82" s="60">
        <f t="shared" si="68"/>
        <v>815.47222026985719</v>
      </c>
      <c r="CY82" s="60">
        <f ca="1">AVERAGE(OFFSET($CX$3,0,0,'Données projet'!$E$13+1,1))-AVERAGE(OFFSET($H$3,0,0,'Données projet'!$E$13+1,1))</f>
        <v>281.8501448773884</v>
      </c>
      <c r="CZ82" s="60">
        <f t="shared" si="96"/>
        <v>161.7340631691518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275.99999999999989</v>
      </c>
      <c r="DP82" s="18">
        <f>DO82*VLOOKUP('Données projet'!$B$14,Paramètres!$A$1:$I$89,3,0)*VLOOKUP('Données projet'!$B$14,Paramètres!$A$1:$I$89,5,0)</f>
        <v>249.7247999999999</v>
      </c>
      <c r="DQ82" s="14">
        <f t="shared" si="97"/>
        <v>60.527007137298092</v>
      </c>
      <c r="DR82" s="22">
        <f t="shared" si="70"/>
        <v>540.35523076412733</v>
      </c>
      <c r="DS82" s="60">
        <f t="shared" si="71"/>
        <v>833.68856409746058</v>
      </c>
      <c r="DT82" s="60">
        <f ca="1">AVERAGE(OFFSET($DS$3,0,0,'Données projet'!$E$14+1,1))-AVERAGE(OFFSET($H$3,0,0,'Données projet'!$E$14+1,1))</f>
        <v>295.19398489974265</v>
      </c>
      <c r="DU82" s="60">
        <f t="shared" si="98"/>
        <v>168.80998104712489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4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285.94799999999992</v>
      </c>
      <c r="P83" s="14">
        <f t="shared" si="87"/>
        <v>68.222450362989363</v>
      </c>
      <c r="Q83" s="22">
        <f t="shared" si="54"/>
        <v>616.84686771553959</v>
      </c>
      <c r="R83" s="60">
        <f t="shared" si="55"/>
        <v>910.18020104887296</v>
      </c>
      <c r="S83" s="60">
        <f ca="1">AVERAGE(OFFSET($R$3,0,0,'Données projet'!$E$9+1,1))-AVERAGE(OFFSET($H$3,0,0,'Données projet'!$E$9+1,1))</f>
        <v>341.82426415364569</v>
      </c>
      <c r="T83" s="60">
        <f t="shared" si="88"/>
        <v>193.53376539568887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-2.8421709430404007E-13</v>
      </c>
      <c r="AJ83" s="14">
        <f>AI83*VLOOKUP('Données projet'!$B$10,Paramètres!$A$1:$I$89,3,0)*VLOOKUP('Données projet'!$B$10,Paramètres!$A$1:$I$89,5,0)</f>
        <v>-1.69961822393816E-13</v>
      </c>
      <c r="AK83" s="14" t="e">
        <f t="shared" si="89"/>
        <v>#NUM!</v>
      </c>
      <c r="AL83" s="22" t="e">
        <f t="shared" si="58"/>
        <v>#NUM!</v>
      </c>
      <c r="AM83" s="60" t="e">
        <f t="shared" si="59"/>
        <v>#NUM!</v>
      </c>
      <c r="AN83" s="60">
        <f ca="1">AVERAGE(OFFSET($AM$3,0,0,'Données projet'!$E$10+1,1))-AVERAGE(OFFSET($H$3,0,0,'Données projet'!$E$10+1,1))</f>
        <v>189.8516574130017</v>
      </c>
      <c r="AO83" s="60">
        <f t="shared" si="90"/>
        <v>191.91100863555891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5.2795293968912897</v>
      </c>
      <c r="AV83" s="23">
        <f>EXP(-LN(2)/25)*AV82+(1-EXP(-LN(2)/25))/(LN(2)/25)*Calculateur!AQ83*Calculateur!AS83*VLOOKUP('Données projet'!$B$10,Paramètres!$A$1:$I$89,3,0)*0.475*44/12</f>
        <v>4.5139839548069869</v>
      </c>
      <c r="AW83" s="23">
        <f>EXP(-LN(2)/2)*AW82+(1-EXP(-LN(2)/2))/(LN(2)/2)*AQ83*AT83*VLOOKUP('Données projet'!$B$10,Paramètres!$A$1:$I$89,3,0)*0.475*44/12</f>
        <v>1.8012133627905826E-7</v>
      </c>
      <c r="AX83" s="23">
        <f t="shared" si="60"/>
        <v>9.7935135318196131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267.94871794871796</v>
      </c>
      <c r="BB83" s="13">
        <f>VLOOKUP(A83,'Données projet'!$A$87:$I$107,9,0)</f>
        <v>4.3589743589743595</v>
      </c>
      <c r="BC83" s="13">
        <f t="array" ref="BC83">INDEX(BB:BB,MIN(IF(ISNUMBER(BB83:BB279),ROW(BB83:BB279),"")))</f>
        <v>4.3589743589743595</v>
      </c>
      <c r="BD83" s="13">
        <f>IF('Données projet'!$A$88&gt;35,BD82+BC83-BL82,IF(A83&lt;'Données projet'!$A$88,$BA$205^A83,IF(A83='Données projet'!$A$88,'Données projet'!$B$88,BD82+BC83-BL82)))</f>
        <v>267.9487179487179</v>
      </c>
      <c r="BE83" s="14">
        <f>BD83*VLOOKUP('Données projet'!$B$11,Paramètres!$A$1:$I$89,3,0)*VLOOKUP('Données projet'!$B$11,Paramètres!$A$1:$I$89,5,0)</f>
        <v>280.05999999999995</v>
      </c>
      <c r="BF83" s="14">
        <f t="shared" si="91"/>
        <v>66.979688447782166</v>
      </c>
      <c r="BG83" s="22">
        <f t="shared" si="61"/>
        <v>604.42745737988719</v>
      </c>
      <c r="BH83" s="60">
        <f t="shared" si="62"/>
        <v>897.76079071322056</v>
      </c>
      <c r="BI83" s="60">
        <f ca="1">AVERAGE(OFFSET($BH$3,0,0,'Données projet'!$E$11+1,1))-AVERAGE(OFFSET($H$3,0,0,'Données projet'!$E$11+1,1))</f>
        <v>373.7520752235389</v>
      </c>
      <c r="BJ83" s="60">
        <f t="shared" si="92"/>
        <v>205.19966474305761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8.9743589743589727</v>
      </c>
      <c r="BY83" s="13">
        <f>IF('Données projet'!$A$114&gt;35,BY82+BX83-CG82,IF(A83&lt;'Données projet'!$A$114,$BV$205^A83,IF(A83='Données projet'!$A$114,'Données projet'!$B$114,BY82+BX83-CG82)))</f>
        <v>320.25641025640994</v>
      </c>
      <c r="BZ83" s="14">
        <f>BY83*VLOOKUP('Données projet'!$B$12,Paramètres!$A$1:$I$89,3,0)*VLOOKUP('Données projet'!$B$12,Paramètres!$A$1:$I$89,5,0)</f>
        <v>149.87999999999985</v>
      </c>
      <c r="CA83" s="14">
        <f t="shared" si="93"/>
        <v>38.551313920160567</v>
      </c>
      <c r="CB83" s="22">
        <f t="shared" si="64"/>
        <v>328.18453841094606</v>
      </c>
      <c r="CC83" s="60">
        <f t="shared" si="65"/>
        <v>621.51787174427932</v>
      </c>
      <c r="CD83" s="60">
        <f ca="1">AVERAGE(OFFSET($CC$3,0,0,'Données projet'!$E$12+1,1))-AVERAGE(OFFSET($H$3,0,0,'Données projet'!$E$12+1,1))</f>
        <v>141.31558705818316</v>
      </c>
      <c r="CE83" s="60">
        <f t="shared" si="94"/>
        <v>67.142010893211364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281.99999999999989</v>
      </c>
      <c r="CU83" s="18">
        <f>CT83*VLOOKUP('Données projet'!$B$13,Paramètres!$A$1:$I$89,3,0)*VLOOKUP('Données projet'!$B$13,Paramètres!$A$1:$I$89,5,0)</f>
        <v>246.35519999999994</v>
      </c>
      <c r="CV83" s="14">
        <f t="shared" si="95"/>
        <v>59.804795924194437</v>
      </c>
      <c r="CW83" s="22">
        <f t="shared" si="67"/>
        <v>533.22865956797193</v>
      </c>
      <c r="CX83" s="60">
        <f t="shared" si="68"/>
        <v>826.5619929013053</v>
      </c>
      <c r="CY83" s="60">
        <f ca="1">AVERAGE(OFFSET($CX$3,0,0,'Données projet'!$E$13+1,1))-AVERAGE(OFFSET($H$3,0,0,'Données projet'!$E$13+1,1))</f>
        <v>281.8501448773884</v>
      </c>
      <c r="CZ83" s="60">
        <f t="shared" si="96"/>
        <v>161.7340631691518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42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281.99999999999989</v>
      </c>
      <c r="DP83" s="18">
        <f>DO83*VLOOKUP('Données projet'!$B$14,Paramètres!$A$1:$I$89,3,0)*VLOOKUP('Données projet'!$B$14,Paramètres!$A$1:$I$89,5,0)</f>
        <v>255.15359999999987</v>
      </c>
      <c r="DQ83" s="14">
        <f t="shared" si="97"/>
        <v>61.688192762754376</v>
      </c>
      <c r="DR83" s="22">
        <f t="shared" si="70"/>
        <v>551.83278906179692</v>
      </c>
      <c r="DS83" s="60">
        <f t="shared" si="71"/>
        <v>845.16612239513029</v>
      </c>
      <c r="DT83" s="60">
        <f ca="1">AVERAGE(OFFSET($DS$3,0,0,'Données projet'!$E$14+1,1))-AVERAGE(OFFSET($H$3,0,0,'Données projet'!$E$14+1,1))</f>
        <v>295.19398489974265</v>
      </c>
      <c r="DU83" s="60">
        <f t="shared" si="98"/>
        <v>168.80998104712489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42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4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249.03839999999994</v>
      </c>
      <c r="P84" s="14">
        <f t="shared" si="87"/>
        <v>60.379982523339947</v>
      </c>
      <c r="Q84" s="22">
        <f t="shared" si="54"/>
        <v>538.90368289481694</v>
      </c>
      <c r="R84" s="60">
        <f t="shared" si="55"/>
        <v>832.2370162281502</v>
      </c>
      <c r="S84" s="60">
        <f ca="1">AVERAGE(OFFSET($R$3,0,0,'Données projet'!$E$9+1,1))-AVERAGE(OFFSET($H$3,0,0,'Données projet'!$E$9+1,1))</f>
        <v>341.82426415364569</v>
      </c>
      <c r="T84" s="60">
        <f t="shared" si="88"/>
        <v>193.53376539568887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-2.8421709430404007E-13</v>
      </c>
      <c r="AJ84" s="14">
        <f>AI84*VLOOKUP('Données projet'!$B$10,Paramètres!$A$1:$I$89,3,0)*VLOOKUP('Données projet'!$B$10,Paramètres!$A$1:$I$89,5,0)</f>
        <v>-1.69961822393816E-13</v>
      </c>
      <c r="AK84" s="14" t="e">
        <f t="shared" si="89"/>
        <v>#NUM!</v>
      </c>
      <c r="AL84" s="22" t="e">
        <f t="shared" si="58"/>
        <v>#NUM!</v>
      </c>
      <c r="AM84" s="60" t="e">
        <f t="shared" si="59"/>
        <v>#NUM!</v>
      </c>
      <c r="AN84" s="60">
        <f ca="1">AVERAGE(OFFSET($AM$3,0,0,'Données projet'!$E$10+1,1))-AVERAGE(OFFSET($H$3,0,0,'Données projet'!$E$10+1,1))</f>
        <v>189.8516574130017</v>
      </c>
      <c r="AO84" s="60">
        <f t="shared" si="90"/>
        <v>191.91100863555891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5.1760010456132157</v>
      </c>
      <c r="AV84" s="23">
        <f>EXP(-LN(2)/25)*AV83+(1-EXP(-LN(2)/25))/(LN(2)/25)*Calculateur!AQ84*Calculateur!AS84*VLOOKUP('Données projet'!$B$10,Paramètres!$A$1:$I$89,3,0)*0.475*44/12</f>
        <v>4.3905488261826902</v>
      </c>
      <c r="AW84" s="23">
        <f>EXP(-LN(2)/2)*AW83+(1-EXP(-LN(2)/2))/(LN(2)/2)*AQ84*AT84*VLOOKUP('Données projet'!$B$10,Paramètres!$A$1:$I$89,3,0)*0.475*44/12</f>
        <v>1.273650183193046E-7</v>
      </c>
      <c r="AX84" s="23">
        <f t="shared" si="60"/>
        <v>9.5665499991609249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3.9743589743589722</v>
      </c>
      <c r="BD84" s="13">
        <f>IF('Données projet'!$A$88&gt;35,BD83+BC84-BL83,IF(A84&lt;'Données projet'!$A$88,$BA$205^A84,IF(A84='Données projet'!$A$88,'Données projet'!$B$88,BD83+BC84-BL83)))</f>
        <v>271.92307692307685</v>
      </c>
      <c r="BE84" s="14">
        <f>BD84*VLOOKUP('Données projet'!$B$11,Paramètres!$A$1:$I$89,3,0)*VLOOKUP('Données projet'!$B$11,Paramètres!$A$1:$I$89,5,0)</f>
        <v>284.21399999999994</v>
      </c>
      <c r="BF84" s="14">
        <f t="shared" si="91"/>
        <v>67.856772521148613</v>
      </c>
      <c r="BG84" s="22">
        <f t="shared" si="61"/>
        <v>613.189928807667</v>
      </c>
      <c r="BH84" s="60">
        <f t="shared" si="62"/>
        <v>906.52326214100026</v>
      </c>
      <c r="BI84" s="60">
        <f ca="1">AVERAGE(OFFSET($BH$3,0,0,'Données projet'!$E$11+1,1))-AVERAGE(OFFSET($H$3,0,0,'Données projet'!$E$11+1,1))</f>
        <v>373.7520752235389</v>
      </c>
      <c r="BJ84" s="60">
        <f t="shared" si="92"/>
        <v>205.19966474305761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8.9743589743589727</v>
      </c>
      <c r="BY84" s="13">
        <f>IF('Données projet'!$A$114&gt;35,BY83+BX84-CG83,IF(A84&lt;'Données projet'!$A$114,$BV$205^A84,IF(A84='Données projet'!$A$114,'Données projet'!$B$114,BY83+BX84-CG83)))</f>
        <v>329.23076923076889</v>
      </c>
      <c r="BZ84" s="14">
        <f>BY84*VLOOKUP('Données projet'!$B$12,Paramètres!$A$1:$I$89,3,0)*VLOOKUP('Données projet'!$B$12,Paramètres!$A$1:$I$89,5,0)</f>
        <v>154.07999999999984</v>
      </c>
      <c r="CA84" s="14">
        <f t="shared" si="93"/>
        <v>39.504327121889887</v>
      </c>
      <c r="CB84" s="22">
        <f t="shared" si="64"/>
        <v>337.15936973729123</v>
      </c>
      <c r="CC84" s="60">
        <f t="shared" si="65"/>
        <v>630.49270307062454</v>
      </c>
      <c r="CD84" s="60">
        <f ca="1">AVERAGE(OFFSET($CC$3,0,0,'Données projet'!$E$12+1,1))-AVERAGE(OFFSET($H$3,0,0,'Données projet'!$E$12+1,1))</f>
        <v>141.31558705818316</v>
      </c>
      <c r="CE84" s="60">
        <f t="shared" si="94"/>
        <v>67.142010893211364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245.59999999999991</v>
      </c>
      <c r="CU84" s="18">
        <f>CT84*VLOOKUP('Données projet'!$B$13,Paramètres!$A$1:$I$89,3,0)*VLOOKUP('Données projet'!$B$13,Paramètres!$A$1:$I$89,5,0)</f>
        <v>214.55615999999998</v>
      </c>
      <c r="CV84" s="14">
        <f t="shared" si="95"/>
        <v>52.929974128776635</v>
      </c>
      <c r="CW84" s="22">
        <f t="shared" si="67"/>
        <v>465.87168360761922</v>
      </c>
      <c r="CX84" s="60">
        <f t="shared" si="68"/>
        <v>759.20501694095253</v>
      </c>
      <c r="CY84" s="60">
        <f ca="1">AVERAGE(OFFSET($CX$3,0,0,'Données projet'!$E$13+1,1))-AVERAGE(OFFSET($H$3,0,0,'Données projet'!$E$13+1,1))</f>
        <v>281.8501448773884</v>
      </c>
      <c r="CZ84" s="60">
        <f t="shared" si="96"/>
        <v>161.7340631691518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245.59999999999991</v>
      </c>
      <c r="DP84" s="18">
        <f>DO84*VLOOKUP('Données projet'!$B$14,Paramètres!$A$1:$I$89,3,0)*VLOOKUP('Données projet'!$B$14,Paramètres!$A$1:$I$89,5,0)</f>
        <v>222.21887999999993</v>
      </c>
      <c r="DQ84" s="14">
        <f t="shared" si="97"/>
        <v>54.596866296848852</v>
      </c>
      <c r="DR84" s="22">
        <f t="shared" si="70"/>
        <v>482.12075813367829</v>
      </c>
      <c r="DS84" s="60">
        <f t="shared" si="71"/>
        <v>775.45409146701161</v>
      </c>
      <c r="DT84" s="60">
        <f ca="1">AVERAGE(OFFSET($DS$3,0,0,'Données projet'!$E$14+1,1))-AVERAGE(OFFSET($H$3,0,0,'Données projet'!$E$14+1,1))</f>
        <v>295.19398489974265</v>
      </c>
      <c r="DU84" s="60">
        <f t="shared" si="98"/>
        <v>168.80998104712489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4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254.71679999999992</v>
      </c>
      <c r="P85" s="14">
        <f t="shared" si="87"/>
        <v>61.594871205031538</v>
      </c>
      <c r="Q85" s="22">
        <f t="shared" si="54"/>
        <v>550.9094940154298</v>
      </c>
      <c r="R85" s="60">
        <f t="shared" si="55"/>
        <v>844.24282734876306</v>
      </c>
      <c r="S85" s="60">
        <f ca="1">AVERAGE(OFFSET($R$3,0,0,'Données projet'!$E$9+1,1))-AVERAGE(OFFSET($H$3,0,0,'Données projet'!$E$9+1,1))</f>
        <v>341.82426415364569</v>
      </c>
      <c r="T85" s="60">
        <f t="shared" si="88"/>
        <v>193.53376539568887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-2.8421709430404007E-13</v>
      </c>
      <c r="AJ85" s="14">
        <f>AI85*VLOOKUP('Données projet'!$B$10,Paramètres!$A$1:$I$89,3,0)*VLOOKUP('Données projet'!$B$10,Paramètres!$A$1:$I$89,5,0)</f>
        <v>-1.69961822393816E-13</v>
      </c>
      <c r="AK85" s="14" t="e">
        <f t="shared" si="89"/>
        <v>#NUM!</v>
      </c>
      <c r="AL85" s="22" t="e">
        <f t="shared" si="58"/>
        <v>#NUM!</v>
      </c>
      <c r="AM85" s="60" t="e">
        <f t="shared" si="59"/>
        <v>#NUM!</v>
      </c>
      <c r="AN85" s="60">
        <f ca="1">AVERAGE(OFFSET($AM$3,0,0,'Données projet'!$E$10+1,1))-AVERAGE(OFFSET($H$3,0,0,'Données projet'!$E$10+1,1))</f>
        <v>189.8516574130017</v>
      </c>
      <c r="AO85" s="60">
        <f t="shared" si="90"/>
        <v>191.91100863555891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5.0745028221576458</v>
      </c>
      <c r="AV85" s="23">
        <f>EXP(-LN(2)/25)*AV84+(1-EXP(-LN(2)/25))/(LN(2)/25)*Calculateur!AQ85*Calculateur!AS85*VLOOKUP('Données projet'!$B$10,Paramètres!$A$1:$I$89,3,0)*0.475*44/12</f>
        <v>4.2704890376417968</v>
      </c>
      <c r="AW85" s="23">
        <f>EXP(-LN(2)/2)*AW84+(1-EXP(-LN(2)/2))/(LN(2)/2)*AQ85*AT85*VLOOKUP('Données projet'!$B$10,Paramètres!$A$1:$I$89,3,0)*0.475*44/12</f>
        <v>9.0060668139529132E-8</v>
      </c>
      <c r="AX85" s="23">
        <f t="shared" si="60"/>
        <v>9.3449919498601108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3.9743589743589722</v>
      </c>
      <c r="BD85" s="13">
        <f>IF('Données projet'!$A$88&gt;35,BD84+BC85-BL84,IF(A85&lt;'Données projet'!$A$88,$BA$205^A85,IF(A85='Données projet'!$A$88,'Données projet'!$B$88,BD84+BC85-BL84)))</f>
        <v>275.8974358974358</v>
      </c>
      <c r="BE85" s="14">
        <f>BD85*VLOOKUP('Données projet'!$B$11,Paramètres!$A$1:$I$89,3,0)*VLOOKUP('Données projet'!$B$11,Paramètres!$A$1:$I$89,5,0)</f>
        <v>288.36799999999994</v>
      </c>
      <c r="BF85" s="14">
        <f t="shared" si="91"/>
        <v>68.732365647514541</v>
      </c>
      <c r="BG85" s="22">
        <f t="shared" si="61"/>
        <v>621.94980350275443</v>
      </c>
      <c r="BH85" s="60">
        <f t="shared" si="62"/>
        <v>915.28313683608781</v>
      </c>
      <c r="BI85" s="60">
        <f ca="1">AVERAGE(OFFSET($BH$3,0,0,'Données projet'!$E$11+1,1))-AVERAGE(OFFSET($H$3,0,0,'Données projet'!$E$11+1,1))</f>
        <v>373.7520752235389</v>
      </c>
      <c r="BJ85" s="60">
        <f t="shared" si="92"/>
        <v>205.19966474305761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8.9743589743589727</v>
      </c>
      <c r="BY85" s="13">
        <f>IF('Données projet'!$A$114&gt;35,BY84+BX85-CG84,IF(A85&lt;'Données projet'!$A$114,$BV$205^A85,IF(A85='Données projet'!$A$114,'Données projet'!$B$114,BY84+BX85-CG84)))</f>
        <v>338.20512820512783</v>
      </c>
      <c r="BZ85" s="14">
        <f>BY85*VLOOKUP('Données projet'!$B$12,Paramètres!$A$1:$I$89,3,0)*VLOOKUP('Données projet'!$B$12,Paramètres!$A$1:$I$89,5,0)</f>
        <v>158.27999999999983</v>
      </c>
      <c r="CA85" s="14">
        <f t="shared" si="93"/>
        <v>40.454320907632543</v>
      </c>
      <c r="CB85" s="22">
        <f t="shared" si="64"/>
        <v>346.12894224745969</v>
      </c>
      <c r="CC85" s="60">
        <f t="shared" si="65"/>
        <v>639.46227558079295</v>
      </c>
      <c r="CD85" s="60">
        <f ca="1">AVERAGE(OFFSET($CC$3,0,0,'Données projet'!$E$12+1,1))-AVERAGE(OFFSET($H$3,0,0,'Données projet'!$E$12+1,1))</f>
        <v>141.31558705818316</v>
      </c>
      <c r="CE85" s="60">
        <f t="shared" si="94"/>
        <v>67.142010893211364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251.1999999999999</v>
      </c>
      <c r="CU85" s="18">
        <f>CT85*VLOOKUP('Données projet'!$B$13,Paramètres!$A$1:$I$89,3,0)*VLOOKUP('Données projet'!$B$13,Paramètres!$A$1:$I$89,5,0)</f>
        <v>219.44831999999997</v>
      </c>
      <c r="CV85" s="14">
        <f t="shared" si="95"/>
        <v>53.994963282531728</v>
      </c>
      <c r="CW85" s="22">
        <f t="shared" si="67"/>
        <v>476.24705171707609</v>
      </c>
      <c r="CX85" s="60">
        <f t="shared" si="68"/>
        <v>769.5803850504094</v>
      </c>
      <c r="CY85" s="60">
        <f ca="1">AVERAGE(OFFSET($CX$3,0,0,'Données projet'!$E$13+1,1))-AVERAGE(OFFSET($H$3,0,0,'Données projet'!$E$13+1,1))</f>
        <v>281.8501448773884</v>
      </c>
      <c r="CZ85" s="60">
        <f t="shared" si="96"/>
        <v>161.7340631691518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251.1999999999999</v>
      </c>
      <c r="DP85" s="18">
        <f>DO85*VLOOKUP('Données projet'!$B$14,Paramètres!$A$1:$I$89,3,0)*VLOOKUP('Données projet'!$B$14,Paramètres!$A$1:$I$89,5,0)</f>
        <v>227.28575999999993</v>
      </c>
      <c r="DQ85" s="14">
        <f t="shared" si="97"/>
        <v>55.695394520076327</v>
      </c>
      <c r="DR85" s="22">
        <f t="shared" si="70"/>
        <v>492.85884412246605</v>
      </c>
      <c r="DS85" s="60">
        <f t="shared" si="71"/>
        <v>786.19217745579931</v>
      </c>
      <c r="DT85" s="60">
        <f ca="1">AVERAGE(OFFSET($DS$3,0,0,'Données projet'!$E$14+1,1))-AVERAGE(OFFSET($H$3,0,0,'Données projet'!$E$14+1,1))</f>
        <v>295.19398489974265</v>
      </c>
      <c r="DU85" s="60">
        <f t="shared" si="98"/>
        <v>168.80998104712489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4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260.39519999999987</v>
      </c>
      <c r="P86" s="14">
        <f t="shared" si="87"/>
        <v>62.806611177714331</v>
      </c>
      <c r="Q86" s="22">
        <f t="shared" si="54"/>
        <v>562.90982113451889</v>
      </c>
      <c r="R86" s="60">
        <f t="shared" si="55"/>
        <v>856.24315446785226</v>
      </c>
      <c r="S86" s="60">
        <f ca="1">AVERAGE(OFFSET($R$3,0,0,'Données projet'!$E$9+1,1))-AVERAGE(OFFSET($H$3,0,0,'Données projet'!$E$9+1,1))</f>
        <v>341.82426415364569</v>
      </c>
      <c r="T86" s="60">
        <f t="shared" si="88"/>
        <v>193.53376539568887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-2.8421709430404007E-13</v>
      </c>
      <c r="AJ86" s="14">
        <f>AI86*VLOOKUP('Données projet'!$B$10,Paramètres!$A$1:$I$89,3,0)*VLOOKUP('Données projet'!$B$10,Paramètres!$A$1:$I$89,5,0)</f>
        <v>-1.69961822393816E-13</v>
      </c>
      <c r="AK86" s="14" t="e">
        <f t="shared" si="89"/>
        <v>#NUM!</v>
      </c>
      <c r="AL86" s="22" t="e">
        <f t="shared" si="58"/>
        <v>#NUM!</v>
      </c>
      <c r="AM86" s="60" t="e">
        <f t="shared" si="59"/>
        <v>#NUM!</v>
      </c>
      <c r="AN86" s="60">
        <f ca="1">AVERAGE(OFFSET($AM$3,0,0,'Données projet'!$E$10+1,1))-AVERAGE(OFFSET($H$3,0,0,'Données projet'!$E$10+1,1))</f>
        <v>189.8516574130017</v>
      </c>
      <c r="AO86" s="60">
        <f t="shared" si="90"/>
        <v>191.91100863555891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4.974994916956236</v>
      </c>
      <c r="AV86" s="23">
        <f>EXP(-LN(2)/25)*AV85+(1-EXP(-LN(2)/25))/(LN(2)/25)*Calculateur!AQ86*Calculateur!AS86*VLOOKUP('Données projet'!$B$10,Paramètres!$A$1:$I$89,3,0)*0.475*44/12</f>
        <v>4.1537122903322237</v>
      </c>
      <c r="AW86" s="23">
        <f>EXP(-LN(2)/2)*AW85+(1-EXP(-LN(2)/2))/(LN(2)/2)*AQ86*AT86*VLOOKUP('Données projet'!$B$10,Paramètres!$A$1:$I$89,3,0)*0.475*44/12</f>
        <v>6.3682509159652298E-8</v>
      </c>
      <c r="AX86" s="23">
        <f t="shared" si="60"/>
        <v>9.1287072709709705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3.9743589743589722</v>
      </c>
      <c r="BD86" s="13">
        <f>IF('Données projet'!$A$88&gt;35,BD85+BC86-BL85,IF(A86&lt;'Données projet'!$A$88,$BA$205^A86,IF(A86='Données projet'!$A$88,'Données projet'!$B$88,BD85+BC86-BL85)))</f>
        <v>279.87179487179475</v>
      </c>
      <c r="BE86" s="14">
        <f>BD86*VLOOKUP('Données projet'!$B$11,Paramètres!$A$1:$I$89,3,0)*VLOOKUP('Données projet'!$B$11,Paramètres!$A$1:$I$89,5,0)</f>
        <v>292.52199999999993</v>
      </c>
      <c r="BF86" s="14">
        <f t="shared" si="91"/>
        <v>69.606491785822158</v>
      </c>
      <c r="BG86" s="22">
        <f t="shared" si="61"/>
        <v>630.7071231936402</v>
      </c>
      <c r="BH86" s="60">
        <f t="shared" si="62"/>
        <v>924.04045652697346</v>
      </c>
      <c r="BI86" s="60">
        <f ca="1">AVERAGE(OFFSET($BH$3,0,0,'Données projet'!$E$11+1,1))-AVERAGE(OFFSET($H$3,0,0,'Données projet'!$E$11+1,1))</f>
        <v>373.7520752235389</v>
      </c>
      <c r="BJ86" s="60">
        <f t="shared" si="92"/>
        <v>205.19966474305761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8.9743589743589727</v>
      </c>
      <c r="BY86" s="13">
        <f>IF('Données projet'!$A$114&gt;35,BY85+BX86-CG85,IF(A86&lt;'Données projet'!$A$114,$BV$205^A86,IF(A86='Données projet'!$A$114,'Données projet'!$B$114,BY85+BX86-CG85)))</f>
        <v>347.17948717948678</v>
      </c>
      <c r="BZ86" s="14">
        <f>BY86*VLOOKUP('Données projet'!$B$12,Paramètres!$A$1:$I$89,3,0)*VLOOKUP('Données projet'!$B$12,Paramètres!$A$1:$I$89,5,0)</f>
        <v>162.47999999999982</v>
      </c>
      <c r="CA86" s="14">
        <f t="shared" si="93"/>
        <v>41.401384607667218</v>
      </c>
      <c r="CB86" s="22">
        <f t="shared" si="64"/>
        <v>355.09341152502003</v>
      </c>
      <c r="CC86" s="60">
        <f t="shared" si="65"/>
        <v>648.42674485835335</v>
      </c>
      <c r="CD86" s="60">
        <f ca="1">AVERAGE(OFFSET($CC$3,0,0,'Données projet'!$E$12+1,1))-AVERAGE(OFFSET($H$3,0,0,'Données projet'!$E$12+1,1))</f>
        <v>141.31558705818316</v>
      </c>
      <c r="CE86" s="60">
        <f t="shared" si="94"/>
        <v>67.142010893211364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256.7999999999999</v>
      </c>
      <c r="CU86" s="18">
        <f>CT86*VLOOKUP('Données projet'!$B$13,Paramètres!$A$1:$I$89,3,0)*VLOOKUP('Données projet'!$B$13,Paramètres!$A$1:$I$89,5,0)</f>
        <v>224.34047999999996</v>
      </c>
      <c r="CV86" s="14">
        <f t="shared" si="95"/>
        <v>55.057192232003672</v>
      </c>
      <c r="CW86" s="22">
        <f t="shared" si="67"/>
        <v>486.61761247073963</v>
      </c>
      <c r="CX86" s="60">
        <f t="shared" si="68"/>
        <v>779.95094580407294</v>
      </c>
      <c r="CY86" s="60">
        <f ca="1">AVERAGE(OFFSET($CX$3,0,0,'Données projet'!$E$13+1,1))-AVERAGE(OFFSET($H$3,0,0,'Données projet'!$E$13+1,1))</f>
        <v>281.8501448773884</v>
      </c>
      <c r="CZ86" s="60">
        <f t="shared" si="96"/>
        <v>161.7340631691518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256.7999999999999</v>
      </c>
      <c r="DP86" s="18">
        <f>DO86*VLOOKUP('Données projet'!$B$14,Paramètres!$A$1:$I$89,3,0)*VLOOKUP('Données projet'!$B$14,Paramètres!$A$1:$I$89,5,0)</f>
        <v>232.35263999999989</v>
      </c>
      <c r="DQ86" s="14">
        <f t="shared" si="97"/>
        <v>56.791075613550255</v>
      </c>
      <c r="DR86" s="22">
        <f t="shared" si="70"/>
        <v>503.59197136026643</v>
      </c>
      <c r="DS86" s="60">
        <f t="shared" si="71"/>
        <v>796.92530469359974</v>
      </c>
      <c r="DT86" s="60">
        <f ca="1">AVERAGE(OFFSET($DS$3,0,0,'Données projet'!$E$14+1,1))-AVERAGE(OFFSET($H$3,0,0,'Données projet'!$E$14+1,1))</f>
        <v>295.19398489974265</v>
      </c>
      <c r="DU86" s="60">
        <f t="shared" si="98"/>
        <v>168.80998104712489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4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266.07359999999994</v>
      </c>
      <c r="P87" s="14">
        <f t="shared" si="87"/>
        <v>64.015279012301136</v>
      </c>
      <c r="Q87" s="22">
        <f t="shared" si="54"/>
        <v>574.90479761309098</v>
      </c>
      <c r="R87" s="60">
        <f t="shared" si="55"/>
        <v>868.23813094642423</v>
      </c>
      <c r="S87" s="60">
        <f ca="1">AVERAGE(OFFSET($R$3,0,0,'Données projet'!$E$9+1,1))-AVERAGE(OFFSET($H$3,0,0,'Données projet'!$E$9+1,1))</f>
        <v>341.82426415364569</v>
      </c>
      <c r="T87" s="60">
        <f t="shared" si="88"/>
        <v>193.53376539568887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-2.8421709430404007E-13</v>
      </c>
      <c r="AJ87" s="14">
        <f>AI87*VLOOKUP('Données projet'!$B$10,Paramètres!$A$1:$I$89,3,0)*VLOOKUP('Données projet'!$B$10,Paramètres!$A$1:$I$89,5,0)</f>
        <v>-1.69961822393816E-13</v>
      </c>
      <c r="AK87" s="14" t="e">
        <f t="shared" si="89"/>
        <v>#NUM!</v>
      </c>
      <c r="AL87" s="22" t="e">
        <f t="shared" si="58"/>
        <v>#NUM!</v>
      </c>
      <c r="AM87" s="60" t="e">
        <f t="shared" si="59"/>
        <v>#NUM!</v>
      </c>
      <c r="AN87" s="60">
        <f ca="1">AVERAGE(OFFSET($AM$3,0,0,'Données projet'!$E$10+1,1))-AVERAGE(OFFSET($H$3,0,0,'Données projet'!$E$10+1,1))</f>
        <v>189.8516574130017</v>
      </c>
      <c r="AO87" s="60">
        <f t="shared" si="90"/>
        <v>191.91100863555891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4.8774383010819964</v>
      </c>
      <c r="AV87" s="23">
        <f>EXP(-LN(2)/25)*AV86+(1-EXP(-LN(2)/25))/(LN(2)/25)*Calculateur!AQ87*Calculateur!AS87*VLOOKUP('Données projet'!$B$10,Paramètres!$A$1:$I$89,3,0)*0.475*44/12</f>
        <v>4.040128809318853</v>
      </c>
      <c r="AW87" s="23">
        <f>EXP(-LN(2)/2)*AW86+(1-EXP(-LN(2)/2))/(LN(2)/2)*AQ87*AT87*VLOOKUP('Données projet'!$B$10,Paramètres!$A$1:$I$89,3,0)*0.475*44/12</f>
        <v>4.5030334069764566E-8</v>
      </c>
      <c r="AX87" s="23">
        <f t="shared" si="60"/>
        <v>8.9175671554311826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3.9743589743589722</v>
      </c>
      <c r="BD87" s="13">
        <f>IF('Données projet'!$A$88&gt;35,BD86+BC87-BL86,IF(A87&lt;'Données projet'!$A$88,$BA$205^A87,IF(A87='Données projet'!$A$88,'Données projet'!$B$88,BD86+BC87-BL86)))</f>
        <v>283.8461538461537</v>
      </c>
      <c r="BE87" s="14">
        <f>BD87*VLOOKUP('Données projet'!$B$11,Paramètres!$A$1:$I$89,3,0)*VLOOKUP('Données projet'!$B$11,Paramètres!$A$1:$I$89,5,0)</f>
        <v>296.67599999999987</v>
      </c>
      <c r="BF87" s="14">
        <f t="shared" si="91"/>
        <v>70.479174175468856</v>
      </c>
      <c r="BG87" s="22">
        <f t="shared" si="61"/>
        <v>639.46192835560794</v>
      </c>
      <c r="BH87" s="60">
        <f t="shared" si="62"/>
        <v>932.79526168894131</v>
      </c>
      <c r="BI87" s="60">
        <f ca="1">AVERAGE(OFFSET($BH$3,0,0,'Données projet'!$E$11+1,1))-AVERAGE(OFFSET($H$3,0,0,'Données projet'!$E$11+1,1))</f>
        <v>373.7520752235389</v>
      </c>
      <c r="BJ87" s="60">
        <f t="shared" si="92"/>
        <v>205.19966474305761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8.9743589743589727</v>
      </c>
      <c r="BY87" s="13">
        <f>IF('Données projet'!$A$114&gt;35,BY86+BX87-CG86,IF(A87&lt;'Données projet'!$A$114,$BV$205^A87,IF(A87='Données projet'!$A$114,'Données projet'!$B$114,BY86+BX87-CG86)))</f>
        <v>356.15384615384573</v>
      </c>
      <c r="BZ87" s="14">
        <f>BY87*VLOOKUP('Données projet'!$B$12,Paramètres!$A$1:$I$89,3,0)*VLOOKUP('Données projet'!$B$12,Paramètres!$A$1:$I$89,5,0)</f>
        <v>166.67999999999981</v>
      </c>
      <c r="CA87" s="14">
        <f t="shared" si="93"/>
        <v>42.345602670937915</v>
      </c>
      <c r="CB87" s="22">
        <f t="shared" si="64"/>
        <v>364.05292465188319</v>
      </c>
      <c r="CC87" s="60">
        <f t="shared" si="65"/>
        <v>657.3862579852165</v>
      </c>
      <c r="CD87" s="60">
        <f ca="1">AVERAGE(OFFSET($CC$3,0,0,'Données projet'!$E$12+1,1))-AVERAGE(OFFSET($H$3,0,0,'Données projet'!$E$12+1,1))</f>
        <v>141.31558705818316</v>
      </c>
      <c r="CE87" s="60">
        <f t="shared" si="94"/>
        <v>67.142010893211364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262.39999999999992</v>
      </c>
      <c r="CU87" s="18">
        <f>CT87*VLOOKUP('Données projet'!$B$13,Paramètres!$A$1:$I$89,3,0)*VLOOKUP('Données projet'!$B$13,Paramètres!$A$1:$I$89,5,0)</f>
        <v>229.23263999999995</v>
      </c>
      <c r="CV87" s="14">
        <f t="shared" si="95"/>
        <v>56.116728100372498</v>
      </c>
      <c r="CW87" s="22">
        <f t="shared" si="67"/>
        <v>496.98348277481529</v>
      </c>
      <c r="CX87" s="60">
        <f t="shared" si="68"/>
        <v>790.3168161081486</v>
      </c>
      <c r="CY87" s="60">
        <f ca="1">AVERAGE(OFFSET($CX$3,0,0,'Données projet'!$E$13+1,1))-AVERAGE(OFFSET($H$3,0,0,'Données projet'!$E$13+1,1))</f>
        <v>281.8501448773884</v>
      </c>
      <c r="CZ87" s="60">
        <f t="shared" si="96"/>
        <v>161.7340631691518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262.39999999999992</v>
      </c>
      <c r="DP87" s="18">
        <f>DO87*VLOOKUP('Données projet'!$B$14,Paramètres!$A$1:$I$89,3,0)*VLOOKUP('Données projet'!$B$14,Paramètres!$A$1:$I$89,5,0)</f>
        <v>237.41951999999992</v>
      </c>
      <c r="DQ87" s="14">
        <f t="shared" si="97"/>
        <v>57.883978814320919</v>
      </c>
      <c r="DR87" s="22">
        <f t="shared" si="70"/>
        <v>514.32026043494204</v>
      </c>
      <c r="DS87" s="60">
        <f t="shared" si="71"/>
        <v>807.65359376827541</v>
      </c>
      <c r="DT87" s="60">
        <f ca="1">AVERAGE(OFFSET($DS$3,0,0,'Données projet'!$E$14+1,1))-AVERAGE(OFFSET($H$3,0,0,'Données projet'!$E$14+1,1))</f>
        <v>295.19398489974265</v>
      </c>
      <c r="DU87" s="60">
        <f t="shared" si="98"/>
        <v>168.80998104712489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4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271.75199999999995</v>
      </c>
      <c r="P88" s="14">
        <f t="shared" si="87"/>
        <v>65.220947824724931</v>
      </c>
      <c r="Q88" s="22">
        <f t="shared" si="54"/>
        <v>586.89455079472907</v>
      </c>
      <c r="R88" s="60">
        <f t="shared" si="55"/>
        <v>880.22788412806244</v>
      </c>
      <c r="S88" s="60">
        <f ca="1">AVERAGE(OFFSET($R$3,0,0,'Données projet'!$E$9+1,1))-AVERAGE(OFFSET($H$3,0,0,'Données projet'!$E$9+1,1))</f>
        <v>341.82426415364569</v>
      </c>
      <c r="T88" s="60">
        <f t="shared" si="88"/>
        <v>193.53376539568887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-2.8421709430404007E-13</v>
      </c>
      <c r="AJ88" s="14">
        <f>AI88*VLOOKUP('Données projet'!$B$10,Paramètres!$A$1:$I$89,3,0)*VLOOKUP('Données projet'!$B$10,Paramètres!$A$1:$I$89,5,0)</f>
        <v>-1.69961822393816E-13</v>
      </c>
      <c r="AK88" s="14" t="e">
        <f t="shared" si="89"/>
        <v>#NUM!</v>
      </c>
      <c r="AL88" s="22" t="e">
        <f t="shared" si="58"/>
        <v>#NUM!</v>
      </c>
      <c r="AM88" s="60" t="e">
        <f t="shared" si="59"/>
        <v>#NUM!</v>
      </c>
      <c r="AN88" s="60">
        <f ca="1">AVERAGE(OFFSET($AM$3,0,0,'Données projet'!$E$10+1,1))-AVERAGE(OFFSET($H$3,0,0,'Données projet'!$E$10+1,1))</f>
        <v>189.8516574130017</v>
      </c>
      <c r="AO88" s="60">
        <f t="shared" si="90"/>
        <v>191.91100863555891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4.7817947109413907</v>
      </c>
      <c r="AV88" s="23">
        <f>EXP(-LN(2)/25)*AV87+(1-EXP(-LN(2)/25))/(LN(2)/25)*Calculateur!AQ88*Calculateur!AS88*VLOOKUP('Données projet'!$B$10,Paramètres!$A$1:$I$89,3,0)*0.475*44/12</f>
        <v>3.9296512745668886</v>
      </c>
      <c r="AW88" s="23">
        <f>EXP(-LN(2)/2)*AW87+(1-EXP(-LN(2)/2))/(LN(2)/2)*AQ88*AT88*VLOOKUP('Données projet'!$B$10,Paramètres!$A$1:$I$89,3,0)*0.475*44/12</f>
        <v>3.1841254579826149E-8</v>
      </c>
      <c r="AX88" s="23">
        <f t="shared" si="60"/>
        <v>8.7114460173495338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287.82051282051282</v>
      </c>
      <c r="BB88" s="13">
        <f>VLOOKUP(A88,'Données projet'!$A$87:$I$107,9,0)</f>
        <v>3.9743589743589722</v>
      </c>
      <c r="BC88" s="13">
        <f t="array" ref="BC88">INDEX(BB:BB,MIN(IF(ISNUMBER(BB88:BB284),ROW(BB88:BB284),"")))</f>
        <v>3.9743589743589722</v>
      </c>
      <c r="BD88" s="13">
        <f>IF('Données projet'!$A$88&gt;35,BD87+BC88-BL87,IF(A88&lt;'Données projet'!$A$88,$BA$205^A88,IF(A88='Données projet'!$A$88,'Données projet'!$B$88,BD87+BC88-BL87)))</f>
        <v>287.82051282051265</v>
      </c>
      <c r="BE88" s="14">
        <f>BD88*VLOOKUP('Données projet'!$B$11,Paramètres!$A$1:$I$89,3,0)*VLOOKUP('Données projet'!$B$11,Paramètres!$A$1:$I$89,5,0)</f>
        <v>300.82999999999981</v>
      </c>
      <c r="BF88" s="14">
        <f t="shared" si="91"/>
        <v>71.350435367682934</v>
      </c>
      <c r="BG88" s="22">
        <f t="shared" si="61"/>
        <v>648.21425826538086</v>
      </c>
      <c r="BH88" s="60">
        <f t="shared" si="62"/>
        <v>941.54759159871423</v>
      </c>
      <c r="BI88" s="60">
        <f ca="1">AVERAGE(OFFSET($BH$3,0,0,'Données projet'!$E$11+1,1))-AVERAGE(OFFSET($H$3,0,0,'Données projet'!$E$11+1,1))</f>
        <v>373.7520752235389</v>
      </c>
      <c r="BJ88" s="60">
        <f t="shared" si="92"/>
        <v>205.19966474305761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21.794871794871796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8.9743589743589727</v>
      </c>
      <c r="BY88" s="13">
        <f>IF('Données projet'!$A$114&gt;35,BY87+BX88-CG87,IF(A88&lt;'Données projet'!$A$114,$BV$205^A88,IF(A88='Données projet'!$A$114,'Données projet'!$B$114,BY87+BX88-CG87)))</f>
        <v>365.12820512820468</v>
      </c>
      <c r="BZ88" s="14">
        <f>BY88*VLOOKUP('Données projet'!$B$12,Paramètres!$A$1:$I$89,3,0)*VLOOKUP('Données projet'!$B$12,Paramètres!$A$1:$I$89,5,0)</f>
        <v>170.8799999999998</v>
      </c>
      <c r="CA88" s="14">
        <f t="shared" si="93"/>
        <v>43.287055047972629</v>
      </c>
      <c r="CB88" s="22">
        <f t="shared" si="64"/>
        <v>373.00762087521866</v>
      </c>
      <c r="CC88" s="60">
        <f t="shared" si="65"/>
        <v>666.34095420855192</v>
      </c>
      <c r="CD88" s="60">
        <f ca="1">AVERAGE(OFFSET($CC$3,0,0,'Données projet'!$E$12+1,1))-AVERAGE(OFFSET($H$3,0,0,'Données projet'!$E$12+1,1))</f>
        <v>141.31558705818316</v>
      </c>
      <c r="CE88" s="60">
        <f t="shared" si="94"/>
        <v>67.142010893211364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267.99999999999994</v>
      </c>
      <c r="CU88" s="18">
        <f>CT88*VLOOKUP('Données projet'!$B$13,Paramètres!$A$1:$I$89,3,0)*VLOOKUP('Données projet'!$B$13,Paramètres!$A$1:$I$89,5,0)</f>
        <v>234.12479999999999</v>
      </c>
      <c r="CV88" s="14">
        <f t="shared" si="95"/>
        <v>57.173634982132555</v>
      </c>
      <c r="CW88" s="22">
        <f t="shared" si="67"/>
        <v>507.34477426054747</v>
      </c>
      <c r="CX88" s="60">
        <f t="shared" si="68"/>
        <v>800.67810759388078</v>
      </c>
      <c r="CY88" s="60">
        <f ca="1">AVERAGE(OFFSET($CX$3,0,0,'Données projet'!$E$13+1,1))-AVERAGE(OFFSET($H$3,0,0,'Données projet'!$E$13+1,1))</f>
        <v>281.8501448773884</v>
      </c>
      <c r="CZ88" s="60">
        <f t="shared" si="96"/>
        <v>161.7340631691518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267.99999999999994</v>
      </c>
      <c r="DP88" s="18">
        <f>DO88*VLOOKUP('Données projet'!$B$14,Paramètres!$A$1:$I$89,3,0)*VLOOKUP('Données projet'!$B$14,Paramètres!$A$1:$I$89,5,0)</f>
        <v>242.48639999999995</v>
      </c>
      <c r="DQ88" s="14">
        <f t="shared" si="97"/>
        <v>58.974170235372419</v>
      </c>
      <c r="DR88" s="22">
        <f t="shared" si="70"/>
        <v>525.04382649327351</v>
      </c>
      <c r="DS88" s="60">
        <f t="shared" si="71"/>
        <v>818.37715982660688</v>
      </c>
      <c r="DT88" s="60">
        <f ca="1">AVERAGE(OFFSET($DS$3,0,0,'Données projet'!$E$14+1,1))-AVERAGE(OFFSET($H$3,0,0,'Données projet'!$E$14+1,1))</f>
        <v>295.19398489974265</v>
      </c>
      <c r="DU88" s="60">
        <f t="shared" si="98"/>
        <v>168.80998104712489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4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277.43039999999996</v>
      </c>
      <c r="P89" s="14">
        <f t="shared" si="87"/>
        <v>66.423687500715673</v>
      </c>
      <c r="Q89" s="22">
        <f t="shared" si="54"/>
        <v>598.87920239707967</v>
      </c>
      <c r="R89" s="60">
        <f t="shared" si="55"/>
        <v>892.21253573041304</v>
      </c>
      <c r="S89" s="60">
        <f ca="1">AVERAGE(OFFSET($R$3,0,0,'Données projet'!$E$9+1,1))-AVERAGE(OFFSET($H$3,0,0,'Données projet'!$E$9+1,1))</f>
        <v>341.82426415364569</v>
      </c>
      <c r="T89" s="60">
        <f t="shared" si="88"/>
        <v>193.53376539568887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-2.8421709430404007E-13</v>
      </c>
      <c r="AJ89" s="14">
        <f>AI89*VLOOKUP('Données projet'!$B$10,Paramètres!$A$1:$I$89,3,0)*VLOOKUP('Données projet'!$B$10,Paramètres!$A$1:$I$89,5,0)</f>
        <v>-1.69961822393816E-13</v>
      </c>
      <c r="AK89" s="14" t="e">
        <f t="shared" si="89"/>
        <v>#NUM!</v>
      </c>
      <c r="AL89" s="22" t="e">
        <f t="shared" si="58"/>
        <v>#NUM!</v>
      </c>
      <c r="AM89" s="60" t="e">
        <f t="shared" si="59"/>
        <v>#NUM!</v>
      </c>
      <c r="AN89" s="60">
        <f ca="1">AVERAGE(OFFSET($AM$3,0,0,'Données projet'!$E$10+1,1))-AVERAGE(OFFSET($H$3,0,0,'Données projet'!$E$10+1,1))</f>
        <v>189.8516574130017</v>
      </c>
      <c r="AO89" s="60">
        <f t="shared" si="90"/>
        <v>191.91100863555891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4.6880266332666132</v>
      </c>
      <c r="AV89" s="23">
        <f>EXP(-LN(2)/25)*AV88+(1-EXP(-LN(2)/25))/(LN(2)/25)*Calculateur!AQ89*Calculateur!AS89*VLOOKUP('Données projet'!$B$10,Paramètres!$A$1:$I$89,3,0)*0.475*44/12</f>
        <v>3.8221947538124779</v>
      </c>
      <c r="AW89" s="23">
        <f>EXP(-LN(2)/2)*AW88+(1-EXP(-LN(2)/2))/(LN(2)/2)*AQ89*AT89*VLOOKUP('Données projet'!$B$10,Paramètres!$A$1:$I$89,3,0)*0.475*44/12</f>
        <v>2.2515167034882283E-8</v>
      </c>
      <c r="AX89" s="23">
        <f t="shared" si="60"/>
        <v>8.5102214095942585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3.8461538461538454</v>
      </c>
      <c r="BD89" s="13">
        <f>IF('Données projet'!$A$88&gt;35,BD88+BC89-BL88,IF(A89&lt;'Données projet'!$A$88,$BA$205^A89,IF(A89='Données projet'!$A$88,'Données projet'!$B$88,BD88+BC89-BL88)))</f>
        <v>269.87179487179469</v>
      </c>
      <c r="BE89" s="14">
        <f>BD89*VLOOKUP('Données projet'!$B$11,Paramètres!$A$1:$I$89,3,0)*VLOOKUP('Données projet'!$B$11,Paramètres!$A$1:$I$89,5,0)</f>
        <v>282.06999999999982</v>
      </c>
      <c r="BF89" s="14">
        <f t="shared" si="91"/>
        <v>67.404271683035248</v>
      </c>
      <c r="BG89" s="22">
        <f t="shared" si="61"/>
        <v>608.66768984795272</v>
      </c>
      <c r="BH89" s="60">
        <f t="shared" si="62"/>
        <v>902.00102318128597</v>
      </c>
      <c r="BI89" s="60">
        <f ca="1">AVERAGE(OFFSET($BH$3,0,0,'Données projet'!$E$11+1,1))-AVERAGE(OFFSET($H$3,0,0,'Données projet'!$E$11+1,1))</f>
        <v>373.7520752235389</v>
      </c>
      <c r="BJ89" s="60">
        <f t="shared" si="92"/>
        <v>205.19966474305761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8.9743589743589727</v>
      </c>
      <c r="BY89" s="13">
        <f>IF('Données projet'!$A$114&gt;35,BY88+BX89-CG88,IF(A89&lt;'Données projet'!$A$114,$BV$205^A89,IF(A89='Données projet'!$A$114,'Données projet'!$B$114,BY88+BX89-CG88)))</f>
        <v>374.10256410256363</v>
      </c>
      <c r="BZ89" s="14">
        <f>BY89*VLOOKUP('Données projet'!$B$12,Paramètres!$A$1:$I$89,3,0)*VLOOKUP('Données projet'!$B$12,Paramètres!$A$1:$I$89,5,0)</f>
        <v>175.07999999999976</v>
      </c>
      <c r="CA89" s="14">
        <f t="shared" si="93"/>
        <v>44.225817535095111</v>
      </c>
      <c r="CB89" s="22">
        <f t="shared" si="64"/>
        <v>381.95763220695682</v>
      </c>
      <c r="CC89" s="60">
        <f t="shared" si="65"/>
        <v>675.29096554029013</v>
      </c>
      <c r="CD89" s="60">
        <f ca="1">AVERAGE(OFFSET($CC$3,0,0,'Données projet'!$E$12+1,1))-AVERAGE(OFFSET($H$3,0,0,'Données projet'!$E$12+1,1))</f>
        <v>141.31558705818316</v>
      </c>
      <c r="CE89" s="60">
        <f t="shared" si="94"/>
        <v>67.142010893211364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</v>
      </c>
      <c r="CT89" s="13">
        <f>IF('Données projet'!$A$140&gt;35,CT88+CS89-DB88,IF(A89&lt;'Données projet'!$A$140,$CQ$205^A89,IF(A89='Données projet'!$A$140,'Données projet'!$B$140,CT88+CS89-DB88)))</f>
        <v>273.59999999999997</v>
      </c>
      <c r="CU89" s="18">
        <f>CT89*VLOOKUP('Données projet'!$B$13,Paramètres!$A$1:$I$89,3,0)*VLOOKUP('Données projet'!$B$13,Paramètres!$A$1:$I$89,5,0)</f>
        <v>239.01696000000001</v>
      </c>
      <c r="CV89" s="14">
        <f t="shared" si="95"/>
        <v>58.22797414013467</v>
      </c>
      <c r="CW89" s="22">
        <f t="shared" si="67"/>
        <v>517.70159362740117</v>
      </c>
      <c r="CX89" s="60">
        <f t="shared" si="68"/>
        <v>811.03492696073454</v>
      </c>
      <c r="CY89" s="60">
        <f ca="1">AVERAGE(OFFSET($CX$3,0,0,'Données projet'!$E$13+1,1))-AVERAGE(OFFSET($H$3,0,0,'Données projet'!$E$13+1,1))</f>
        <v>281.8501448773884</v>
      </c>
      <c r="CZ89" s="60">
        <f t="shared" si="96"/>
        <v>161.7340631691518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5.6</v>
      </c>
      <c r="DO89" s="13">
        <f>IF('Données projet'!$A$166&gt;35,DO88+DN89-DW88,IF(A89&lt;'Données projet'!$A$166,$DL$205^A89,IF(A89='Données projet'!$A$166,'Données projet'!$B$166,DO88+DN89-DW88)))</f>
        <v>273.59999999999997</v>
      </c>
      <c r="DP89" s="18">
        <f>DO89*VLOOKUP('Données projet'!$B$14,Paramètres!$A$1:$I$89,3,0)*VLOOKUP('Données projet'!$B$14,Paramètres!$A$1:$I$89,5,0)</f>
        <v>247.55327999999994</v>
      </c>
      <c r="DQ89" s="14">
        <f t="shared" si="97"/>
        <v>60.061713068870255</v>
      </c>
      <c r="DR89" s="22">
        <f t="shared" si="70"/>
        <v>535.76277959494894</v>
      </c>
      <c r="DS89" s="60">
        <f t="shared" si="71"/>
        <v>829.09611292828231</v>
      </c>
      <c r="DT89" s="60">
        <f ca="1">AVERAGE(OFFSET($DS$3,0,0,'Données projet'!$E$14+1,1))-AVERAGE(OFFSET($H$3,0,0,'Données projet'!$E$14+1,1))</f>
        <v>295.19398489974265</v>
      </c>
      <c r="DU89" s="60">
        <f t="shared" si="98"/>
        <v>168.80998104712489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4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283.10879999999997</v>
      </c>
      <c r="P90" s="14">
        <f t="shared" si="87"/>
        <v>67.623564901653808</v>
      </c>
      <c r="Q90" s="22">
        <f t="shared" si="54"/>
        <v>610.85886887038032</v>
      </c>
      <c r="R90" s="60">
        <f t="shared" si="55"/>
        <v>904.19220220371358</v>
      </c>
      <c r="S90" s="60">
        <f ca="1">AVERAGE(OFFSET($R$3,0,0,'Données projet'!$E$9+1,1))-AVERAGE(OFFSET($H$3,0,0,'Données projet'!$E$9+1,1))</f>
        <v>341.82426415364569</v>
      </c>
      <c r="T90" s="60">
        <f t="shared" si="88"/>
        <v>193.53376539568887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-2.8421709430404007E-13</v>
      </c>
      <c r="AJ90" s="14">
        <f>AI90*VLOOKUP('Données projet'!$B$10,Paramètres!$A$1:$I$89,3,0)*VLOOKUP('Données projet'!$B$10,Paramètres!$A$1:$I$89,5,0)</f>
        <v>-1.69961822393816E-13</v>
      </c>
      <c r="AK90" s="14" t="e">
        <f t="shared" si="89"/>
        <v>#NUM!</v>
      </c>
      <c r="AL90" s="22" t="e">
        <f t="shared" si="58"/>
        <v>#NUM!</v>
      </c>
      <c r="AM90" s="60" t="e">
        <f t="shared" si="59"/>
        <v>#NUM!</v>
      </c>
      <c r="AN90" s="60">
        <f ca="1">AVERAGE(OFFSET($AM$3,0,0,'Données projet'!$E$10+1,1))-AVERAGE(OFFSET($H$3,0,0,'Données projet'!$E$10+1,1))</f>
        <v>189.8516574130017</v>
      </c>
      <c r="AO90" s="60">
        <f t="shared" si="90"/>
        <v>191.91100863555891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4.5960972904021578</v>
      </c>
      <c r="AV90" s="23">
        <f>EXP(-LN(2)/25)*AV89+(1-EXP(-LN(2)/25))/(LN(2)/25)*Calculateur!AQ90*Calculateur!AS90*VLOOKUP('Données projet'!$B$10,Paramètres!$A$1:$I$89,3,0)*0.475*44/12</f>
        <v>3.7176766372689891</v>
      </c>
      <c r="AW90" s="23">
        <f>EXP(-LN(2)/2)*AW89+(1-EXP(-LN(2)/2))/(LN(2)/2)*AQ90*AT90*VLOOKUP('Données projet'!$B$10,Paramètres!$A$1:$I$89,3,0)*0.475*44/12</f>
        <v>1.5920627289913074E-8</v>
      </c>
      <c r="AX90" s="23">
        <f t="shared" si="60"/>
        <v>8.313773943591773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3.8461538461538454</v>
      </c>
      <c r="BD90" s="13">
        <f>IF('Données projet'!$A$88&gt;35,BD89+BC90-BL89,IF(A90&lt;'Données projet'!$A$88,$BA$205^A90,IF(A90='Données projet'!$A$88,'Données projet'!$B$88,BD89+BC90-BL89)))</f>
        <v>273.71794871794856</v>
      </c>
      <c r="BE90" s="14">
        <f>BD90*VLOOKUP('Données projet'!$B$11,Paramètres!$A$1:$I$89,3,0)*VLOOKUP('Données projet'!$B$11,Paramètres!$A$1:$I$89,5,0)</f>
        <v>286.08999999999986</v>
      </c>
      <c r="BF90" s="14">
        <f t="shared" si="91"/>
        <v>68.252384845349795</v>
      </c>
      <c r="BG90" s="22">
        <f t="shared" si="61"/>
        <v>617.14632027231744</v>
      </c>
      <c r="BH90" s="60">
        <f t="shared" si="62"/>
        <v>910.47965360565081</v>
      </c>
      <c r="BI90" s="60">
        <f ca="1">AVERAGE(OFFSET($BH$3,0,0,'Données projet'!$E$11+1,1))-AVERAGE(OFFSET($H$3,0,0,'Données projet'!$E$11+1,1))</f>
        <v>373.7520752235389</v>
      </c>
      <c r="BJ90" s="60">
        <f t="shared" si="92"/>
        <v>205.19966474305761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>
        <f>VLOOKUP(A90,'Données projet'!$A$113:$I$133,2,0)</f>
        <v>383.07692307692304</v>
      </c>
      <c r="BW90" s="13">
        <f>VLOOKUP(A90,'Données projet'!$A$113:$I$133,9,0)</f>
        <v>8.9743589743589727</v>
      </c>
      <c r="BX90" s="13">
        <f t="array" ref="BX90">INDEX(BW:BW,MIN(IF(ISNUMBER(BW90:BW286),ROW(BW90:BW286),"")))</f>
        <v>8.9743589743589727</v>
      </c>
      <c r="BY90" s="13">
        <f>IF('Données projet'!$A$114&gt;35,BY89+BX90-CG89,IF(A90&lt;'Données projet'!$A$114,$BV$205^A90,IF(A90='Données projet'!$A$114,'Données projet'!$B$114,BY89+BX90-CG89)))</f>
        <v>383.07692307692258</v>
      </c>
      <c r="BZ90" s="14">
        <f>BY90*VLOOKUP('Données projet'!$B$12,Paramètres!$A$1:$I$89,3,0)*VLOOKUP('Données projet'!$B$12,Paramètres!$A$1:$I$89,5,0)</f>
        <v>179.27999999999975</v>
      </c>
      <c r="CA90" s="14">
        <f t="shared" si="93"/>
        <v>45.161962084677604</v>
      </c>
      <c r="CB90" s="22">
        <f t="shared" si="64"/>
        <v>390.90308396414639</v>
      </c>
      <c r="CC90" s="60">
        <f t="shared" si="65"/>
        <v>684.23641729747965</v>
      </c>
      <c r="CD90" s="60">
        <f ca="1">AVERAGE(OFFSET($CC$3,0,0,'Données projet'!$E$12+1,1))-AVERAGE(OFFSET($H$3,0,0,'Données projet'!$E$12+1,1))</f>
        <v>141.31558705818316</v>
      </c>
      <c r="CE90" s="60">
        <f t="shared" si="94"/>
        <v>67.142010893211364</v>
      </c>
      <c r="CF90" s="16">
        <f>IF(ISNA(VLOOKUP(A90,'Données projet'!$A$113:$I$133,3,0)),0,VLOOKUP(A90,'Données projet'!$A$113:$I$133,3,0))</f>
        <v>4</v>
      </c>
      <c r="CG90" s="16">
        <f>IF(ISNA(VLOOKUP(A90,'Données projet'!$A$113:$I$133,4,0)),0,VLOOKUP(A90,'Données projet'!$A$113:$I$133,4,0))</f>
        <v>83.076923076923038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</v>
      </c>
      <c r="CT90" s="13">
        <f>IF('Données projet'!$A$140&gt;35,CT89+CS90-DB89,IF(A90&lt;'Données projet'!$A$140,$CQ$205^A90,IF(A90='Données projet'!$A$140,'Données projet'!$B$140,CT89+CS90-DB89)))</f>
        <v>279.2</v>
      </c>
      <c r="CU90" s="18">
        <f>CT90*VLOOKUP('Données projet'!$B$13,Paramètres!$A$1:$I$89,3,0)*VLOOKUP('Données projet'!$B$13,Paramètres!$A$1:$I$89,5,0)</f>
        <v>243.90912</v>
      </c>
      <c r="CV90" s="14">
        <f t="shared" si="95"/>
        <v>59.279804186041225</v>
      </c>
      <c r="CW90" s="22">
        <f t="shared" si="67"/>
        <v>528.05404295735514</v>
      </c>
      <c r="CX90" s="60">
        <f t="shared" si="68"/>
        <v>821.38737629068851</v>
      </c>
      <c r="CY90" s="60">
        <f ca="1">AVERAGE(OFFSET($CX$3,0,0,'Données projet'!$E$13+1,1))-AVERAGE(OFFSET($H$3,0,0,'Données projet'!$E$13+1,1))</f>
        <v>281.8501448773884</v>
      </c>
      <c r="CZ90" s="60">
        <f t="shared" si="96"/>
        <v>161.7340631691518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5.6</v>
      </c>
      <c r="DO90" s="13">
        <f>IF('Données projet'!$A$166&gt;35,DO89+DN90-DW89,IF(A90&lt;'Données projet'!$A$166,$DL$205^A90,IF(A90='Données projet'!$A$166,'Données projet'!$B$166,DO89+DN90-DW89)))</f>
        <v>279.2</v>
      </c>
      <c r="DP90" s="18">
        <f>DO90*VLOOKUP('Données projet'!$B$14,Paramètres!$A$1:$I$89,3,0)*VLOOKUP('Données projet'!$B$14,Paramètres!$A$1:$I$89,5,0)</f>
        <v>252.62015999999997</v>
      </c>
      <c r="DQ90" s="14">
        <f t="shared" si="97"/>
        <v>61.14666777229877</v>
      </c>
      <c r="DR90" s="22">
        <f t="shared" si="70"/>
        <v>546.47722503675357</v>
      </c>
      <c r="DS90" s="60">
        <f t="shared" si="71"/>
        <v>839.81055837008694</v>
      </c>
      <c r="DT90" s="60">
        <f ca="1">AVERAGE(OFFSET($DS$3,0,0,'Données projet'!$E$14+1,1))-AVERAGE(OFFSET($H$3,0,0,'Données projet'!$E$14+1,1))</f>
        <v>295.19398489974265</v>
      </c>
      <c r="DU90" s="60">
        <f t="shared" si="98"/>
        <v>168.80998104712489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4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288.78720000000004</v>
      </c>
      <c r="P91" s="14">
        <f t="shared" si="87"/>
        <v>68.820644053442436</v>
      </c>
      <c r="Q91" s="22">
        <f t="shared" si="54"/>
        <v>622.83366172641229</v>
      </c>
      <c r="R91" s="60">
        <f t="shared" si="55"/>
        <v>916.16699505974566</v>
      </c>
      <c r="S91" s="60">
        <f ca="1">AVERAGE(OFFSET($R$3,0,0,'Données projet'!$E$9+1,1))-AVERAGE(OFFSET($H$3,0,0,'Données projet'!$E$9+1,1))</f>
        <v>341.82426415364569</v>
      </c>
      <c r="T91" s="60">
        <f t="shared" si="88"/>
        <v>193.53376539568887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-2.8421709430404007E-13</v>
      </c>
      <c r="AJ91" s="14">
        <f>AI91*VLOOKUP('Données projet'!$B$10,Paramètres!$A$1:$I$89,3,0)*VLOOKUP('Données projet'!$B$10,Paramètres!$A$1:$I$89,5,0)</f>
        <v>-1.69961822393816E-13</v>
      </c>
      <c r="AK91" s="14" t="e">
        <f t="shared" si="89"/>
        <v>#NUM!</v>
      </c>
      <c r="AL91" s="22" t="e">
        <f t="shared" si="58"/>
        <v>#NUM!</v>
      </c>
      <c r="AM91" s="60" t="e">
        <f t="shared" si="59"/>
        <v>#NUM!</v>
      </c>
      <c r="AN91" s="60">
        <f ca="1">AVERAGE(OFFSET($AM$3,0,0,'Données projet'!$E$10+1,1))-AVERAGE(OFFSET($H$3,0,0,'Données projet'!$E$10+1,1))</f>
        <v>189.8516574130017</v>
      </c>
      <c r="AO91" s="60">
        <f t="shared" si="90"/>
        <v>191.91100863555891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4.5059706258799119</v>
      </c>
      <c r="AV91" s="23">
        <f>EXP(-LN(2)/25)*AV90+(1-EXP(-LN(2)/25))/(LN(2)/25)*Calculateur!AQ91*Calculateur!AS91*VLOOKUP('Données projet'!$B$10,Paramètres!$A$1:$I$89,3,0)*0.475*44/12</f>
        <v>3.6160165741187513</v>
      </c>
      <c r="AW91" s="23">
        <f>EXP(-LN(2)/2)*AW90+(1-EXP(-LN(2)/2))/(LN(2)/2)*AQ91*AT91*VLOOKUP('Données projet'!$B$10,Paramètres!$A$1:$I$89,3,0)*0.475*44/12</f>
        <v>1.1257583517441141E-8</v>
      </c>
      <c r="AX91" s="23">
        <f t="shared" si="60"/>
        <v>8.121987211256247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3.8461538461538454</v>
      </c>
      <c r="BD91" s="13">
        <f>IF('Données projet'!$A$88&gt;35,BD90+BC91-BL90,IF(A91&lt;'Données projet'!$A$88,$BA$205^A91,IF(A91='Données projet'!$A$88,'Données projet'!$B$88,BD90+BC91-BL90)))</f>
        <v>277.56410256410243</v>
      </c>
      <c r="BE91" s="14">
        <f>BD91*VLOOKUP('Données projet'!$B$11,Paramètres!$A$1:$I$89,3,0)*VLOOKUP('Données projet'!$B$11,Paramètres!$A$1:$I$89,5,0)</f>
        <v>290.1099999999999</v>
      </c>
      <c r="BF91" s="14">
        <f t="shared" si="91"/>
        <v>69.099111921738029</v>
      </c>
      <c r="BG91" s="22">
        <f t="shared" si="61"/>
        <v>625.62253659702685</v>
      </c>
      <c r="BH91" s="60">
        <f t="shared" si="62"/>
        <v>918.95586993036022</v>
      </c>
      <c r="BI91" s="60">
        <f ca="1">AVERAGE(OFFSET($BH$3,0,0,'Données projet'!$E$11+1,1))-AVERAGE(OFFSET($H$3,0,0,'Données projet'!$E$11+1,1))</f>
        <v>373.7520752235389</v>
      </c>
      <c r="BJ91" s="60">
        <f t="shared" si="92"/>
        <v>205.19966474305761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8.1410256410256405</v>
      </c>
      <c r="BY91" s="13">
        <f>IF('Données projet'!$A$114&gt;35,BY90+BX91-CG90,IF(A91&lt;'Données projet'!$A$114,$BV$205^A91,IF(A91='Données projet'!$A$114,'Données projet'!$B$114,BY90+BX91-CG90)))</f>
        <v>308.14102564102518</v>
      </c>
      <c r="BZ91" s="14">
        <f>BY91*VLOOKUP('Données projet'!$B$12,Paramètres!$A$1:$I$89,3,0)*VLOOKUP('Données projet'!$B$12,Paramètres!$A$1:$I$89,5,0)</f>
        <v>144.20999999999978</v>
      </c>
      <c r="CA91" s="14">
        <f t="shared" si="93"/>
        <v>37.259788027931044</v>
      </c>
      <c r="CB91" s="22">
        <f t="shared" si="64"/>
        <v>316.05988081531285</v>
      </c>
      <c r="CC91" s="60">
        <f t="shared" si="65"/>
        <v>609.39321414864617</v>
      </c>
      <c r="CD91" s="60">
        <f ca="1">AVERAGE(OFFSET($CC$3,0,0,'Données projet'!$E$12+1,1))-AVERAGE(OFFSET($H$3,0,0,'Données projet'!$E$12+1,1))</f>
        <v>141.31558705818316</v>
      </c>
      <c r="CE91" s="60">
        <f t="shared" si="94"/>
        <v>67.142010893211364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</v>
      </c>
      <c r="CT91" s="13">
        <f>IF('Données projet'!$A$140&gt;35,CT90+CS91-DB90,IF(A91&lt;'Données projet'!$A$140,$CQ$205^A91,IF(A91='Données projet'!$A$140,'Données projet'!$B$140,CT90+CS91-DB90)))</f>
        <v>284.8</v>
      </c>
      <c r="CU91" s="18">
        <f>CT91*VLOOKUP('Données projet'!$B$13,Paramètres!$A$1:$I$89,3,0)*VLOOKUP('Données projet'!$B$13,Paramètres!$A$1:$I$89,5,0)</f>
        <v>248.80128000000005</v>
      </c>
      <c r="CV91" s="14">
        <f t="shared" si="95"/>
        <v>60.32918124589343</v>
      </c>
      <c r="CW91" s="22">
        <f t="shared" si="67"/>
        <v>538.40222000326435</v>
      </c>
      <c r="CX91" s="60">
        <f t="shared" si="68"/>
        <v>831.7355533365976</v>
      </c>
      <c r="CY91" s="60">
        <f ca="1">AVERAGE(OFFSET($CX$3,0,0,'Données projet'!$E$13+1,1))-AVERAGE(OFFSET($H$3,0,0,'Données projet'!$E$13+1,1))</f>
        <v>281.8501448773884</v>
      </c>
      <c r="CZ91" s="60">
        <f t="shared" si="96"/>
        <v>161.7340631691518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5.6</v>
      </c>
      <c r="DO91" s="13">
        <f>IF('Données projet'!$A$166&gt;35,DO90+DN91-DW90,IF(A91&lt;'Données projet'!$A$166,$DL$205^A91,IF(A91='Données projet'!$A$166,'Données projet'!$B$166,DO90+DN91-DW90)))</f>
        <v>284.8</v>
      </c>
      <c r="DP91" s="18">
        <f>DO91*VLOOKUP('Données projet'!$B$14,Paramètres!$A$1:$I$89,3,0)*VLOOKUP('Données projet'!$B$14,Paramètres!$A$1:$I$89,5,0)</f>
        <v>257.68704000000002</v>
      </c>
      <c r="DQ91" s="14">
        <f t="shared" si="97"/>
        <v>62.229092239243343</v>
      </c>
      <c r="DR91" s="22">
        <f t="shared" si="70"/>
        <v>557.18726365001555</v>
      </c>
      <c r="DS91" s="60">
        <f t="shared" si="71"/>
        <v>850.52059698334892</v>
      </c>
      <c r="DT91" s="60">
        <f ca="1">AVERAGE(OFFSET($DS$3,0,0,'Données projet'!$E$14+1,1))-AVERAGE(OFFSET($H$3,0,0,'Données projet'!$E$14+1,1))</f>
        <v>295.19398489974265</v>
      </c>
      <c r="DU91" s="60">
        <f t="shared" si="98"/>
        <v>168.80998104712489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4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294.46560000000005</v>
      </c>
      <c r="P92" s="14">
        <f t="shared" si="87"/>
        <v>70.014986320104285</v>
      </c>
      <c r="Q92" s="22">
        <f t="shared" si="54"/>
        <v>634.8036878408484</v>
      </c>
      <c r="R92" s="60">
        <f t="shared" si="55"/>
        <v>928.13702117418165</v>
      </c>
      <c r="S92" s="60">
        <f ca="1">AVERAGE(OFFSET($R$3,0,0,'Données projet'!$E$9+1,1))-AVERAGE(OFFSET($H$3,0,0,'Données projet'!$E$9+1,1))</f>
        <v>341.82426415364569</v>
      </c>
      <c r="T92" s="60">
        <f t="shared" si="88"/>
        <v>193.53376539568887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-2.8421709430404007E-13</v>
      </c>
      <c r="AJ92" s="14">
        <f>AI92*VLOOKUP('Données projet'!$B$10,Paramètres!$A$1:$I$89,3,0)*VLOOKUP('Données projet'!$B$10,Paramètres!$A$1:$I$89,5,0)</f>
        <v>-1.69961822393816E-13</v>
      </c>
      <c r="AK92" s="14" t="e">
        <f t="shared" si="89"/>
        <v>#NUM!</v>
      </c>
      <c r="AL92" s="22" t="e">
        <f t="shared" si="58"/>
        <v>#NUM!</v>
      </c>
      <c r="AM92" s="60" t="e">
        <f t="shared" si="59"/>
        <v>#NUM!</v>
      </c>
      <c r="AN92" s="60">
        <f ca="1">AVERAGE(OFFSET($AM$3,0,0,'Données projet'!$E$10+1,1))-AVERAGE(OFFSET($H$3,0,0,'Données projet'!$E$10+1,1))</f>
        <v>189.8516574130017</v>
      </c>
      <c r="AO92" s="60">
        <f t="shared" si="90"/>
        <v>191.91100863555891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4.4176112902771099</v>
      </c>
      <c r="AV92" s="23">
        <f>EXP(-LN(2)/25)*AV91+(1-EXP(-LN(2)/25))/(LN(2)/25)*Calculateur!AQ92*Calculateur!AS92*VLOOKUP('Données projet'!$B$10,Paramètres!$A$1:$I$89,3,0)*0.475*44/12</f>
        <v>3.5171364107414269</v>
      </c>
      <c r="AW92" s="23">
        <f>EXP(-LN(2)/2)*AW91+(1-EXP(-LN(2)/2))/(LN(2)/2)*AQ92*AT92*VLOOKUP('Données projet'!$B$10,Paramètres!$A$1:$I$89,3,0)*0.475*44/12</f>
        <v>7.9603136449565372E-9</v>
      </c>
      <c r="AX92" s="23">
        <f t="shared" si="60"/>
        <v>7.9347477089788505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3.8461538461538454</v>
      </c>
      <c r="BD92" s="13">
        <f>IF('Données projet'!$A$88&gt;35,BD91+BC92-BL91,IF(A92&lt;'Données projet'!$A$88,$BA$205^A92,IF(A92='Données projet'!$A$88,'Données projet'!$B$88,BD91+BC92-BL91)))</f>
        <v>281.4102564102563</v>
      </c>
      <c r="BE92" s="14">
        <f>BD92*VLOOKUP('Données projet'!$B$11,Paramètres!$A$1:$I$89,3,0)*VLOOKUP('Données projet'!$B$11,Paramètres!$A$1:$I$89,5,0)</f>
        <v>294.12999999999994</v>
      </c>
      <c r="BF92" s="14">
        <f t="shared" si="91"/>
        <v>69.944474338693723</v>
      </c>
      <c r="BG92" s="22">
        <f t="shared" si="61"/>
        <v>634.0963761398915</v>
      </c>
      <c r="BH92" s="60">
        <f t="shared" si="62"/>
        <v>927.42970947322488</v>
      </c>
      <c r="BI92" s="60">
        <f ca="1">AVERAGE(OFFSET($BH$3,0,0,'Données projet'!$E$11+1,1))-AVERAGE(OFFSET($H$3,0,0,'Données projet'!$E$11+1,1))</f>
        <v>373.7520752235389</v>
      </c>
      <c r="BJ92" s="60">
        <f t="shared" si="92"/>
        <v>205.19966474305761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8.1410256410256405</v>
      </c>
      <c r="BY92" s="13">
        <f>IF('Données projet'!$A$114&gt;35,BY91+BX92-CG91,IF(A92&lt;'Données projet'!$A$114,$BV$205^A92,IF(A92='Données projet'!$A$114,'Données projet'!$B$114,BY91+BX92-CG91)))</f>
        <v>316.28205128205082</v>
      </c>
      <c r="BZ92" s="14">
        <f>BY92*VLOOKUP('Données projet'!$B$12,Paramètres!$A$1:$I$89,3,0)*VLOOKUP('Données projet'!$B$12,Paramètres!$A$1:$I$89,5,0)</f>
        <v>148.01999999999978</v>
      </c>
      <c r="CA92" s="14">
        <f t="shared" si="93"/>
        <v>38.12827612701787</v>
      </c>
      <c r="CB92" s="22">
        <f t="shared" si="64"/>
        <v>324.20824758788905</v>
      </c>
      <c r="CC92" s="60">
        <f t="shared" si="65"/>
        <v>617.54158092122236</v>
      </c>
      <c r="CD92" s="60">
        <f ca="1">AVERAGE(OFFSET($CC$3,0,0,'Données projet'!$E$12+1,1))-AVERAGE(OFFSET($H$3,0,0,'Données projet'!$E$12+1,1))</f>
        <v>141.31558705818316</v>
      </c>
      <c r="CE92" s="60">
        <f t="shared" si="94"/>
        <v>67.142010893211364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</v>
      </c>
      <c r="CT92" s="13">
        <f>IF('Données projet'!$A$140&gt;35,CT91+CS92-DB91,IF(A92&lt;'Données projet'!$A$140,$CQ$205^A92,IF(A92='Données projet'!$A$140,'Données projet'!$B$140,CT91+CS92-DB91)))</f>
        <v>290.40000000000003</v>
      </c>
      <c r="CU92" s="18">
        <f>CT92*VLOOKUP('Données projet'!$B$13,Paramètres!$A$1:$I$89,3,0)*VLOOKUP('Données projet'!$B$13,Paramètres!$A$1:$I$89,5,0)</f>
        <v>253.69344000000004</v>
      </c>
      <c r="CV92" s="14">
        <f t="shared" si="95"/>
        <v>61.376159112289358</v>
      </c>
      <c r="CW92" s="22">
        <f t="shared" si="67"/>
        <v>548.74621845390402</v>
      </c>
      <c r="CX92" s="60">
        <f t="shared" si="68"/>
        <v>842.07955178723728</v>
      </c>
      <c r="CY92" s="60">
        <f ca="1">AVERAGE(OFFSET($CX$3,0,0,'Données projet'!$E$13+1,1))-AVERAGE(OFFSET($H$3,0,0,'Données projet'!$E$13+1,1))</f>
        <v>281.8501448773884</v>
      </c>
      <c r="CZ92" s="60">
        <f t="shared" si="96"/>
        <v>161.7340631691518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5.6</v>
      </c>
      <c r="DO92" s="13">
        <f>IF('Données projet'!$A$166&gt;35,DO91+DN92-DW91,IF(A92&lt;'Données projet'!$A$166,$DL$205^A92,IF(A92='Données projet'!$A$166,'Données projet'!$B$166,DO91+DN92-DW91)))</f>
        <v>290.40000000000003</v>
      </c>
      <c r="DP92" s="18">
        <f>DO92*VLOOKUP('Données projet'!$B$14,Paramètres!$A$1:$I$89,3,0)*VLOOKUP('Données projet'!$B$14,Paramètres!$A$1:$I$89,5,0)</f>
        <v>262.75392000000005</v>
      </c>
      <c r="DQ92" s="14">
        <f t="shared" si="97"/>
        <v>63.309041956360382</v>
      </c>
      <c r="DR92" s="22">
        <f t="shared" si="70"/>
        <v>567.89299207399438</v>
      </c>
      <c r="DS92" s="60">
        <f t="shared" si="71"/>
        <v>861.22632540732775</v>
      </c>
      <c r="DT92" s="60">
        <f ca="1">AVERAGE(OFFSET($DS$3,0,0,'Données projet'!$E$14+1,1))-AVERAGE(OFFSET($H$3,0,0,'Données projet'!$E$14+1,1))</f>
        <v>295.19398489974265</v>
      </c>
      <c r="DU92" s="60">
        <f t="shared" si="98"/>
        <v>168.80998104712489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4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300.14400000000006</v>
      </c>
      <c r="P93" s="14">
        <f t="shared" si="87"/>
        <v>71.206650563609855</v>
      </c>
      <c r="Q93" s="22">
        <f t="shared" si="54"/>
        <v>646.76904973162061</v>
      </c>
      <c r="R93" s="60">
        <f t="shared" si="55"/>
        <v>940.10238306495398</v>
      </c>
      <c r="S93" s="60">
        <f ca="1">AVERAGE(OFFSET($R$3,0,0,'Données projet'!$E$9+1,1))-AVERAGE(OFFSET($H$3,0,0,'Données projet'!$E$9+1,1))</f>
        <v>341.82426415364569</v>
      </c>
      <c r="T93" s="60">
        <f t="shared" si="88"/>
        <v>193.53376539568887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-2.8421709430404007E-13</v>
      </c>
      <c r="AJ93" s="14">
        <f>AI93*VLOOKUP('Données projet'!$B$10,Paramètres!$A$1:$I$89,3,0)*VLOOKUP('Données projet'!$B$10,Paramètres!$A$1:$I$89,5,0)</f>
        <v>-1.69961822393816E-13</v>
      </c>
      <c r="AK93" s="14" t="e">
        <f t="shared" si="89"/>
        <v>#NUM!</v>
      </c>
      <c r="AL93" s="22" t="e">
        <f t="shared" si="58"/>
        <v>#NUM!</v>
      </c>
      <c r="AM93" s="60" t="e">
        <f t="shared" si="59"/>
        <v>#NUM!</v>
      </c>
      <c r="AN93" s="60">
        <f ca="1">AVERAGE(OFFSET($AM$3,0,0,'Données projet'!$E$10+1,1))-AVERAGE(OFFSET($H$3,0,0,'Données projet'!$E$10+1,1))</f>
        <v>189.8516574130017</v>
      </c>
      <c r="AO93" s="60">
        <f t="shared" si="90"/>
        <v>191.91100863555891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4.3309846273516053</v>
      </c>
      <c r="AV93" s="23">
        <f>EXP(-LN(2)/25)*AV92+(1-EXP(-LN(2)/25))/(LN(2)/25)*Calculateur!AQ93*Calculateur!AS93*VLOOKUP('Données projet'!$B$10,Paramètres!$A$1:$I$89,3,0)*0.475*44/12</f>
        <v>3.4209601306315371</v>
      </c>
      <c r="AW93" s="23">
        <f>EXP(-LN(2)/2)*AW92+(1-EXP(-LN(2)/2))/(LN(2)/2)*AQ93*AT93*VLOOKUP('Données projet'!$B$10,Paramètres!$A$1:$I$89,3,0)*0.475*44/12</f>
        <v>5.6287917587205707E-9</v>
      </c>
      <c r="AX93" s="23">
        <f t="shared" si="60"/>
        <v>7.7519447636119345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285.25641025641022</v>
      </c>
      <c r="BB93" s="13">
        <f>VLOOKUP(A93,'Données projet'!$A$87:$I$107,9,0)</f>
        <v>3.8461538461538454</v>
      </c>
      <c r="BC93" s="13">
        <f t="array" ref="BC93">INDEX(BB:BB,MIN(IF(ISNUMBER(BB93:BB289),ROW(BB93:BB289),"")))</f>
        <v>3.8461538461538454</v>
      </c>
      <c r="BD93" s="13">
        <f>IF('Données projet'!$A$88&gt;35,BD92+BC93-BL92,IF(A93&lt;'Données projet'!$A$88,$BA$205^A93,IF(A93='Données projet'!$A$88,'Données projet'!$B$88,BD92+BC93-BL92)))</f>
        <v>285.25641025641016</v>
      </c>
      <c r="BE93" s="14">
        <f>BD93*VLOOKUP('Données projet'!$B$11,Paramètres!$A$1:$I$89,3,0)*VLOOKUP('Données projet'!$B$11,Paramètres!$A$1:$I$89,5,0)</f>
        <v>298.14999999999998</v>
      </c>
      <c r="BF93" s="14">
        <f t="shared" si="91"/>
        <v>70.788492903368763</v>
      </c>
      <c r="BG93" s="22">
        <f t="shared" si="61"/>
        <v>642.56787514003383</v>
      </c>
      <c r="BH93" s="60">
        <f t="shared" si="62"/>
        <v>935.90120847336721</v>
      </c>
      <c r="BI93" s="60">
        <f ca="1">AVERAGE(OFFSET($BH$3,0,0,'Données projet'!$E$11+1,1))-AVERAGE(OFFSET($H$3,0,0,'Données projet'!$E$11+1,1))</f>
        <v>373.7520752235389</v>
      </c>
      <c r="BJ93" s="60">
        <f t="shared" si="92"/>
        <v>205.19966474305761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8.1410256410256405</v>
      </c>
      <c r="BY93" s="13">
        <f>IF('Données projet'!$A$114&gt;35,BY92+BX93-CG92,IF(A93&lt;'Données projet'!$A$114,$BV$205^A93,IF(A93='Données projet'!$A$114,'Données projet'!$B$114,BY92+BX93-CG92)))</f>
        <v>324.42307692307645</v>
      </c>
      <c r="BZ93" s="14">
        <f>BY93*VLOOKUP('Données projet'!$B$12,Paramètres!$A$1:$I$89,3,0)*VLOOKUP('Données projet'!$B$12,Paramètres!$A$1:$I$89,5,0)</f>
        <v>151.82999999999979</v>
      </c>
      <c r="CA93" s="14">
        <f t="shared" si="93"/>
        <v>38.994165732360706</v>
      </c>
      <c r="CB93" s="22">
        <f t="shared" si="64"/>
        <v>332.35208865052783</v>
      </c>
      <c r="CC93" s="60">
        <f t="shared" si="65"/>
        <v>625.68542198386115</v>
      </c>
      <c r="CD93" s="60">
        <f ca="1">AVERAGE(OFFSET($CC$3,0,0,'Données projet'!$E$12+1,1))-AVERAGE(OFFSET($H$3,0,0,'Données projet'!$E$12+1,1))</f>
        <v>141.31558705818316</v>
      </c>
      <c r="CE93" s="60">
        <f t="shared" si="94"/>
        <v>67.142010893211364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</v>
      </c>
      <c r="CR93" s="13">
        <f>VLOOKUP(A93,'Données projet'!$A$139:$I$159,9,0)</f>
        <v>5.6</v>
      </c>
      <c r="CS93" s="13">
        <f t="array" ref="CS93">INDEX(CR:CR,MIN(IF(ISNUMBER(CR93:CR289),ROW(CR93:CR289),"")))</f>
        <v>5.6</v>
      </c>
      <c r="CT93" s="13">
        <f>IF('Données projet'!$A$140&gt;35,CT92+CS93-DB92,IF(A93&lt;'Données projet'!$A$140,$CQ$205^A93,IF(A93='Données projet'!$A$140,'Données projet'!$B$140,CT92+CS93-DB92)))</f>
        <v>296.00000000000006</v>
      </c>
      <c r="CU93" s="18">
        <f>CT93*VLOOKUP('Données projet'!$B$13,Paramètres!$A$1:$I$89,3,0)*VLOOKUP('Données projet'!$B$13,Paramètres!$A$1:$I$89,5,0)</f>
        <v>258.58560000000006</v>
      </c>
      <c r="CV93" s="14">
        <f t="shared" si="95"/>
        <v>62.420789384491897</v>
      </c>
      <c r="CW93" s="22">
        <f t="shared" si="67"/>
        <v>559.08612817799019</v>
      </c>
      <c r="CX93" s="60">
        <f t="shared" si="68"/>
        <v>852.41946151132356</v>
      </c>
      <c r="CY93" s="60">
        <f ca="1">AVERAGE(OFFSET($CX$3,0,0,'Données projet'!$E$13+1,1))-AVERAGE(OFFSET($H$3,0,0,'Données projet'!$E$13+1,1))</f>
        <v>281.8501448773884</v>
      </c>
      <c r="CZ93" s="60">
        <f t="shared" si="96"/>
        <v>161.7340631691518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42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</v>
      </c>
      <c r="DM93" s="13">
        <f>VLOOKUP(A93,'Données projet'!$A$165:$I$185,9,0)</f>
        <v>5.6</v>
      </c>
      <c r="DN93" s="13">
        <f t="array" ref="DN93">INDEX(DM:DM,MIN(IF(ISNUMBER(DM93:DM289),ROW(DM93:DM289),"")))</f>
        <v>5.6</v>
      </c>
      <c r="DO93" s="13">
        <f>IF('Données projet'!$A$166&gt;35,DO92+DN93-DW92,IF(A93&lt;'Données projet'!$A$166,$DL$205^A93,IF(A93='Données projet'!$A$166,'Données projet'!$B$166,DO92+DN93-DW92)))</f>
        <v>296.00000000000006</v>
      </c>
      <c r="DP93" s="18">
        <f>DO93*VLOOKUP('Données projet'!$B$14,Paramètres!$A$1:$I$89,3,0)*VLOOKUP('Données projet'!$B$14,Paramètres!$A$1:$I$89,5,0)</f>
        <v>267.82080000000008</v>
      </c>
      <c r="DQ93" s="14">
        <f t="shared" si="97"/>
        <v>64.386570147897373</v>
      </c>
      <c r="DR93" s="22">
        <f t="shared" si="70"/>
        <v>578.59450300758806</v>
      </c>
      <c r="DS93" s="60">
        <f t="shared" si="71"/>
        <v>871.92783634092143</v>
      </c>
      <c r="DT93" s="60">
        <f ca="1">AVERAGE(OFFSET($DS$3,0,0,'Données projet'!$E$14+1,1))-AVERAGE(OFFSET($H$3,0,0,'Données projet'!$E$14+1,1))</f>
        <v>295.19398489974265</v>
      </c>
      <c r="DU93" s="60">
        <f t="shared" si="98"/>
        <v>168.80998104712489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42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4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262.52460000000002</v>
      </c>
      <c r="P94" s="14">
        <f t="shared" si="87"/>
        <v>63.260217631774687</v>
      </c>
      <c r="Q94" s="22">
        <f t="shared" si="54"/>
        <v>567.40855737534105</v>
      </c>
      <c r="R94" s="60">
        <f t="shared" si="55"/>
        <v>860.74189070867442</v>
      </c>
      <c r="S94" s="60">
        <f ca="1">AVERAGE(OFFSET($R$3,0,0,'Données projet'!$E$9+1,1))-AVERAGE(OFFSET($H$3,0,0,'Données projet'!$E$9+1,1))</f>
        <v>341.82426415364569</v>
      </c>
      <c r="T94" s="60">
        <f t="shared" si="88"/>
        <v>193.53376539568887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-2.8421709430404007E-13</v>
      </c>
      <c r="AJ94" s="14">
        <f>AI94*VLOOKUP('Données projet'!$B$10,Paramètres!$A$1:$I$89,3,0)*VLOOKUP('Données projet'!$B$10,Paramètres!$A$1:$I$89,5,0)</f>
        <v>-1.69961822393816E-13</v>
      </c>
      <c r="AK94" s="14" t="e">
        <f t="shared" si="89"/>
        <v>#NUM!</v>
      </c>
      <c r="AL94" s="22" t="e">
        <f t="shared" si="58"/>
        <v>#NUM!</v>
      </c>
      <c r="AM94" s="60" t="e">
        <f t="shared" si="59"/>
        <v>#NUM!</v>
      </c>
      <c r="AN94" s="60">
        <f ca="1">AVERAGE(OFFSET($AM$3,0,0,'Données projet'!$E$10+1,1))-AVERAGE(OFFSET($H$3,0,0,'Données projet'!$E$10+1,1))</f>
        <v>189.8516574130017</v>
      </c>
      <c r="AO94" s="60">
        <f t="shared" si="90"/>
        <v>191.91100863555891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4.2460566604490229</v>
      </c>
      <c r="AV94" s="23">
        <f>EXP(-LN(2)/25)*AV93+(1-EXP(-LN(2)/25))/(LN(2)/25)*Calculateur!AQ94*Calculateur!AS94*VLOOKUP('Données projet'!$B$10,Paramètres!$A$1:$I$89,3,0)*0.475*44/12</f>
        <v>3.3274137959589432</v>
      </c>
      <c r="AW94" s="23">
        <f>EXP(-LN(2)/2)*AW93+(1-EXP(-LN(2)/2))/(LN(2)/2)*AQ94*AT94*VLOOKUP('Données projet'!$B$10,Paramètres!$A$1:$I$89,3,0)*0.475*44/12</f>
        <v>3.9801568224782686E-9</v>
      </c>
      <c r="AX94" s="23">
        <f t="shared" si="60"/>
        <v>7.5734704603881227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3.4615384615384643</v>
      </c>
      <c r="BD94" s="13">
        <f>IF('Données projet'!$A$88&gt;35,BD93+BC94-BL93,IF(A94&lt;'Données projet'!$A$88,$BA$205^A94,IF(A94='Données projet'!$A$88,'Données projet'!$B$88,BD93+BC94-BL93)))</f>
        <v>288.71794871794862</v>
      </c>
      <c r="BE94" s="14">
        <f>BD94*VLOOKUP('Données projet'!$B$11,Paramètres!$A$1:$I$89,3,0)*VLOOKUP('Données projet'!$B$11,Paramètres!$A$1:$I$89,5,0)</f>
        <v>301.76799999999992</v>
      </c>
      <c r="BF94" s="14">
        <f t="shared" si="91"/>
        <v>71.546977336455484</v>
      </c>
      <c r="BG94" s="22">
        <f t="shared" si="61"/>
        <v>650.19025219432649</v>
      </c>
      <c r="BH94" s="60">
        <f t="shared" si="62"/>
        <v>943.52358552765986</v>
      </c>
      <c r="BI94" s="60">
        <f ca="1">AVERAGE(OFFSET($BH$3,0,0,'Données projet'!$E$11+1,1))-AVERAGE(OFFSET($H$3,0,0,'Données projet'!$E$11+1,1))</f>
        <v>373.7520752235389</v>
      </c>
      <c r="BJ94" s="60">
        <f t="shared" si="92"/>
        <v>205.19966474305761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8.1410256410256405</v>
      </c>
      <c r="BY94" s="13">
        <f>IF('Données projet'!$A$114&gt;35,BY93+BX94-CG93,IF(A94&lt;'Données projet'!$A$114,$BV$205^A94,IF(A94='Données projet'!$A$114,'Données projet'!$B$114,BY93+BX94-CG93)))</f>
        <v>332.56410256410209</v>
      </c>
      <c r="BZ94" s="14">
        <f>BY94*VLOOKUP('Données projet'!$B$12,Paramètres!$A$1:$I$89,3,0)*VLOOKUP('Données projet'!$B$12,Paramètres!$A$1:$I$89,5,0)</f>
        <v>155.63999999999979</v>
      </c>
      <c r="CA94" s="14">
        <f t="shared" si="93"/>
        <v>39.857529549413819</v>
      </c>
      <c r="CB94" s="22">
        <f t="shared" si="64"/>
        <v>340.49153063189533</v>
      </c>
      <c r="CC94" s="60">
        <f t="shared" si="65"/>
        <v>633.82486396522859</v>
      </c>
      <c r="CD94" s="60">
        <f ca="1">AVERAGE(OFFSET($CC$3,0,0,'Données projet'!$E$12+1,1))-AVERAGE(OFFSET($H$3,0,0,'Données projet'!$E$12+1,1))</f>
        <v>141.31558705818316</v>
      </c>
      <c r="CE94" s="60">
        <f t="shared" si="94"/>
        <v>67.142010893211364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4.9000000000000004</v>
      </c>
      <c r="CT94" s="13">
        <f>IF('Données projet'!$A$140&gt;35,CT93+CS94-DB93,IF(A94&lt;'Données projet'!$A$140,$CQ$205^A94,IF(A94='Données projet'!$A$140,'Données projet'!$B$140,CT93+CS94-DB93)))</f>
        <v>258.90000000000003</v>
      </c>
      <c r="CU94" s="18">
        <f>CT94*VLOOKUP('Données projet'!$B$13,Paramètres!$A$1:$I$89,3,0)*VLOOKUP('Données projet'!$B$13,Paramètres!$A$1:$I$89,5,0)</f>
        <v>226.17504000000005</v>
      </c>
      <c r="CV94" s="14">
        <f t="shared" si="95"/>
        <v>55.454830271544061</v>
      </c>
      <c r="CW94" s="22">
        <f t="shared" si="67"/>
        <v>490.50535738960593</v>
      </c>
      <c r="CX94" s="60">
        <f t="shared" si="68"/>
        <v>783.83869072293919</v>
      </c>
      <c r="CY94" s="60">
        <f ca="1">AVERAGE(OFFSET($CX$3,0,0,'Données projet'!$E$13+1,1))-AVERAGE(OFFSET($H$3,0,0,'Données projet'!$E$13+1,1))</f>
        <v>281.8501448773884</v>
      </c>
      <c r="CZ94" s="60">
        <f t="shared" si="96"/>
        <v>161.7340631691518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4.9000000000000004</v>
      </c>
      <c r="DO94" s="13">
        <f>IF('Données projet'!$A$166&gt;35,DO93+DN94-DW93,IF(A94&lt;'Données projet'!$A$166,$DL$205^A94,IF(A94='Données projet'!$A$166,'Données projet'!$B$166,DO93+DN94-DW93)))</f>
        <v>258.90000000000003</v>
      </c>
      <c r="DP94" s="18">
        <f>DO94*VLOOKUP('Données projet'!$B$14,Paramètres!$A$1:$I$89,3,0)*VLOOKUP('Données projet'!$B$14,Paramètres!$A$1:$I$89,5,0)</f>
        <v>234.25272000000001</v>
      </c>
      <c r="DQ94" s="14">
        <f t="shared" si="97"/>
        <v>57.201236231171301</v>
      </c>
      <c r="DR94" s="22">
        <f t="shared" si="70"/>
        <v>507.61564043595672</v>
      </c>
      <c r="DS94" s="60">
        <f t="shared" si="71"/>
        <v>800.94897376928998</v>
      </c>
      <c r="DT94" s="60">
        <f ca="1">AVERAGE(OFFSET($DS$3,0,0,'Données projet'!$E$14+1,1))-AVERAGE(OFFSET($H$3,0,0,'Données projet'!$E$14+1,1))</f>
        <v>295.19398489974265</v>
      </c>
      <c r="DU94" s="60">
        <f t="shared" si="98"/>
        <v>168.80998104712489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4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267.49320000000006</v>
      </c>
      <c r="P95" s="14">
        <f t="shared" si="87"/>
        <v>64.316974590266341</v>
      </c>
      <c r="Q95" s="22">
        <f t="shared" si="54"/>
        <v>577.90272074471397</v>
      </c>
      <c r="R95" s="60">
        <f t="shared" si="55"/>
        <v>871.23605407804735</v>
      </c>
      <c r="S95" s="60">
        <f ca="1">AVERAGE(OFFSET($R$3,0,0,'Données projet'!$E$9+1,1))-AVERAGE(OFFSET($H$3,0,0,'Données projet'!$E$9+1,1))</f>
        <v>341.82426415364569</v>
      </c>
      <c r="T95" s="60">
        <f t="shared" si="88"/>
        <v>193.53376539568887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-2.8421709430404007E-13</v>
      </c>
      <c r="AJ95" s="14">
        <f>AI95*VLOOKUP('Données projet'!$B$10,Paramètres!$A$1:$I$89,3,0)*VLOOKUP('Données projet'!$B$10,Paramètres!$A$1:$I$89,5,0)</f>
        <v>-1.69961822393816E-13</v>
      </c>
      <c r="AK95" s="14" t="e">
        <f t="shared" si="89"/>
        <v>#NUM!</v>
      </c>
      <c r="AL95" s="22" t="e">
        <f t="shared" si="58"/>
        <v>#NUM!</v>
      </c>
      <c r="AM95" s="60" t="e">
        <f t="shared" si="59"/>
        <v>#NUM!</v>
      </c>
      <c r="AN95" s="60">
        <f ca="1">AVERAGE(OFFSET($AM$3,0,0,'Données projet'!$E$10+1,1))-AVERAGE(OFFSET($H$3,0,0,'Données projet'!$E$10+1,1))</f>
        <v>189.8516574130017</v>
      </c>
      <c r="AO95" s="60">
        <f t="shared" si="90"/>
        <v>191.91100863555891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4.1627940791764546</v>
      </c>
      <c r="AV95" s="23">
        <f>EXP(-LN(2)/25)*AV94+(1-EXP(-LN(2)/25))/(LN(2)/25)*Calculateur!AQ95*Calculateur!AS95*VLOOKUP('Données projet'!$B$10,Paramètres!$A$1:$I$89,3,0)*0.475*44/12</f>
        <v>3.2364254907273593</v>
      </c>
      <c r="AW95" s="23">
        <f>EXP(-LN(2)/2)*AW94+(1-EXP(-LN(2)/2))/(LN(2)/2)*AQ95*AT95*VLOOKUP('Données projet'!$B$10,Paramètres!$A$1:$I$89,3,0)*0.475*44/12</f>
        <v>2.8143958793602854E-9</v>
      </c>
      <c r="AX95" s="23">
        <f t="shared" si="60"/>
        <v>7.3992195727182093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3.4615384615384643</v>
      </c>
      <c r="BD95" s="13">
        <f>IF('Données projet'!$A$88&gt;35,BD94+BC95-BL94,IF(A95&lt;'Données projet'!$A$88,$BA$205^A95,IF(A95='Données projet'!$A$88,'Données projet'!$B$88,BD94+BC95-BL94)))</f>
        <v>292.17948717948707</v>
      </c>
      <c r="BE95" s="14">
        <f>BD95*VLOOKUP('Données projet'!$B$11,Paramètres!$A$1:$I$89,3,0)*VLOOKUP('Données projet'!$B$11,Paramètres!$A$1:$I$89,5,0)</f>
        <v>305.38599999999991</v>
      </c>
      <c r="BF95" s="14">
        <f t="shared" si="91"/>
        <v>72.304403970848256</v>
      </c>
      <c r="BG95" s="22">
        <f t="shared" si="61"/>
        <v>657.8107869158938</v>
      </c>
      <c r="BH95" s="60">
        <f t="shared" si="62"/>
        <v>951.14412024922717</v>
      </c>
      <c r="BI95" s="60">
        <f ca="1">AVERAGE(OFFSET($BH$3,0,0,'Données projet'!$E$11+1,1))-AVERAGE(OFFSET($H$3,0,0,'Données projet'!$E$11+1,1))</f>
        <v>373.7520752235389</v>
      </c>
      <c r="BJ95" s="60">
        <f t="shared" si="92"/>
        <v>205.19966474305761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8.1410256410256405</v>
      </c>
      <c r="BY95" s="13">
        <f>IF('Données projet'!$A$114&gt;35,BY94+BX95-CG94,IF(A95&lt;'Données projet'!$A$114,$BV$205^A95,IF(A95='Données projet'!$A$114,'Données projet'!$B$114,BY94+BX95-CG94)))</f>
        <v>340.70512820512772</v>
      </c>
      <c r="BZ95" s="14">
        <f>BY95*VLOOKUP('Données projet'!$B$12,Paramètres!$A$1:$I$89,3,0)*VLOOKUP('Données projet'!$B$12,Paramètres!$A$1:$I$89,5,0)</f>
        <v>159.44999999999976</v>
      </c>
      <c r="CA95" s="14">
        <f t="shared" si="93"/>
        <v>40.718436521095953</v>
      </c>
      <c r="CB95" s="22">
        <f t="shared" si="64"/>
        <v>348.62669360757508</v>
      </c>
      <c r="CC95" s="60">
        <f t="shared" si="65"/>
        <v>641.96002694090839</v>
      </c>
      <c r="CD95" s="60">
        <f ca="1">AVERAGE(OFFSET($CC$3,0,0,'Données projet'!$E$12+1,1))-AVERAGE(OFFSET($H$3,0,0,'Données projet'!$E$12+1,1))</f>
        <v>141.31558705818316</v>
      </c>
      <c r="CE95" s="60">
        <f t="shared" si="94"/>
        <v>67.142010893211364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4.9000000000000004</v>
      </c>
      <c r="CT95" s="13">
        <f>IF('Données projet'!$A$140&gt;35,CT94+CS95-DB94,IF(A95&lt;'Données projet'!$A$140,$CQ$205^A95,IF(A95='Données projet'!$A$140,'Données projet'!$B$140,CT94+CS95-DB94)))</f>
        <v>263.8</v>
      </c>
      <c r="CU95" s="18">
        <f>CT95*VLOOKUP('Données projet'!$B$13,Paramètres!$A$1:$I$89,3,0)*VLOOKUP('Données projet'!$B$13,Paramètres!$A$1:$I$89,5,0)</f>
        <v>230.45568000000003</v>
      </c>
      <c r="CV95" s="14">
        <f t="shared" si="95"/>
        <v>56.381198848277926</v>
      </c>
      <c r="CW95" s="22">
        <f t="shared" si="67"/>
        <v>499.57423066075074</v>
      </c>
      <c r="CX95" s="60">
        <f t="shared" si="68"/>
        <v>792.90756399408406</v>
      </c>
      <c r="CY95" s="60">
        <f ca="1">AVERAGE(OFFSET($CX$3,0,0,'Données projet'!$E$13+1,1))-AVERAGE(OFFSET($H$3,0,0,'Données projet'!$E$13+1,1))</f>
        <v>281.8501448773884</v>
      </c>
      <c r="CZ95" s="60">
        <f t="shared" si="96"/>
        <v>161.7340631691518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4.9000000000000004</v>
      </c>
      <c r="DO95" s="13">
        <f>IF('Données projet'!$A$166&gt;35,DO94+DN95-DW94,IF(A95&lt;'Données projet'!$A$166,$DL$205^A95,IF(A95='Données projet'!$A$166,'Données projet'!$B$166,DO94+DN95-DW94)))</f>
        <v>263.8</v>
      </c>
      <c r="DP95" s="18">
        <f>DO95*VLOOKUP('Données projet'!$B$14,Paramètres!$A$1:$I$89,3,0)*VLOOKUP('Données projet'!$B$14,Paramètres!$A$1:$I$89,5,0)</f>
        <v>238.68624</v>
      </c>
      <c r="DQ95" s="14">
        <f t="shared" si="97"/>
        <v>58.156778382060871</v>
      </c>
      <c r="DR95" s="22">
        <f t="shared" si="70"/>
        <v>517.00159034875594</v>
      </c>
      <c r="DS95" s="60">
        <f t="shared" si="71"/>
        <v>810.33492368208931</v>
      </c>
      <c r="DT95" s="60">
        <f ca="1">AVERAGE(OFFSET($DS$3,0,0,'Données projet'!$E$14+1,1))-AVERAGE(OFFSET($H$3,0,0,'Données projet'!$E$14+1,1))</f>
        <v>295.19398489974265</v>
      </c>
      <c r="DU95" s="60">
        <f t="shared" si="98"/>
        <v>168.80998104712489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4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272.46180000000004</v>
      </c>
      <c r="P96" s="14">
        <f t="shared" si="87"/>
        <v>65.371449071921944</v>
      </c>
      <c r="Q96" s="22">
        <f t="shared" si="54"/>
        <v>588.39290880026408</v>
      </c>
      <c r="R96" s="60">
        <f t="shared" si="55"/>
        <v>881.72624213359745</v>
      </c>
      <c r="S96" s="60">
        <f ca="1">AVERAGE(OFFSET($R$3,0,0,'Données projet'!$E$9+1,1))-AVERAGE(OFFSET($H$3,0,0,'Données projet'!$E$9+1,1))</f>
        <v>341.82426415364569</v>
      </c>
      <c r="T96" s="60">
        <f t="shared" si="88"/>
        <v>193.53376539568887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-2.8421709430404007E-13</v>
      </c>
      <c r="AJ96" s="14">
        <f>AI96*VLOOKUP('Données projet'!$B$10,Paramètres!$A$1:$I$89,3,0)*VLOOKUP('Données projet'!$B$10,Paramètres!$A$1:$I$89,5,0)</f>
        <v>-1.69961822393816E-13</v>
      </c>
      <c r="AK96" s="14" t="e">
        <f t="shared" si="89"/>
        <v>#NUM!</v>
      </c>
      <c r="AL96" s="22" t="e">
        <f t="shared" si="58"/>
        <v>#NUM!</v>
      </c>
      <c r="AM96" s="60" t="e">
        <f t="shared" si="59"/>
        <v>#NUM!</v>
      </c>
      <c r="AN96" s="60">
        <f ca="1">AVERAGE(OFFSET($AM$3,0,0,'Données projet'!$E$10+1,1))-AVERAGE(OFFSET($H$3,0,0,'Données projet'!$E$10+1,1))</f>
        <v>189.8516574130017</v>
      </c>
      <c r="AO96" s="60">
        <f t="shared" si="90"/>
        <v>191.91100863555891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4.0811642263374823</v>
      </c>
      <c r="AV96" s="23">
        <f>EXP(-LN(2)/25)*AV95+(1-EXP(-LN(2)/25))/(LN(2)/25)*Calculateur!AQ96*Calculateur!AS96*VLOOKUP('Données projet'!$B$10,Paramètres!$A$1:$I$89,3,0)*0.475*44/12</f>
        <v>3.1479252654872001</v>
      </c>
      <c r="AW96" s="23">
        <f>EXP(-LN(2)/2)*AW95+(1-EXP(-LN(2)/2))/(LN(2)/2)*AQ96*AT96*VLOOKUP('Données projet'!$B$10,Paramètres!$A$1:$I$89,3,0)*0.475*44/12</f>
        <v>1.9900784112391343E-9</v>
      </c>
      <c r="AX96" s="23">
        <f t="shared" si="60"/>
        <v>7.2290894938147607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3.4615384615384643</v>
      </c>
      <c r="BD96" s="13">
        <f>IF('Données projet'!$A$88&gt;35,BD95+BC96-BL95,IF(A96&lt;'Données projet'!$A$88,$BA$205^A96,IF(A96='Données projet'!$A$88,'Données projet'!$B$88,BD95+BC96-BL95)))</f>
        <v>295.64102564102552</v>
      </c>
      <c r="BE96" s="14">
        <f>BD96*VLOOKUP('Données projet'!$B$11,Paramètres!$A$1:$I$89,3,0)*VLOOKUP('Données projet'!$B$11,Paramètres!$A$1:$I$89,5,0)</f>
        <v>309.00399999999991</v>
      </c>
      <c r="BF96" s="14">
        <f t="shared" si="91"/>
        <v>73.060786788354093</v>
      </c>
      <c r="BG96" s="22">
        <f t="shared" si="61"/>
        <v>665.42950365638319</v>
      </c>
      <c r="BH96" s="60">
        <f t="shared" si="62"/>
        <v>958.76283698971656</v>
      </c>
      <c r="BI96" s="60">
        <f ca="1">AVERAGE(OFFSET($BH$3,0,0,'Données projet'!$E$11+1,1))-AVERAGE(OFFSET($H$3,0,0,'Données projet'!$E$11+1,1))</f>
        <v>373.7520752235389</v>
      </c>
      <c r="BJ96" s="60">
        <f t="shared" si="92"/>
        <v>205.19966474305761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8.1410256410256405</v>
      </c>
      <c r="BY96" s="13">
        <f>IF('Données projet'!$A$114&gt;35,BY95+BX96-CG95,IF(A96&lt;'Données projet'!$A$114,$BV$205^A96,IF(A96='Données projet'!$A$114,'Données projet'!$B$114,BY95+BX96-CG95)))</f>
        <v>348.84615384615336</v>
      </c>
      <c r="BZ96" s="14">
        <f>BY96*VLOOKUP('Données projet'!$B$12,Paramètres!$A$1:$I$89,3,0)*VLOOKUP('Données projet'!$B$12,Paramètres!$A$1:$I$89,5,0)</f>
        <v>163.25999999999976</v>
      </c>
      <c r="CA96" s="14">
        <f t="shared" si="93"/>
        <v>41.576952107686338</v>
      </c>
      <c r="CB96" s="22">
        <f t="shared" si="64"/>
        <v>356.75769158755321</v>
      </c>
      <c r="CC96" s="60">
        <f t="shared" si="65"/>
        <v>650.09102492088653</v>
      </c>
      <c r="CD96" s="60">
        <f ca="1">AVERAGE(OFFSET($CC$3,0,0,'Données projet'!$E$12+1,1))-AVERAGE(OFFSET($H$3,0,0,'Données projet'!$E$12+1,1))</f>
        <v>141.31558705818316</v>
      </c>
      <c r="CE96" s="60">
        <f t="shared" si="94"/>
        <v>67.142010893211364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4.9000000000000004</v>
      </c>
      <c r="CT96" s="13">
        <f>IF('Données projet'!$A$140&gt;35,CT95+CS96-DB95,IF(A96&lt;'Données projet'!$A$140,$CQ$205^A96,IF(A96='Données projet'!$A$140,'Données projet'!$B$140,CT95+CS96-DB95)))</f>
        <v>268.7</v>
      </c>
      <c r="CU96" s="18">
        <f>CT96*VLOOKUP('Données projet'!$B$13,Paramètres!$A$1:$I$89,3,0)*VLOOKUP('Données projet'!$B$13,Paramètres!$A$1:$I$89,5,0)</f>
        <v>234.73632000000003</v>
      </c>
      <c r="CV96" s="14">
        <f t="shared" si="95"/>
        <v>57.305566572497028</v>
      </c>
      <c r="CW96" s="22">
        <f t="shared" si="67"/>
        <v>508.63961911376572</v>
      </c>
      <c r="CX96" s="60">
        <f t="shared" si="68"/>
        <v>801.97295244709903</v>
      </c>
      <c r="CY96" s="60">
        <f ca="1">AVERAGE(OFFSET($CX$3,0,0,'Données projet'!$E$13+1,1))-AVERAGE(OFFSET($H$3,0,0,'Données projet'!$E$13+1,1))</f>
        <v>281.8501448773884</v>
      </c>
      <c r="CZ96" s="60">
        <f t="shared" si="96"/>
        <v>161.7340631691518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4.9000000000000004</v>
      </c>
      <c r="DO96" s="13">
        <f>IF('Données projet'!$A$166&gt;35,DO95+DN96-DW95,IF(A96&lt;'Données projet'!$A$166,$DL$205^A96,IF(A96='Données projet'!$A$166,'Données projet'!$B$166,DO95+DN96-DW95)))</f>
        <v>268.7</v>
      </c>
      <c r="DP96" s="18">
        <f>DO96*VLOOKUP('Données projet'!$B$14,Paramètres!$A$1:$I$89,3,0)*VLOOKUP('Données projet'!$B$14,Paramètres!$A$1:$I$89,5,0)</f>
        <v>243.11975999999996</v>
      </c>
      <c r="DQ96" s="14">
        <f t="shared" si="97"/>
        <v>59.110256668778533</v>
      </c>
      <c r="DR96" s="22">
        <f t="shared" si="70"/>
        <v>526.3839456981226</v>
      </c>
      <c r="DS96" s="60">
        <f t="shared" si="71"/>
        <v>819.71727903145597</v>
      </c>
      <c r="DT96" s="60">
        <f ca="1">AVERAGE(OFFSET($DS$3,0,0,'Données projet'!$E$14+1,1))-AVERAGE(OFFSET($H$3,0,0,'Données projet'!$E$14+1,1))</f>
        <v>295.19398489974265</v>
      </c>
      <c r="DU96" s="60">
        <f t="shared" si="98"/>
        <v>168.80998104712489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4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277.43039999999996</v>
      </c>
      <c r="P97" s="14">
        <f t="shared" si="87"/>
        <v>66.423687500715673</v>
      </c>
      <c r="Q97" s="22">
        <f t="shared" si="54"/>
        <v>598.87920239707967</v>
      </c>
      <c r="R97" s="60">
        <f t="shared" si="55"/>
        <v>892.21253573041304</v>
      </c>
      <c r="S97" s="60">
        <f ca="1">AVERAGE(OFFSET($R$3,0,0,'Données projet'!$E$9+1,1))-AVERAGE(OFFSET($H$3,0,0,'Données projet'!$E$9+1,1))</f>
        <v>341.82426415364569</v>
      </c>
      <c r="T97" s="60">
        <f t="shared" si="88"/>
        <v>193.53376539568887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-2.8421709430404007E-13</v>
      </c>
      <c r="AJ97" s="14">
        <f>AI97*VLOOKUP('Données projet'!$B$10,Paramètres!$A$1:$I$89,3,0)*VLOOKUP('Données projet'!$B$10,Paramètres!$A$1:$I$89,5,0)</f>
        <v>-1.69961822393816E-13</v>
      </c>
      <c r="AK97" s="14" t="e">
        <f t="shared" si="89"/>
        <v>#NUM!</v>
      </c>
      <c r="AL97" s="22" t="e">
        <f t="shared" si="58"/>
        <v>#NUM!</v>
      </c>
      <c r="AM97" s="60" t="e">
        <f t="shared" si="59"/>
        <v>#NUM!</v>
      </c>
      <c r="AN97" s="60">
        <f ca="1">AVERAGE(OFFSET($AM$3,0,0,'Données projet'!$E$10+1,1))-AVERAGE(OFFSET($H$3,0,0,'Données projet'!$E$10+1,1))</f>
        <v>189.8516574130017</v>
      </c>
      <c r="AO97" s="60">
        <f t="shared" si="90"/>
        <v>191.91100863555891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4.001135085123388</v>
      </c>
      <c r="AV97" s="23">
        <f>EXP(-LN(2)/25)*AV96+(1-EXP(-LN(2)/25))/(LN(2)/25)*Calculateur!AQ97*Calculateur!AS97*VLOOKUP('Données projet'!$B$10,Paramètres!$A$1:$I$89,3,0)*0.475*44/12</f>
        <v>3.0618450835602578</v>
      </c>
      <c r="AW97" s="23">
        <f>EXP(-LN(2)/2)*AW96+(1-EXP(-LN(2)/2))/(LN(2)/2)*AQ97*AT97*VLOOKUP('Données projet'!$B$10,Paramètres!$A$1:$I$89,3,0)*0.475*44/12</f>
        <v>1.4071979396801427E-9</v>
      </c>
      <c r="AX97" s="23">
        <f t="shared" si="60"/>
        <v>7.0629801700908441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3.4615384615384643</v>
      </c>
      <c r="BD97" s="13">
        <f>IF('Données projet'!$A$88&gt;35,BD96+BC97-BL96,IF(A97&lt;'Données projet'!$A$88,$BA$205^A97,IF(A97='Données projet'!$A$88,'Données projet'!$B$88,BD96+BC97-BL96)))</f>
        <v>299.10256410256397</v>
      </c>
      <c r="BE97" s="14">
        <f>BD97*VLOOKUP('Données projet'!$B$11,Paramètres!$A$1:$I$89,3,0)*VLOOKUP('Données projet'!$B$11,Paramètres!$A$1:$I$89,5,0)</f>
        <v>312.6219999999999</v>
      </c>
      <c r="BF97" s="14">
        <f t="shared" si="91"/>
        <v>73.816139424522504</v>
      </c>
      <c r="BG97" s="22">
        <f t="shared" si="61"/>
        <v>673.0464261643765</v>
      </c>
      <c r="BH97" s="60">
        <f t="shared" si="62"/>
        <v>966.37975949770976</v>
      </c>
      <c r="BI97" s="60">
        <f ca="1">AVERAGE(OFFSET($BH$3,0,0,'Données projet'!$E$11+1,1))-AVERAGE(OFFSET($H$3,0,0,'Données projet'!$E$11+1,1))</f>
        <v>373.7520752235389</v>
      </c>
      <c r="BJ97" s="60">
        <f t="shared" si="92"/>
        <v>205.19966474305761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8.1410256410256405</v>
      </c>
      <c r="BY97" s="13">
        <f>IF('Données projet'!$A$114&gt;35,BY96+BX97-CG96,IF(A97&lt;'Données projet'!$A$114,$BV$205^A97,IF(A97='Données projet'!$A$114,'Données projet'!$B$114,BY96+BX97-CG96)))</f>
        <v>356.98717948717899</v>
      </c>
      <c r="BZ97" s="14">
        <f>BY97*VLOOKUP('Données projet'!$B$12,Paramètres!$A$1:$I$89,3,0)*VLOOKUP('Données projet'!$B$12,Paramètres!$A$1:$I$89,5,0)</f>
        <v>167.06999999999977</v>
      </c>
      <c r="CA97" s="14">
        <f t="shared" si="93"/>
        <v>42.433138539856941</v>
      </c>
      <c r="CB97" s="22">
        <f t="shared" si="64"/>
        <v>364.88463295691707</v>
      </c>
      <c r="CC97" s="60">
        <f t="shared" si="65"/>
        <v>658.21796629025039</v>
      </c>
      <c r="CD97" s="60">
        <f ca="1">AVERAGE(OFFSET($CC$3,0,0,'Données projet'!$E$12+1,1))-AVERAGE(OFFSET($H$3,0,0,'Données projet'!$E$12+1,1))</f>
        <v>141.31558705818316</v>
      </c>
      <c r="CE97" s="60">
        <f t="shared" si="94"/>
        <v>67.142010893211364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4.9000000000000004</v>
      </c>
      <c r="CT97" s="13">
        <f>IF('Données projet'!$A$140&gt;35,CT96+CS97-DB96,IF(A97&lt;'Données projet'!$A$140,$CQ$205^A97,IF(A97='Données projet'!$A$140,'Données projet'!$B$140,CT96+CS97-DB96)))</f>
        <v>273.59999999999997</v>
      </c>
      <c r="CU97" s="18">
        <f>CT97*VLOOKUP('Données projet'!$B$13,Paramètres!$A$1:$I$89,3,0)*VLOOKUP('Données projet'!$B$13,Paramètres!$A$1:$I$89,5,0)</f>
        <v>239.01696000000001</v>
      </c>
      <c r="CV97" s="14">
        <f t="shared" si="95"/>
        <v>58.22797414013467</v>
      </c>
      <c r="CW97" s="22">
        <f t="shared" si="67"/>
        <v>517.70159362740117</v>
      </c>
      <c r="CX97" s="60">
        <f t="shared" si="68"/>
        <v>811.03492696073454</v>
      </c>
      <c r="CY97" s="60">
        <f ca="1">AVERAGE(OFFSET($CX$3,0,0,'Données projet'!$E$13+1,1))-AVERAGE(OFFSET($H$3,0,0,'Données projet'!$E$13+1,1))</f>
        <v>281.8501448773884</v>
      </c>
      <c r="CZ97" s="60">
        <f t="shared" si="96"/>
        <v>161.7340631691518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4.9000000000000004</v>
      </c>
      <c r="DO97" s="13">
        <f>IF('Données projet'!$A$166&gt;35,DO96+DN97-DW96,IF(A97&lt;'Données projet'!$A$166,$DL$205^A97,IF(A97='Données projet'!$A$166,'Données projet'!$B$166,DO96+DN97-DW96)))</f>
        <v>273.59999999999997</v>
      </c>
      <c r="DP97" s="18">
        <f>DO97*VLOOKUP('Données projet'!$B$14,Paramètres!$A$1:$I$89,3,0)*VLOOKUP('Données projet'!$B$14,Paramètres!$A$1:$I$89,5,0)</f>
        <v>247.55327999999994</v>
      </c>
      <c r="DQ97" s="14">
        <f t="shared" si="97"/>
        <v>60.061713068870255</v>
      </c>
      <c r="DR97" s="22">
        <f t="shared" si="70"/>
        <v>535.76277959494894</v>
      </c>
      <c r="DS97" s="60">
        <f t="shared" si="71"/>
        <v>829.09611292828231</v>
      </c>
      <c r="DT97" s="60">
        <f ca="1">AVERAGE(OFFSET($DS$3,0,0,'Données projet'!$E$14+1,1))-AVERAGE(OFFSET($H$3,0,0,'Données projet'!$E$14+1,1))</f>
        <v>295.19398489974265</v>
      </c>
      <c r="DU97" s="60">
        <f t="shared" si="98"/>
        <v>168.80998104712489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4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282.399</v>
      </c>
      <c r="P98" s="14">
        <f t="shared" si="87"/>
        <v>67.473734542548371</v>
      </c>
      <c r="Q98" s="22">
        <f t="shared" si="54"/>
        <v>609.36167932827175</v>
      </c>
      <c r="R98" s="60">
        <f t="shared" si="55"/>
        <v>902.69501266160501</v>
      </c>
      <c r="S98" s="60">
        <f ca="1">AVERAGE(OFFSET($R$3,0,0,'Données projet'!$E$9+1,1))-AVERAGE(OFFSET($H$3,0,0,'Données projet'!$E$9+1,1))</f>
        <v>341.82426415364569</v>
      </c>
      <c r="T98" s="60">
        <f t="shared" si="88"/>
        <v>193.53376539568887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-2.8421709430404007E-13</v>
      </c>
      <c r="AJ98" s="14">
        <f>AI98*VLOOKUP('Données projet'!$B$10,Paramètres!$A$1:$I$89,3,0)*VLOOKUP('Données projet'!$B$10,Paramètres!$A$1:$I$89,5,0)</f>
        <v>-1.69961822393816E-13</v>
      </c>
      <c r="AK98" s="14" t="e">
        <f t="shared" si="89"/>
        <v>#NUM!</v>
      </c>
      <c r="AL98" s="22" t="e">
        <f t="shared" si="58"/>
        <v>#NUM!</v>
      </c>
      <c r="AM98" s="60" t="e">
        <f t="shared" si="59"/>
        <v>#NUM!</v>
      </c>
      <c r="AN98" s="60">
        <f ca="1">AVERAGE(OFFSET($AM$3,0,0,'Données projet'!$E$10+1,1))-AVERAGE(OFFSET($H$3,0,0,'Données projet'!$E$10+1,1))</f>
        <v>189.8516574130017</v>
      </c>
      <c r="AO98" s="60">
        <f t="shared" si="90"/>
        <v>191.91100863555891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3.9226752665555455</v>
      </c>
      <c r="AV98" s="23">
        <f>EXP(-LN(2)/25)*AV97+(1-EXP(-LN(2)/25))/(LN(2)/25)*Calculateur!AQ98*Calculateur!AS98*VLOOKUP('Données projet'!$B$10,Paramètres!$A$1:$I$89,3,0)*0.475*44/12</f>
        <v>2.9781187687348676</v>
      </c>
      <c r="AW98" s="23">
        <f>EXP(-LN(2)/2)*AW97+(1-EXP(-LN(2)/2))/(LN(2)/2)*AQ98*AT98*VLOOKUP('Données projet'!$B$10,Paramètres!$A$1:$I$89,3,0)*0.475*44/12</f>
        <v>9.9503920561956715E-10</v>
      </c>
      <c r="AX98" s="23">
        <f t="shared" si="60"/>
        <v>6.9007940362854532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3.4615384615384643</v>
      </c>
      <c r="BD98" s="13">
        <f>IF('Données projet'!$A$88&gt;35,BD97+BC98-BL97,IF(A98&lt;'Données projet'!$A$88,$BA$205^A98,IF(A98='Données projet'!$A$88,'Données projet'!$B$88,BD97+BC98-BL97)))</f>
        <v>302.56410256410243</v>
      </c>
      <c r="BE98" s="14">
        <f>BD98*VLOOKUP('Données projet'!$B$11,Paramètres!$A$1:$I$89,3,0)*VLOOKUP('Données projet'!$B$11,Paramètres!$A$1:$I$89,5,0)</f>
        <v>316.2399999999999</v>
      </c>
      <c r="BF98" s="14">
        <f t="shared" si="91"/>
        <v>74.570475181126611</v>
      </c>
      <c r="BG98" s="22">
        <f t="shared" si="61"/>
        <v>680.66157760712861</v>
      </c>
      <c r="BH98" s="60">
        <f t="shared" si="62"/>
        <v>973.99491094046198</v>
      </c>
      <c r="BI98" s="60">
        <f ca="1">AVERAGE(OFFSET($BH$3,0,0,'Données projet'!$E$11+1,1))-AVERAGE(OFFSET($H$3,0,0,'Données projet'!$E$11+1,1))</f>
        <v>373.7520752235389</v>
      </c>
      <c r="BJ98" s="60">
        <f t="shared" si="92"/>
        <v>205.19966474305761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8.1410256410256405</v>
      </c>
      <c r="BY98" s="13">
        <f>IF('Données projet'!$A$114&gt;35,BY97+BX98-CG97,IF(A98&lt;'Données projet'!$A$114,$BV$205^A98,IF(A98='Données projet'!$A$114,'Données projet'!$B$114,BY97+BX98-CG97)))</f>
        <v>365.12820512820463</v>
      </c>
      <c r="BZ98" s="14">
        <f>BY98*VLOOKUP('Données projet'!$B$12,Paramètres!$A$1:$I$89,3,0)*VLOOKUP('Données projet'!$B$12,Paramètres!$A$1:$I$89,5,0)</f>
        <v>170.87999999999977</v>
      </c>
      <c r="CA98" s="14">
        <f t="shared" si="93"/>
        <v>43.287055047972629</v>
      </c>
      <c r="CB98" s="22">
        <f t="shared" si="64"/>
        <v>373.00762087521849</v>
      </c>
      <c r="CC98" s="60">
        <f t="shared" si="65"/>
        <v>666.34095420855181</v>
      </c>
      <c r="CD98" s="60">
        <f ca="1">AVERAGE(OFFSET($CC$3,0,0,'Données projet'!$E$12+1,1))-AVERAGE(OFFSET($H$3,0,0,'Données projet'!$E$12+1,1))</f>
        <v>141.31558705818316</v>
      </c>
      <c r="CE98" s="60">
        <f t="shared" si="94"/>
        <v>67.142010893211364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4.9000000000000004</v>
      </c>
      <c r="CT98" s="13">
        <f>IF('Données projet'!$A$140&gt;35,CT97+CS98-DB97,IF(A98&lt;'Données projet'!$A$140,$CQ$205^A98,IF(A98='Données projet'!$A$140,'Données projet'!$B$140,CT97+CS98-DB97)))</f>
        <v>278.49999999999994</v>
      </c>
      <c r="CU98" s="18">
        <f>CT98*VLOOKUP('Données projet'!$B$13,Paramètres!$A$1:$I$89,3,0)*VLOOKUP('Données projet'!$B$13,Paramètres!$A$1:$I$89,5,0)</f>
        <v>243.29759999999999</v>
      </c>
      <c r="CV98" s="14">
        <f t="shared" si="95"/>
        <v>59.148460705971544</v>
      </c>
      <c r="CW98" s="22">
        <f t="shared" si="67"/>
        <v>526.76022239623364</v>
      </c>
      <c r="CX98" s="60">
        <f t="shared" si="68"/>
        <v>820.09355572956702</v>
      </c>
      <c r="CY98" s="60">
        <f ca="1">AVERAGE(OFFSET($CX$3,0,0,'Données projet'!$E$13+1,1))-AVERAGE(OFFSET($H$3,0,0,'Données projet'!$E$13+1,1))</f>
        <v>281.8501448773884</v>
      </c>
      <c r="CZ98" s="60">
        <f t="shared" si="96"/>
        <v>161.7340631691518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4.9000000000000004</v>
      </c>
      <c r="DO98" s="13">
        <f>IF('Données projet'!$A$166&gt;35,DO97+DN98-DW97,IF(A98&lt;'Données projet'!$A$166,$DL$205^A98,IF(A98='Données projet'!$A$166,'Données projet'!$B$166,DO97+DN98-DW97)))</f>
        <v>278.49999999999994</v>
      </c>
      <c r="DP98" s="18">
        <f>DO98*VLOOKUP('Données projet'!$B$14,Paramètres!$A$1:$I$89,3,0)*VLOOKUP('Données projet'!$B$14,Paramètres!$A$1:$I$89,5,0)</f>
        <v>251.98679999999993</v>
      </c>
      <c r="DQ98" s="14">
        <f t="shared" si="97"/>
        <v>61.011187970195053</v>
      </c>
      <c r="DR98" s="22">
        <f t="shared" si="70"/>
        <v>545.13816238142283</v>
      </c>
      <c r="DS98" s="60">
        <f t="shared" si="71"/>
        <v>838.4714957147562</v>
      </c>
      <c r="DT98" s="60">
        <f ca="1">AVERAGE(OFFSET($DS$3,0,0,'Données projet'!$E$14+1,1))-AVERAGE(OFFSET($H$3,0,0,'Données projet'!$E$14+1,1))</f>
        <v>295.19398489974265</v>
      </c>
      <c r="DU98" s="60">
        <f t="shared" si="98"/>
        <v>168.80998104712489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4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287.36759999999992</v>
      </c>
      <c r="P99" s="14">
        <f t="shared" si="87"/>
        <v>68.521633201565123</v>
      </c>
      <c r="Q99" s="22">
        <f t="shared" ref="Q99:Q130" si="107">(O99+P99)*0.475*44/12</f>
        <v>619.84041449272581</v>
      </c>
      <c r="R99" s="60">
        <f t="shared" si="55"/>
        <v>913.17374782605907</v>
      </c>
      <c r="S99" s="60">
        <f ca="1">AVERAGE(OFFSET($R$3,0,0,'Données projet'!$E$9+1,1))-AVERAGE(OFFSET($H$3,0,0,'Données projet'!$E$9+1,1))</f>
        <v>341.82426415364569</v>
      </c>
      <c r="T99" s="60">
        <f t="shared" si="88"/>
        <v>193.53376539568887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-2.8421709430404007E-13</v>
      </c>
      <c r="AJ99" s="14">
        <f>AI99*VLOOKUP('Données projet'!$B$10,Paramètres!$A$1:$I$89,3,0)*VLOOKUP('Données projet'!$B$10,Paramètres!$A$1:$I$89,5,0)</f>
        <v>-1.69961822393816E-13</v>
      </c>
      <c r="AK99" s="14" t="e">
        <f t="shared" si="89"/>
        <v>#NUM!</v>
      </c>
      <c r="AL99" s="22" t="e">
        <f t="shared" si="58"/>
        <v>#NUM!</v>
      </c>
      <c r="AM99" s="60" t="e">
        <f t="shared" si="59"/>
        <v>#NUM!</v>
      </c>
      <c r="AN99" s="60">
        <f ca="1">AVERAGE(OFFSET($AM$3,0,0,'Données projet'!$E$10+1,1))-AVERAGE(OFFSET($H$3,0,0,'Données projet'!$E$10+1,1))</f>
        <v>189.8516574130017</v>
      </c>
      <c r="AO99" s="60">
        <f t="shared" si="90"/>
        <v>191.91100863555891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3.8457539971740546</v>
      </c>
      <c r="AV99" s="23">
        <f>EXP(-LN(2)/25)*AV98+(1-EXP(-LN(2)/25))/(LN(2)/25)*Calculateur!AQ99*Calculateur!AS99*VLOOKUP('Données projet'!$B$10,Paramètres!$A$1:$I$89,3,0)*0.475*44/12</f>
        <v>2.8966819543913531</v>
      </c>
      <c r="AW99" s="23">
        <f>EXP(-LN(2)/2)*AW98+(1-EXP(-LN(2)/2))/(LN(2)/2)*AQ99*AT99*VLOOKUP('Données projet'!$B$10,Paramètres!$A$1:$I$89,3,0)*0.475*44/12</f>
        <v>7.0359896984007134E-10</v>
      </c>
      <c r="AX99" s="23">
        <f t="shared" si="60"/>
        <v>6.7424359522690072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3.4615384615384643</v>
      </c>
      <c r="BD99" s="13">
        <f>IF('Données projet'!$A$88&gt;35,BD98+BC99-BL98,IF(A99&lt;'Données projet'!$A$88,$BA$205^A99,IF(A99='Données projet'!$A$88,'Données projet'!$B$88,BD98+BC99-BL98)))</f>
        <v>306.02564102564088</v>
      </c>
      <c r="BE99" s="14">
        <f>BD99*VLOOKUP('Données projet'!$B$11,Paramètres!$A$1:$I$89,3,0)*VLOOKUP('Données projet'!$B$11,Paramètres!$A$1:$I$89,5,0)</f>
        <v>319.85799999999989</v>
      </c>
      <c r="BF99" s="14">
        <f t="shared" si="91"/>
        <v>75.323807038056458</v>
      </c>
      <c r="BG99" s="22">
        <f t="shared" si="61"/>
        <v>688.27498059128141</v>
      </c>
      <c r="BH99" s="60">
        <f t="shared" si="62"/>
        <v>981.60831392461478</v>
      </c>
      <c r="BI99" s="60">
        <f ca="1">AVERAGE(OFFSET($BH$3,0,0,'Données projet'!$E$11+1,1))-AVERAGE(OFFSET($H$3,0,0,'Données projet'!$E$11+1,1))</f>
        <v>373.7520752235389</v>
      </c>
      <c r="BJ99" s="60">
        <f t="shared" si="92"/>
        <v>205.19966474305761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8.1410256410256405</v>
      </c>
      <c r="BY99" s="13">
        <f>IF('Données projet'!$A$114&gt;35,BY98+BX99-CG98,IF(A99&lt;'Données projet'!$A$114,$BV$205^A99,IF(A99='Données projet'!$A$114,'Données projet'!$B$114,BY98+BX99-CG98)))</f>
        <v>373.26923076923026</v>
      </c>
      <c r="BZ99" s="14">
        <f>BY99*VLOOKUP('Données projet'!$B$12,Paramètres!$A$1:$I$89,3,0)*VLOOKUP('Données projet'!$B$12,Paramètres!$A$1:$I$89,5,0)</f>
        <v>174.68999999999974</v>
      </c>
      <c r="CA99" s="14">
        <f t="shared" si="93"/>
        <v>44.138758070364624</v>
      </c>
      <c r="CB99" s="22">
        <f t="shared" si="64"/>
        <v>381.1267536392179</v>
      </c>
      <c r="CC99" s="60">
        <f t="shared" si="65"/>
        <v>674.46008697255115</v>
      </c>
      <c r="CD99" s="60">
        <f ca="1">AVERAGE(OFFSET($CC$3,0,0,'Données projet'!$E$12+1,1))-AVERAGE(OFFSET($H$3,0,0,'Données projet'!$E$12+1,1))</f>
        <v>141.31558705818316</v>
      </c>
      <c r="CE99" s="60">
        <f t="shared" si="94"/>
        <v>67.142010893211364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4.9000000000000004</v>
      </c>
      <c r="CT99" s="13">
        <f>IF('Données projet'!$A$140&gt;35,CT98+CS99-DB98,IF(A99&lt;'Données projet'!$A$140,$CQ$205^A99,IF(A99='Données projet'!$A$140,'Données projet'!$B$140,CT98+CS99-DB98)))</f>
        <v>283.39999999999992</v>
      </c>
      <c r="CU99" s="18">
        <f>CT99*VLOOKUP('Données projet'!$B$13,Paramètres!$A$1:$I$89,3,0)*VLOOKUP('Données projet'!$B$13,Paramètres!$A$1:$I$89,5,0)</f>
        <v>247.57823999999997</v>
      </c>
      <c r="CV99" s="14">
        <f t="shared" si="95"/>
        <v>60.067063968069192</v>
      </c>
      <c r="CW99" s="22">
        <f t="shared" si="67"/>
        <v>535.81557107772039</v>
      </c>
      <c r="CX99" s="60">
        <f t="shared" si="68"/>
        <v>829.14890441105376</v>
      </c>
      <c r="CY99" s="60">
        <f ca="1">AVERAGE(OFFSET($CX$3,0,0,'Données projet'!$E$13+1,1))-AVERAGE(OFFSET($H$3,0,0,'Données projet'!$E$13+1,1))</f>
        <v>281.8501448773884</v>
      </c>
      <c r="CZ99" s="60">
        <f t="shared" si="96"/>
        <v>161.7340631691518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4.9000000000000004</v>
      </c>
      <c r="DO99" s="13">
        <f>IF('Données projet'!$A$166&gt;35,DO98+DN99-DW98,IF(A99&lt;'Données projet'!$A$166,$DL$205^A99,IF(A99='Données projet'!$A$166,'Données projet'!$B$166,DO98+DN99-DW98)))</f>
        <v>283.39999999999992</v>
      </c>
      <c r="DP99" s="18">
        <f>DO99*VLOOKUP('Données projet'!$B$14,Paramètres!$A$1:$I$89,3,0)*VLOOKUP('Données projet'!$B$14,Paramètres!$A$1:$I$89,5,0)</f>
        <v>256.42031999999989</v>
      </c>
      <c r="DQ99" s="14">
        <f t="shared" si="97"/>
        <v>61.958720258016918</v>
      </c>
      <c r="DR99" s="22">
        <f t="shared" si="70"/>
        <v>554.51016178271254</v>
      </c>
      <c r="DS99" s="60">
        <f t="shared" si="71"/>
        <v>847.84349511604591</v>
      </c>
      <c r="DT99" s="60">
        <f ca="1">AVERAGE(OFFSET($DS$3,0,0,'Données projet'!$E$14+1,1))-AVERAGE(OFFSET($H$3,0,0,'Données projet'!$E$14+1,1))</f>
        <v>295.19398489974265</v>
      </c>
      <c r="DU99" s="60">
        <f t="shared" si="98"/>
        <v>168.80998104712489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4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292.33619999999996</v>
      </c>
      <c r="P100" s="14">
        <f t="shared" si="87"/>
        <v>69.56742490962327</v>
      </c>
      <c r="Q100" s="22">
        <f t="shared" si="107"/>
        <v>630.31548005092702</v>
      </c>
      <c r="R100" s="60">
        <f t="shared" si="55"/>
        <v>923.64881338426039</v>
      </c>
      <c r="S100" s="60">
        <f ca="1">AVERAGE(OFFSET($R$3,0,0,'Données projet'!$E$9+1,1))-AVERAGE(OFFSET($H$3,0,0,'Données projet'!$E$9+1,1))</f>
        <v>341.82426415364569</v>
      </c>
      <c r="T100" s="60">
        <f t="shared" si="88"/>
        <v>193.53376539568887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-2.8421709430404007E-13</v>
      </c>
      <c r="AJ100" s="14">
        <f>AI100*VLOOKUP('Données projet'!$B$10,Paramètres!$A$1:$I$89,3,0)*VLOOKUP('Données projet'!$B$10,Paramètres!$A$1:$I$89,5,0)</f>
        <v>-1.69961822393816E-13</v>
      </c>
      <c r="AK100" s="14" t="e">
        <f t="shared" si="89"/>
        <v>#NUM!</v>
      </c>
      <c r="AL100" s="22" t="e">
        <f t="shared" si="58"/>
        <v>#NUM!</v>
      </c>
      <c r="AM100" s="60" t="e">
        <f t="shared" si="59"/>
        <v>#NUM!</v>
      </c>
      <c r="AN100" s="60">
        <f ca="1">AVERAGE(OFFSET($AM$3,0,0,'Données projet'!$E$10+1,1))-AVERAGE(OFFSET($H$3,0,0,'Données projet'!$E$10+1,1))</f>
        <v>189.8516574130017</v>
      </c>
      <c r="AO100" s="60">
        <f t="shared" si="90"/>
        <v>191.91100863555891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3.770341106967793</v>
      </c>
      <c r="AV100" s="23">
        <f>EXP(-LN(2)/25)*AV99+(1-EXP(-LN(2)/25))/(LN(2)/25)*Calculateur!AQ100*Calculateur!AS100*VLOOKUP('Données projet'!$B$10,Paramètres!$A$1:$I$89,3,0)*0.475*44/12</f>
        <v>2.8174720340186381</v>
      </c>
      <c r="AW100" s="23">
        <f>EXP(-LN(2)/2)*AW99+(1-EXP(-LN(2)/2))/(LN(2)/2)*AQ100*AT100*VLOOKUP('Données projet'!$B$10,Paramètres!$A$1:$I$89,3,0)*0.475*44/12</f>
        <v>4.9751960280978358E-10</v>
      </c>
      <c r="AX100" s="23">
        <f t="shared" si="60"/>
        <v>6.5878131414839505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3.4615384615384643</v>
      </c>
      <c r="BD100" s="13">
        <f>IF('Données projet'!$A$88&gt;35,BD99+BC100-BL99,IF(A100&lt;'Données projet'!$A$88,$BA$205^A100,IF(A100='Données projet'!$A$88,'Données projet'!$B$88,BD99+BC100-BL99)))</f>
        <v>309.48717948717933</v>
      </c>
      <c r="BE100" s="14">
        <f>BD100*VLOOKUP('Données projet'!$B$11,Paramètres!$A$1:$I$89,3,0)*VLOOKUP('Données projet'!$B$11,Paramètres!$A$1:$I$89,5,0)</f>
        <v>323.47599999999983</v>
      </c>
      <c r="BF100" s="14">
        <f t="shared" si="91"/>
        <v>76.07614766465899</v>
      </c>
      <c r="BG100" s="22">
        <f t="shared" si="61"/>
        <v>695.88665718261416</v>
      </c>
      <c r="BH100" s="60">
        <f t="shared" si="62"/>
        <v>989.21999051594753</v>
      </c>
      <c r="BI100" s="60">
        <f ca="1">AVERAGE(OFFSET($BH$3,0,0,'Données projet'!$E$11+1,1))-AVERAGE(OFFSET($H$3,0,0,'Données projet'!$E$11+1,1))</f>
        <v>373.7520752235389</v>
      </c>
      <c r="BJ100" s="60">
        <f t="shared" si="92"/>
        <v>205.19966474305761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8.1410256410256405</v>
      </c>
      <c r="BY100" s="13">
        <f>IF('Données projet'!$A$114&gt;35,BY99+BX100-CG99,IF(A100&lt;'Données projet'!$A$114,$BV$205^A100,IF(A100='Données projet'!$A$114,'Données projet'!$B$114,BY99+BX100-CG99)))</f>
        <v>381.4102564102559</v>
      </c>
      <c r="BZ100" s="14">
        <f>BY100*VLOOKUP('Données projet'!$B$12,Paramètres!$A$1:$I$89,3,0)*VLOOKUP('Données projet'!$B$12,Paramètres!$A$1:$I$89,5,0)</f>
        <v>178.49999999999977</v>
      </c>
      <c r="CA100" s="14">
        <f t="shared" si="93"/>
        <v>44.988301442921504</v>
      </c>
      <c r="CB100" s="22">
        <f t="shared" si="64"/>
        <v>389.24212501308784</v>
      </c>
      <c r="CC100" s="60">
        <f t="shared" si="65"/>
        <v>682.5754583464211</v>
      </c>
      <c r="CD100" s="60">
        <f ca="1">AVERAGE(OFFSET($CC$3,0,0,'Données projet'!$E$12+1,1))-AVERAGE(OFFSET($H$3,0,0,'Données projet'!$E$12+1,1))</f>
        <v>141.31558705818316</v>
      </c>
      <c r="CE100" s="60">
        <f t="shared" si="94"/>
        <v>67.142010893211364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4.9000000000000004</v>
      </c>
      <c r="CT100" s="13">
        <f>IF('Données projet'!$A$140&gt;35,CT99+CS100-DB99,IF(A100&lt;'Données projet'!$A$140,$CQ$205^A100,IF(A100='Données projet'!$A$140,'Données projet'!$B$140,CT99+CS100-DB99)))</f>
        <v>288.2999999999999</v>
      </c>
      <c r="CU100" s="18">
        <f>CT100*VLOOKUP('Données projet'!$B$13,Paramètres!$A$1:$I$89,3,0)*VLOOKUP('Données projet'!$B$13,Paramètres!$A$1:$I$89,5,0)</f>
        <v>251.85887999999994</v>
      </c>
      <c r="CV100" s="14">
        <f t="shared" si="95"/>
        <v>60.983820246198448</v>
      </c>
      <c r="CW100" s="22">
        <f t="shared" si="67"/>
        <v>544.86770292879544</v>
      </c>
      <c r="CX100" s="60">
        <f t="shared" si="68"/>
        <v>838.20103626212881</v>
      </c>
      <c r="CY100" s="60">
        <f ca="1">AVERAGE(OFFSET($CX$3,0,0,'Données projet'!$E$13+1,1))-AVERAGE(OFFSET($H$3,0,0,'Données projet'!$E$13+1,1))</f>
        <v>281.8501448773884</v>
      </c>
      <c r="CZ100" s="60">
        <f t="shared" si="96"/>
        <v>161.7340631691518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4.9000000000000004</v>
      </c>
      <c r="DO100" s="13">
        <f>IF('Données projet'!$A$166&gt;35,DO99+DN100-DW99,IF(A100&lt;'Données projet'!$A$166,$DL$205^A100,IF(A100='Données projet'!$A$166,'Données projet'!$B$166,DO99+DN100-DW99)))</f>
        <v>288.2999999999999</v>
      </c>
      <c r="DP100" s="18">
        <f>DO100*VLOOKUP('Données projet'!$B$14,Paramètres!$A$1:$I$89,3,0)*VLOOKUP('Données projet'!$B$14,Paramètres!$A$1:$I$89,5,0)</f>
        <v>260.85383999999993</v>
      </c>
      <c r="DQ100" s="14">
        <f t="shared" si="97"/>
        <v>62.904347395903763</v>
      </c>
      <c r="DR100" s="22">
        <f t="shared" si="70"/>
        <v>563.87884304786564</v>
      </c>
      <c r="DS100" s="60">
        <f t="shared" si="71"/>
        <v>857.21217638119901</v>
      </c>
      <c r="DT100" s="60">
        <f ca="1">AVERAGE(OFFSET($DS$3,0,0,'Données projet'!$E$14+1,1))-AVERAGE(OFFSET($H$3,0,0,'Données projet'!$E$14+1,1))</f>
        <v>295.19398489974265</v>
      </c>
      <c r="DU100" s="60">
        <f t="shared" si="98"/>
        <v>168.80998104712489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4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297.30479999999989</v>
      </c>
      <c r="P101" s="14">
        <f t="shared" si="87"/>
        <v>70.611149609504906</v>
      </c>
      <c r="Q101" s="22">
        <f t="shared" si="107"/>
        <v>640.78694556988739</v>
      </c>
      <c r="R101" s="60">
        <f t="shared" si="55"/>
        <v>934.12027890322065</v>
      </c>
      <c r="S101" s="60">
        <f ca="1">AVERAGE(OFFSET($R$3,0,0,'Données projet'!$E$9+1,1))-AVERAGE(OFFSET($H$3,0,0,'Données projet'!$E$9+1,1))</f>
        <v>341.82426415364569</v>
      </c>
      <c r="T101" s="60">
        <f t="shared" si="88"/>
        <v>193.53376539568887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-2.8421709430404007E-13</v>
      </c>
      <c r="AJ101" s="14">
        <f>AI101*VLOOKUP('Données projet'!$B$10,Paramètres!$A$1:$I$89,3,0)*VLOOKUP('Données projet'!$B$10,Paramètres!$A$1:$I$89,5,0)</f>
        <v>-1.69961822393816E-13</v>
      </c>
      <c r="AK101" s="14" t="e">
        <f t="shared" si="89"/>
        <v>#NUM!</v>
      </c>
      <c r="AL101" s="22" t="e">
        <f t="shared" si="58"/>
        <v>#NUM!</v>
      </c>
      <c r="AM101" s="60" t="e">
        <f t="shared" si="59"/>
        <v>#NUM!</v>
      </c>
      <c r="AN101" s="60">
        <f ca="1">AVERAGE(OFFSET($AM$3,0,0,'Données projet'!$E$10+1,1))-AVERAGE(OFFSET($H$3,0,0,'Données projet'!$E$10+1,1))</f>
        <v>189.8516574130017</v>
      </c>
      <c r="AO101" s="60">
        <f t="shared" si="90"/>
        <v>191.91100863555891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3.6964070175411554</v>
      </c>
      <c r="AV101" s="23">
        <f>EXP(-LN(2)/25)*AV100+(1-EXP(-LN(2)/25))/(LN(2)/25)*Calculateur!AQ101*Calculateur!AS101*VLOOKUP('Données projet'!$B$10,Paramètres!$A$1:$I$89,3,0)*0.475*44/12</f>
        <v>2.7404281130839836</v>
      </c>
      <c r="AW101" s="23">
        <f>EXP(-LN(2)/2)*AW100+(1-EXP(-LN(2)/2))/(LN(2)/2)*AQ101*AT101*VLOOKUP('Données projet'!$B$10,Paramètres!$A$1:$I$89,3,0)*0.475*44/12</f>
        <v>3.5179948492003567E-10</v>
      </c>
      <c r="AX101" s="23">
        <f t="shared" si="60"/>
        <v>6.4368351309769389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3.4615384615384643</v>
      </c>
      <c r="BD101" s="13">
        <f>IF('Données projet'!$A$88&gt;35,BD100+BC101-BL100,IF(A101&lt;'Données projet'!$A$88,$BA$205^A101,IF(A101='Données projet'!$A$88,'Données projet'!$B$88,BD100+BC101-BL100)))</f>
        <v>312.94871794871779</v>
      </c>
      <c r="BE101" s="14">
        <f>BD101*VLOOKUP('Données projet'!$B$11,Paramètres!$A$1:$I$89,3,0)*VLOOKUP('Données projet'!$B$11,Paramètres!$A$1:$I$89,5,0)</f>
        <v>327.09399999999988</v>
      </c>
      <c r="BF101" s="14">
        <f t="shared" si="91"/>
        <v>76.827509430556432</v>
      </c>
      <c r="BG101" s="22">
        <f t="shared" si="61"/>
        <v>703.4966289248855</v>
      </c>
      <c r="BH101" s="60">
        <f t="shared" si="62"/>
        <v>996.82996225821876</v>
      </c>
      <c r="BI101" s="60">
        <f ca="1">AVERAGE(OFFSET($BH$3,0,0,'Données projet'!$E$11+1,1))-AVERAGE(OFFSET($H$3,0,0,'Données projet'!$E$11+1,1))</f>
        <v>373.7520752235389</v>
      </c>
      <c r="BJ101" s="60">
        <f t="shared" si="92"/>
        <v>205.19966474305761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8.1410256410256405</v>
      </c>
      <c r="BY101" s="13">
        <f>IF('Données projet'!$A$114&gt;35,BY100+BX101-CG100,IF(A101&lt;'Données projet'!$A$114,$BV$205^A101,IF(A101='Données projet'!$A$114,'Données projet'!$B$114,BY100+BX101-CG100)))</f>
        <v>389.55128205128153</v>
      </c>
      <c r="BZ101" s="14">
        <f>BY101*VLOOKUP('Données projet'!$B$12,Paramètres!$A$1:$I$89,3,0)*VLOOKUP('Données projet'!$B$12,Paramètres!$A$1:$I$89,5,0)</f>
        <v>182.30999999999975</v>
      </c>
      <c r="CA101" s="14">
        <f t="shared" si="93"/>
        <v>45.835736572036403</v>
      </c>
      <c r="CB101" s="22">
        <f t="shared" si="64"/>
        <v>397.35382452962966</v>
      </c>
      <c r="CC101" s="60">
        <f t="shared" si="65"/>
        <v>690.68715786296298</v>
      </c>
      <c r="CD101" s="60">
        <f ca="1">AVERAGE(OFFSET($CC$3,0,0,'Données projet'!$E$12+1,1))-AVERAGE(OFFSET($H$3,0,0,'Données projet'!$E$12+1,1))</f>
        <v>141.31558705818316</v>
      </c>
      <c r="CE101" s="60">
        <f t="shared" si="94"/>
        <v>67.142010893211364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4.9000000000000004</v>
      </c>
      <c r="CT101" s="13">
        <f>IF('Données projet'!$A$140&gt;35,CT100+CS101-DB100,IF(A101&lt;'Données projet'!$A$140,$CQ$205^A101,IF(A101='Données projet'!$A$140,'Données projet'!$B$140,CT100+CS101-DB100)))</f>
        <v>293.19999999999987</v>
      </c>
      <c r="CU101" s="18">
        <f>CT101*VLOOKUP('Données projet'!$B$13,Paramètres!$A$1:$I$89,3,0)*VLOOKUP('Données projet'!$B$13,Paramètres!$A$1:$I$89,5,0)</f>
        <v>256.13951999999995</v>
      </c>
      <c r="CV101" s="14">
        <f t="shared" si="95"/>
        <v>61.898764554785309</v>
      </c>
      <c r="CW101" s="22">
        <f t="shared" si="67"/>
        <v>553.91667893291765</v>
      </c>
      <c r="CX101" s="60">
        <f t="shared" si="68"/>
        <v>847.25001226625091</v>
      </c>
      <c r="CY101" s="60">
        <f ca="1">AVERAGE(OFFSET($CX$3,0,0,'Données projet'!$E$13+1,1))-AVERAGE(OFFSET($H$3,0,0,'Données projet'!$E$13+1,1))</f>
        <v>281.8501448773884</v>
      </c>
      <c r="CZ101" s="60">
        <f t="shared" si="96"/>
        <v>161.7340631691518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4.9000000000000004</v>
      </c>
      <c r="DO101" s="13">
        <f>IF('Données projet'!$A$166&gt;35,DO100+DN101-DW100,IF(A101&lt;'Données projet'!$A$166,$DL$205^A101,IF(A101='Données projet'!$A$166,'Données projet'!$B$166,DO100+DN101-DW100)))</f>
        <v>293.19999999999987</v>
      </c>
      <c r="DP101" s="18">
        <f>DO101*VLOOKUP('Données projet'!$B$14,Paramètres!$A$1:$I$89,3,0)*VLOOKUP('Données projet'!$B$14,Paramètres!$A$1:$I$89,5,0)</f>
        <v>265.28735999999992</v>
      </c>
      <c r="DQ101" s="14">
        <f t="shared" si="97"/>
        <v>63.84810550096995</v>
      </c>
      <c r="DR101" s="22">
        <f t="shared" si="70"/>
        <v>573.24426908085582</v>
      </c>
      <c r="DS101" s="60">
        <f t="shared" si="71"/>
        <v>866.57760241418919</v>
      </c>
      <c r="DT101" s="60">
        <f ca="1">AVERAGE(OFFSET($DS$3,0,0,'Données projet'!$E$14+1,1))-AVERAGE(OFFSET($H$3,0,0,'Données projet'!$E$14+1,1))</f>
        <v>295.19398489974265</v>
      </c>
      <c r="DU101" s="60">
        <f t="shared" si="98"/>
        <v>168.80998104712489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4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302.27339999999987</v>
      </c>
      <c r="P102" s="14">
        <f t="shared" si="87"/>
        <v>71.652845832409739</v>
      </c>
      <c r="Q102" s="22">
        <f t="shared" si="107"/>
        <v>651.25487815811346</v>
      </c>
      <c r="R102" s="60">
        <f t="shared" si="55"/>
        <v>944.58821149144683</v>
      </c>
      <c r="S102" s="60">
        <f ca="1">AVERAGE(OFFSET($R$3,0,0,'Données projet'!$E$9+1,1))-AVERAGE(OFFSET($H$3,0,0,'Données projet'!$E$9+1,1))</f>
        <v>341.82426415364569</v>
      </c>
      <c r="T102" s="60">
        <f t="shared" si="88"/>
        <v>193.53376539568887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-2.8421709430404007E-13</v>
      </c>
      <c r="AJ102" s="14">
        <f>AI102*VLOOKUP('Données projet'!$B$10,Paramètres!$A$1:$I$89,3,0)*VLOOKUP('Données projet'!$B$10,Paramètres!$A$1:$I$89,5,0)</f>
        <v>-1.69961822393816E-13</v>
      </c>
      <c r="AK102" s="14" t="e">
        <f t="shared" si="89"/>
        <v>#NUM!</v>
      </c>
      <c r="AL102" s="22" t="e">
        <f t="shared" si="58"/>
        <v>#NUM!</v>
      </c>
      <c r="AM102" s="60" t="e">
        <f t="shared" si="59"/>
        <v>#NUM!</v>
      </c>
      <c r="AN102" s="60">
        <f ca="1">AVERAGE(OFFSET($AM$3,0,0,'Données projet'!$E$10+1,1))-AVERAGE(OFFSET($H$3,0,0,'Données projet'!$E$10+1,1))</f>
        <v>189.8516574130017</v>
      </c>
      <c r="AO102" s="60">
        <f t="shared" si="90"/>
        <v>191.91100863555891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3.6239227305128323</v>
      </c>
      <c r="AV102" s="23">
        <f>EXP(-LN(2)/25)*AV101+(1-EXP(-LN(2)/25))/(LN(2)/25)*Calculateur!AQ102*Calculateur!AS102*VLOOKUP('Données projet'!$B$10,Paramètres!$A$1:$I$89,3,0)*0.475*44/12</f>
        <v>2.665490962218851</v>
      </c>
      <c r="AW102" s="23">
        <f>EXP(-LN(2)/2)*AW101+(1-EXP(-LN(2)/2))/(LN(2)/2)*AQ102*AT102*VLOOKUP('Données projet'!$B$10,Paramètres!$A$1:$I$89,3,0)*0.475*44/12</f>
        <v>2.4875980140489179E-10</v>
      </c>
      <c r="AX102" s="23">
        <f t="shared" si="60"/>
        <v>6.2894136929804434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3.4615384615384643</v>
      </c>
      <c r="BD102" s="13">
        <f>IF('Données projet'!$A$88&gt;35,BD101+BC102-BL101,IF(A102&lt;'Données projet'!$A$88,$BA$205^A102,IF(A102='Données projet'!$A$88,'Données projet'!$B$88,BD101+BC102-BL101)))</f>
        <v>316.41025641025624</v>
      </c>
      <c r="BE102" s="14">
        <f>BD102*VLOOKUP('Données projet'!$B$11,Paramètres!$A$1:$I$89,3,0)*VLOOKUP('Données projet'!$B$11,Paramètres!$A$1:$I$89,5,0)</f>
        <v>330.71199999999988</v>
      </c>
      <c r="BF102" s="14">
        <f t="shared" si="91"/>
        <v>77.577904415971943</v>
      </c>
      <c r="BG102" s="22">
        <f t="shared" si="61"/>
        <v>711.10491685781756</v>
      </c>
      <c r="BH102" s="60">
        <f t="shared" si="62"/>
        <v>1004.4382501911509</v>
      </c>
      <c r="BI102" s="60">
        <f ca="1">AVERAGE(OFFSET($BH$3,0,0,'Données projet'!$E$11+1,1))-AVERAGE(OFFSET($H$3,0,0,'Données projet'!$E$11+1,1))</f>
        <v>373.7520752235389</v>
      </c>
      <c r="BJ102" s="60">
        <f t="shared" si="92"/>
        <v>205.19966474305761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>
        <f>VLOOKUP(A102,'Données projet'!$A$113:$I$133,2,0)</f>
        <v>397.69230769230768</v>
      </c>
      <c r="BW102" s="13">
        <f>VLOOKUP(A102,'Données projet'!$A$113:$I$133,9,0)</f>
        <v>8.1410256410256405</v>
      </c>
      <c r="BX102" s="13">
        <f t="array" ref="BX102">INDEX(BW:BW,MIN(IF(ISNUMBER(BW102:BW298),ROW(BW102:BW298),"")))</f>
        <v>8.1410256410256405</v>
      </c>
      <c r="BY102" s="13">
        <f>IF('Données projet'!$A$114&gt;35,BY101+BX102-CG101,IF(A102&lt;'Données projet'!$A$114,$BV$205^A102,IF(A102='Données projet'!$A$114,'Données projet'!$B$114,BY101+BX102-CG101)))</f>
        <v>397.69230769230717</v>
      </c>
      <c r="BZ102" s="14">
        <f>BY102*VLOOKUP('Données projet'!$B$12,Paramètres!$A$1:$I$89,3,0)*VLOOKUP('Données projet'!$B$12,Paramètres!$A$1:$I$89,5,0)</f>
        <v>186.11999999999975</v>
      </c>
      <c r="CA102" s="14">
        <f t="shared" si="93"/>
        <v>46.681112592689374</v>
      </c>
      <c r="CB102" s="22">
        <f t="shared" si="64"/>
        <v>405.46193776560017</v>
      </c>
      <c r="CC102" s="60">
        <f t="shared" si="65"/>
        <v>698.79527109893343</v>
      </c>
      <c r="CD102" s="60">
        <f ca="1">AVERAGE(OFFSET($CC$3,0,0,'Données projet'!$E$12+1,1))-AVERAGE(OFFSET($H$3,0,0,'Données projet'!$E$12+1,1))</f>
        <v>141.31558705818316</v>
      </c>
      <c r="CE102" s="60">
        <f t="shared" si="94"/>
        <v>67.142010893211364</v>
      </c>
      <c r="CF102" s="16">
        <f>IF(ISNA(VLOOKUP(A102,'Données projet'!$A$113:$I$133,3,0)),0,VLOOKUP(A102,'Données projet'!$A$113:$I$133,3,0))</f>
        <v>5</v>
      </c>
      <c r="CG102" s="16">
        <f>IF(ISNA(VLOOKUP(A102,'Données projet'!$A$113:$I$133,4,0)),0,VLOOKUP(A102,'Données projet'!$A$113:$I$133,4,0))</f>
        <v>198.46153846153845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4.9000000000000004</v>
      </c>
      <c r="CT102" s="13">
        <f>IF('Données projet'!$A$140&gt;35,CT101+CS102-DB101,IF(A102&lt;'Données projet'!$A$140,$CQ$205^A102,IF(A102='Données projet'!$A$140,'Données projet'!$B$140,CT101+CS102-DB101)))</f>
        <v>298.09999999999985</v>
      </c>
      <c r="CU102" s="18">
        <f>CT102*VLOOKUP('Données projet'!$B$13,Paramètres!$A$1:$I$89,3,0)*VLOOKUP('Données projet'!$B$13,Paramètres!$A$1:$I$89,5,0)</f>
        <v>260.4201599999999</v>
      </c>
      <c r="CV102" s="14">
        <f t="shared" si="95"/>
        <v>62.811930670841733</v>
      </c>
      <c r="CW102" s="22">
        <f t="shared" si="67"/>
        <v>562.96255791838246</v>
      </c>
      <c r="CX102" s="60">
        <f t="shared" si="68"/>
        <v>856.29589125171583</v>
      </c>
      <c r="CY102" s="60">
        <f ca="1">AVERAGE(OFFSET($CX$3,0,0,'Données projet'!$E$13+1,1))-AVERAGE(OFFSET($H$3,0,0,'Données projet'!$E$13+1,1))</f>
        <v>281.8501448773884</v>
      </c>
      <c r="CZ102" s="60">
        <f t="shared" si="96"/>
        <v>161.7340631691518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4.9000000000000004</v>
      </c>
      <c r="DO102" s="13">
        <f>IF('Données projet'!$A$166&gt;35,DO101+DN102-DW101,IF(A102&lt;'Données projet'!$A$166,$DL$205^A102,IF(A102='Données projet'!$A$166,'Données projet'!$B$166,DO101+DN102-DW101)))</f>
        <v>298.09999999999985</v>
      </c>
      <c r="DP102" s="18">
        <f>DO102*VLOOKUP('Données projet'!$B$14,Paramètres!$A$1:$I$89,3,0)*VLOOKUP('Données projet'!$B$14,Paramètres!$A$1:$I$89,5,0)</f>
        <v>269.72087999999985</v>
      </c>
      <c r="DQ102" s="14">
        <f t="shared" si="97"/>
        <v>64.790029413946939</v>
      </c>
      <c r="DR102" s="22">
        <f t="shared" si="70"/>
        <v>582.60650056262409</v>
      </c>
      <c r="DS102" s="60">
        <f t="shared" si="71"/>
        <v>875.93983389595746</v>
      </c>
      <c r="DT102" s="60">
        <f ca="1">AVERAGE(OFFSET($DS$3,0,0,'Données projet'!$E$14+1,1))-AVERAGE(OFFSET($H$3,0,0,'Données projet'!$E$14+1,1))</f>
        <v>295.19398489974265</v>
      </c>
      <c r="DU102" s="60">
        <f t="shared" si="98"/>
        <v>168.80998104712489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4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307.24199999999985</v>
      </c>
      <c r="P103" s="14">
        <f t="shared" si="87"/>
        <v>72.692550770207774</v>
      </c>
      <c r="Q103" s="22">
        <f t="shared" si="107"/>
        <v>661.71934259144484</v>
      </c>
      <c r="R103" s="60">
        <f t="shared" si="55"/>
        <v>955.05267592477821</v>
      </c>
      <c r="S103" s="60">
        <f ca="1">AVERAGE(OFFSET($R$3,0,0,'Données projet'!$E$9+1,1))-AVERAGE(OFFSET($H$3,0,0,'Données projet'!$E$9+1,1))</f>
        <v>341.82426415364569</v>
      </c>
      <c r="T103" s="60">
        <f t="shared" si="88"/>
        <v>193.53376539568887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-2.8421709430404007E-13</v>
      </c>
      <c r="AJ103" s="14">
        <f>AI103*VLOOKUP('Données projet'!$B$10,Paramètres!$A$1:$I$89,3,0)*VLOOKUP('Données projet'!$B$10,Paramètres!$A$1:$I$89,5,0)</f>
        <v>-1.69961822393816E-13</v>
      </c>
      <c r="AK103" s="14" t="e">
        <f t="shared" si="89"/>
        <v>#NUM!</v>
      </c>
      <c r="AL103" s="22" t="e">
        <f t="shared" si="58"/>
        <v>#NUM!</v>
      </c>
      <c r="AM103" s="60" t="e">
        <f t="shared" si="59"/>
        <v>#NUM!</v>
      </c>
      <c r="AN103" s="60">
        <f ca="1">AVERAGE(OFFSET($AM$3,0,0,'Données projet'!$E$10+1,1))-AVERAGE(OFFSET($H$3,0,0,'Données projet'!$E$10+1,1))</f>
        <v>189.8516574130017</v>
      </c>
      <c r="AO103" s="60">
        <f t="shared" si="90"/>
        <v>191.91100863555891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3.5528598161420848</v>
      </c>
      <c r="AV103" s="23">
        <f>EXP(-LN(2)/25)*AV102+(1-EXP(-LN(2)/25))/(LN(2)/25)*Calculateur!AQ103*Calculateur!AS103*VLOOKUP('Données projet'!$B$10,Paramètres!$A$1:$I$89,3,0)*0.475*44/12</f>
        <v>2.5926029716848986</v>
      </c>
      <c r="AW103" s="23">
        <f>EXP(-LN(2)/2)*AW102+(1-EXP(-LN(2)/2))/(LN(2)/2)*AQ103*AT103*VLOOKUP('Données projet'!$B$10,Paramètres!$A$1:$I$89,3,0)*0.475*44/12</f>
        <v>1.7589974246001784E-10</v>
      </c>
      <c r="AX103" s="23">
        <f t="shared" si="60"/>
        <v>6.1454627880028836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319.87179487179486</v>
      </c>
      <c r="BB103" s="13">
        <f>VLOOKUP(A103,'Données projet'!$A$87:$I$107,9,0)</f>
        <v>3.4615384615384643</v>
      </c>
      <c r="BC103" s="13">
        <f t="array" ref="BC103">INDEX(BB:BB,MIN(IF(ISNUMBER(BB103:BB299),ROW(BB103:BB299),"")))</f>
        <v>3.4615384615384643</v>
      </c>
      <c r="BD103" s="13">
        <f>IF('Données projet'!$A$88&gt;35,BD102+BC103-BL102,IF(A103&lt;'Données projet'!$A$88,$BA$205^A103,IF(A103='Données projet'!$A$88,'Données projet'!$B$88,BD102+BC103-BL102)))</f>
        <v>319.87179487179469</v>
      </c>
      <c r="BE103" s="14">
        <f>BD103*VLOOKUP('Données projet'!$B$11,Paramètres!$A$1:$I$89,3,0)*VLOOKUP('Données projet'!$B$11,Paramètres!$A$1:$I$89,5,0)</f>
        <v>334.32999999999987</v>
      </c>
      <c r="BF103" s="14">
        <f t="shared" si="91"/>
        <v>78.327344421590865</v>
      </c>
      <c r="BG103" s="22">
        <f t="shared" si="61"/>
        <v>718.71154153427051</v>
      </c>
      <c r="BH103" s="60">
        <f t="shared" si="62"/>
        <v>1012.0448748676038</v>
      </c>
      <c r="BI103" s="60">
        <f ca="1">AVERAGE(OFFSET($BH$3,0,0,'Données projet'!$E$11+1,1))-AVERAGE(OFFSET($H$3,0,0,'Données projet'!$E$11+1,1))</f>
        <v>373.7520752235389</v>
      </c>
      <c r="BJ103" s="60">
        <f t="shared" si="92"/>
        <v>205.19966474305761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30.769230769230766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5.6923076923076907</v>
      </c>
      <c r="BY103" s="13">
        <f>IF('Données projet'!$A$114&gt;35,BY102+BX103-CG102,IF(A103&lt;'Données projet'!$A$114,$BV$205^A103,IF(A103='Données projet'!$A$114,'Données projet'!$B$114,BY102+BX103-CG102)))</f>
        <v>204.92307692307639</v>
      </c>
      <c r="BZ103" s="14">
        <f>BY103*VLOOKUP('Données projet'!$B$12,Paramètres!$A$1:$I$89,3,0)*VLOOKUP('Données projet'!$B$12,Paramètres!$A$1:$I$89,5,0)</f>
        <v>95.903999999999741</v>
      </c>
      <c r="CA103" s="14">
        <f t="shared" si="93"/>
        <v>25.983819565312803</v>
      </c>
      <c r="CB103" s="22">
        <f t="shared" si="64"/>
        <v>212.28795240958598</v>
      </c>
      <c r="CC103" s="60">
        <f t="shared" si="65"/>
        <v>505.62128574291933</v>
      </c>
      <c r="CD103" s="60">
        <f ca="1">AVERAGE(OFFSET($CC$3,0,0,'Données projet'!$E$12+1,1))-AVERAGE(OFFSET($H$3,0,0,'Données projet'!$E$12+1,1))</f>
        <v>141.31558705818316</v>
      </c>
      <c r="CE103" s="60">
        <f t="shared" si="94"/>
        <v>67.142010893211364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303</v>
      </c>
      <c r="CR103" s="13">
        <f>VLOOKUP(A103,'Données projet'!$A$139:$I$159,9,0)</f>
        <v>4.9000000000000004</v>
      </c>
      <c r="CS103" s="13">
        <f t="array" ref="CS103">INDEX(CR:CR,MIN(IF(ISNUMBER(CR103:CR299),ROW(CR103:CR299),"")))</f>
        <v>4.9000000000000004</v>
      </c>
      <c r="CT103" s="13">
        <f>IF('Données projet'!$A$140&gt;35,CT102+CS103-DB102,IF(A103&lt;'Données projet'!$A$140,$CQ$205^A103,IF(A103='Données projet'!$A$140,'Données projet'!$B$140,CT102+CS103-DB102)))</f>
        <v>302.99999999999983</v>
      </c>
      <c r="CU103" s="18">
        <f>CT103*VLOOKUP('Données projet'!$B$13,Paramètres!$A$1:$I$89,3,0)*VLOOKUP('Données projet'!$B$13,Paramètres!$A$1:$I$89,5,0)</f>
        <v>264.7007999999999</v>
      </c>
      <c r="CV103" s="14">
        <f t="shared" si="95"/>
        <v>63.723351197304062</v>
      </c>
      <c r="CW103" s="22">
        <f t="shared" si="67"/>
        <v>572.00539666863767</v>
      </c>
      <c r="CX103" s="60">
        <f t="shared" si="68"/>
        <v>865.33873000197104</v>
      </c>
      <c r="CY103" s="60">
        <f ca="1">AVERAGE(OFFSET($CX$3,0,0,'Données projet'!$E$13+1,1))-AVERAGE(OFFSET($H$3,0,0,'Données projet'!$E$13+1,1))</f>
        <v>281.8501448773884</v>
      </c>
      <c r="CZ103" s="60">
        <f t="shared" si="96"/>
        <v>161.7340631691518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303</v>
      </c>
      <c r="DM103" s="13">
        <f>VLOOKUP(A103,'Données projet'!$A$165:$I$185,9,0)</f>
        <v>4.9000000000000004</v>
      </c>
      <c r="DN103" s="13">
        <f t="array" ref="DN103">INDEX(DM:DM,MIN(IF(ISNUMBER(DM103:DM299),ROW(DM103:DM299),"")))</f>
        <v>4.9000000000000004</v>
      </c>
      <c r="DO103" s="13">
        <f>IF('Données projet'!$A$166&gt;35,DO102+DN103-DW102,IF(A103&lt;'Données projet'!$A$166,$DL$205^A103,IF(A103='Données projet'!$A$166,'Données projet'!$B$166,DO102+DN103-DW102)))</f>
        <v>302.99999999999983</v>
      </c>
      <c r="DP103" s="18">
        <f>DO103*VLOOKUP('Données projet'!$B$14,Paramètres!$A$1:$I$89,3,0)*VLOOKUP('Données projet'!$B$14,Paramètres!$A$1:$I$89,5,0)</f>
        <v>274.15439999999984</v>
      </c>
      <c r="DQ103" s="14">
        <f t="shared" si="97"/>
        <v>65.730152764515779</v>
      </c>
      <c r="DR103" s="22">
        <f t="shared" si="70"/>
        <v>591.9655960648646</v>
      </c>
      <c r="DS103" s="60">
        <f t="shared" si="71"/>
        <v>885.29892939819797</v>
      </c>
      <c r="DT103" s="60">
        <f ca="1">AVERAGE(OFFSET($DS$3,0,0,'Données projet'!$E$14+1,1))-AVERAGE(OFFSET($H$3,0,0,'Données projet'!$E$14+1,1))</f>
        <v>295.19398489974265</v>
      </c>
      <c r="DU103" s="60">
        <f t="shared" si="98"/>
        <v>168.80998104712489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4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269.1155999999998</v>
      </c>
      <c r="P104" s="14">
        <f t="shared" si="87"/>
        <v>64.661541462287076</v>
      </c>
      <c r="Q104" s="22">
        <f t="shared" si="107"/>
        <v>581.3285213801496</v>
      </c>
      <c r="R104" s="60">
        <f t="shared" si="55"/>
        <v>874.66185471348285</v>
      </c>
      <c r="S104" s="60">
        <f ca="1">AVERAGE(OFFSET($R$3,0,0,'Données projet'!$E$9+1,1))-AVERAGE(OFFSET($H$3,0,0,'Données projet'!$E$9+1,1))</f>
        <v>341.82426415364569</v>
      </c>
      <c r="T104" s="60">
        <f t="shared" si="88"/>
        <v>193.53376539568887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-2.8421709430404007E-13</v>
      </c>
      <c r="AJ104" s="14">
        <f>AI104*VLOOKUP('Données projet'!$B$10,Paramètres!$A$1:$I$89,3,0)*VLOOKUP('Données projet'!$B$10,Paramètres!$A$1:$I$89,5,0)</f>
        <v>-1.69961822393816E-13</v>
      </c>
      <c r="AK104" s="14" t="e">
        <f t="shared" si="89"/>
        <v>#NUM!</v>
      </c>
      <c r="AL104" s="22" t="e">
        <f t="shared" si="58"/>
        <v>#NUM!</v>
      </c>
      <c r="AM104" s="60" t="e">
        <f t="shared" si="59"/>
        <v>#NUM!</v>
      </c>
      <c r="AN104" s="60">
        <f ca="1">AVERAGE(OFFSET($AM$3,0,0,'Données projet'!$E$10+1,1))-AVERAGE(OFFSET($H$3,0,0,'Données projet'!$E$10+1,1))</f>
        <v>189.8516574130017</v>
      </c>
      <c r="AO104" s="60">
        <f t="shared" si="90"/>
        <v>191.91100863555891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3.48319040217805</v>
      </c>
      <c r="AV104" s="23">
        <f>EXP(-LN(2)/25)*AV103+(1-EXP(-LN(2)/25))/(LN(2)/25)*Calculateur!AQ104*Calculateur!AS104*VLOOKUP('Données projet'!$B$10,Paramètres!$A$1:$I$89,3,0)*0.475*44/12</f>
        <v>2.5217081070851104</v>
      </c>
      <c r="AW104" s="23">
        <f>EXP(-LN(2)/2)*AW103+(1-EXP(-LN(2)/2))/(LN(2)/2)*AQ104*AT104*VLOOKUP('Données projet'!$B$10,Paramètres!$A$1:$I$89,3,0)*0.475*44/12</f>
        <v>1.2437990070244589E-10</v>
      </c>
      <c r="AX104" s="23">
        <f t="shared" si="60"/>
        <v>6.00489850938754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3.2051282051282044</v>
      </c>
      <c r="BD104" s="13">
        <f>IF('Données projet'!$A$88&gt;35,BD103+BC104-BL103,IF(A104&lt;'Données projet'!$A$88,$BA$205^A104,IF(A104='Données projet'!$A$88,'Données projet'!$B$88,BD103+BC104-BL103)))</f>
        <v>292.30769230769209</v>
      </c>
      <c r="BE104" s="14">
        <f>BD104*VLOOKUP('Données projet'!$B$11,Paramètres!$A$1:$I$89,3,0)*VLOOKUP('Données projet'!$B$11,Paramètres!$A$1:$I$89,5,0)</f>
        <v>305.51999999999981</v>
      </c>
      <c r="BF104" s="14">
        <f t="shared" si="91"/>
        <v>72.332436678206648</v>
      </c>
      <c r="BG104" s="22">
        <f t="shared" si="61"/>
        <v>658.09299388120962</v>
      </c>
      <c r="BH104" s="60">
        <f t="shared" si="62"/>
        <v>951.42632721454288</v>
      </c>
      <c r="BI104" s="60">
        <f ca="1">AVERAGE(OFFSET($BH$3,0,0,'Données projet'!$E$11+1,1))-AVERAGE(OFFSET($H$3,0,0,'Données projet'!$E$11+1,1))</f>
        <v>373.7520752235389</v>
      </c>
      <c r="BJ104" s="60">
        <f t="shared" si="92"/>
        <v>205.19966474305761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5.6923076923076907</v>
      </c>
      <c r="BY104" s="13">
        <f>IF('Données projet'!$A$114&gt;35,BY103+BX104-CG103,IF(A104&lt;'Données projet'!$A$114,$BV$205^A104,IF(A104='Données projet'!$A$114,'Données projet'!$B$114,BY103+BX104-CG103)))</f>
        <v>210.61538461538407</v>
      </c>
      <c r="BZ104" s="14">
        <f>BY104*VLOOKUP('Données projet'!$B$12,Paramètres!$A$1:$I$89,3,0)*VLOOKUP('Données projet'!$B$12,Paramètres!$A$1:$I$89,5,0)</f>
        <v>98.567999999999756</v>
      </c>
      <c r="CA104" s="14">
        <f t="shared" si="93"/>
        <v>26.620557442262673</v>
      </c>
      <c r="CB104" s="22">
        <f t="shared" si="64"/>
        <v>218.03673754527372</v>
      </c>
      <c r="CC104" s="60">
        <f t="shared" si="65"/>
        <v>511.37007087860707</v>
      </c>
      <c r="CD104" s="60">
        <f ca="1">AVERAGE(OFFSET($CC$3,0,0,'Données projet'!$E$12+1,1))-AVERAGE(OFFSET($H$3,0,0,'Données projet'!$E$12+1,1))</f>
        <v>141.31558705818316</v>
      </c>
      <c r="CE104" s="60">
        <f t="shared" si="94"/>
        <v>67.142010893211364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265.39999999999981</v>
      </c>
      <c r="CU104" s="18">
        <f>CT104*VLOOKUP('Données projet'!$B$13,Paramètres!$A$1:$I$89,3,0)*VLOOKUP('Données projet'!$B$13,Paramètres!$A$1:$I$89,5,0)</f>
        <v>231.85343999999986</v>
      </c>
      <c r="CV104" s="14">
        <f t="shared" si="95"/>
        <v>56.683251198403141</v>
      </c>
      <c r="CW104" s="22">
        <f t="shared" si="67"/>
        <v>502.53473717055186</v>
      </c>
      <c r="CX104" s="60">
        <f t="shared" si="68"/>
        <v>795.86807050388518</v>
      </c>
      <c r="CY104" s="60">
        <f ca="1">AVERAGE(OFFSET($CX$3,0,0,'Données projet'!$E$13+1,1))-AVERAGE(OFFSET($H$3,0,0,'Données projet'!$E$13+1,1))</f>
        <v>281.8501448773884</v>
      </c>
      <c r="CZ104" s="60">
        <f t="shared" si="96"/>
        <v>161.7340631691518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265.39999999999981</v>
      </c>
      <c r="DP104" s="18">
        <f>DO104*VLOOKUP('Données projet'!$B$14,Paramètres!$A$1:$I$89,3,0)*VLOOKUP('Données projet'!$B$14,Paramètres!$A$1:$I$89,5,0)</f>
        <v>240.13391999999982</v>
      </c>
      <c r="DQ104" s="14">
        <f t="shared" si="97"/>
        <v>58.468343087048559</v>
      </c>
      <c r="DR104" s="22">
        <f t="shared" si="70"/>
        <v>520.06560820994252</v>
      </c>
      <c r="DS104" s="60">
        <f t="shared" si="71"/>
        <v>813.3989415432759</v>
      </c>
      <c r="DT104" s="60">
        <f ca="1">AVERAGE(OFFSET($DS$3,0,0,'Données projet'!$E$14+1,1))-AVERAGE(OFFSET($H$3,0,0,'Données projet'!$E$14+1,1))</f>
        <v>295.19398489974265</v>
      </c>
      <c r="DU104" s="60">
        <f t="shared" si="98"/>
        <v>168.80998104712489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4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273.57719999999978</v>
      </c>
      <c r="P105" s="14">
        <f t="shared" si="87"/>
        <v>65.60785888991505</v>
      </c>
      <c r="Q105" s="22">
        <f t="shared" si="107"/>
        <v>590.74731089993509</v>
      </c>
      <c r="R105" s="60">
        <f t="shared" si="55"/>
        <v>884.08064423326846</v>
      </c>
      <c r="S105" s="60">
        <f ca="1">AVERAGE(OFFSET($R$3,0,0,'Données projet'!$E$9+1,1))-AVERAGE(OFFSET($H$3,0,0,'Données projet'!$E$9+1,1))</f>
        <v>341.82426415364569</v>
      </c>
      <c r="T105" s="60">
        <f t="shared" si="88"/>
        <v>193.53376539568887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-2.8421709430404007E-13</v>
      </c>
      <c r="AJ105" s="14">
        <f>AI105*VLOOKUP('Données projet'!$B$10,Paramètres!$A$1:$I$89,3,0)*VLOOKUP('Données projet'!$B$10,Paramètres!$A$1:$I$89,5,0)</f>
        <v>-1.69961822393816E-13</v>
      </c>
      <c r="AK105" s="14" t="e">
        <f t="shared" si="89"/>
        <v>#NUM!</v>
      </c>
      <c r="AL105" s="22" t="e">
        <f t="shared" si="58"/>
        <v>#NUM!</v>
      </c>
      <c r="AM105" s="60" t="e">
        <f t="shared" si="59"/>
        <v>#NUM!</v>
      </c>
      <c r="AN105" s="60">
        <f ca="1">AVERAGE(OFFSET($AM$3,0,0,'Données projet'!$E$10+1,1))-AVERAGE(OFFSET($H$3,0,0,'Données projet'!$E$10+1,1))</f>
        <v>189.8516574130017</v>
      </c>
      <c r="AO105" s="60">
        <f t="shared" si="90"/>
        <v>191.91100863555891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3.4148871629277031</v>
      </c>
      <c r="AV105" s="23">
        <f>EXP(-LN(2)/25)*AV104+(1-EXP(-LN(2)/25))/(LN(2)/25)*Calculateur!AQ105*Calculateur!AS105*VLOOKUP('Données projet'!$B$10,Paramètres!$A$1:$I$89,3,0)*0.475*44/12</f>
        <v>2.4527518662860022</v>
      </c>
      <c r="AW105" s="23">
        <f>EXP(-LN(2)/2)*AW104+(1-EXP(-LN(2)/2))/(LN(2)/2)*AQ105*AT105*VLOOKUP('Données projet'!$B$10,Paramètres!$A$1:$I$89,3,0)*0.475*44/12</f>
        <v>8.7949871230008918E-11</v>
      </c>
      <c r="AX105" s="23">
        <f t="shared" si="60"/>
        <v>5.8676390293016558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3.2051282051282044</v>
      </c>
      <c r="BD105" s="13">
        <f>IF('Données projet'!$A$88&gt;35,BD104+BC105-BL104,IF(A105&lt;'Données projet'!$A$88,$BA$205^A105,IF(A105='Données projet'!$A$88,'Données projet'!$B$88,BD104+BC105-BL104)))</f>
        <v>295.51282051282033</v>
      </c>
      <c r="BE105" s="14">
        <f>BD105*VLOOKUP('Données projet'!$B$11,Paramètres!$A$1:$I$89,3,0)*VLOOKUP('Données projet'!$B$11,Paramètres!$A$1:$I$89,5,0)</f>
        <v>308.86999999999983</v>
      </c>
      <c r="BF105" s="14">
        <f t="shared" si="91"/>
        <v>73.032791063818379</v>
      </c>
      <c r="BG105" s="22">
        <f t="shared" si="61"/>
        <v>665.14736110281672</v>
      </c>
      <c r="BH105" s="60">
        <f t="shared" si="62"/>
        <v>958.48069443615009</v>
      </c>
      <c r="BI105" s="60">
        <f ca="1">AVERAGE(OFFSET($BH$3,0,0,'Données projet'!$E$11+1,1))-AVERAGE(OFFSET($H$3,0,0,'Données projet'!$E$11+1,1))</f>
        <v>373.7520752235389</v>
      </c>
      <c r="BJ105" s="60">
        <f t="shared" si="92"/>
        <v>205.19966474305761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5.6923076923076907</v>
      </c>
      <c r="BY105" s="13">
        <f>IF('Données projet'!$A$114&gt;35,BY104+BX105-CG104,IF(A105&lt;'Données projet'!$A$114,$BV$205^A105,IF(A105='Données projet'!$A$114,'Données projet'!$B$114,BY104+BX105-CG104)))</f>
        <v>216.30769230769175</v>
      </c>
      <c r="BZ105" s="14">
        <f>BY105*VLOOKUP('Données projet'!$B$12,Paramètres!$A$1:$I$89,3,0)*VLOOKUP('Données projet'!$B$12,Paramètres!$A$1:$I$89,5,0)</f>
        <v>101.23199999999974</v>
      </c>
      <c r="CA105" s="14">
        <f t="shared" si="93"/>
        <v>27.255295066527388</v>
      </c>
      <c r="CB105" s="22">
        <f t="shared" si="64"/>
        <v>223.78203890753477</v>
      </c>
      <c r="CC105" s="60">
        <f t="shared" si="65"/>
        <v>517.11537224086806</v>
      </c>
      <c r="CD105" s="60">
        <f ca="1">AVERAGE(OFFSET($CC$3,0,0,'Données projet'!$E$12+1,1))-AVERAGE(OFFSET($H$3,0,0,'Données projet'!$E$12+1,1))</f>
        <v>141.31558705818316</v>
      </c>
      <c r="CE105" s="60">
        <f t="shared" si="94"/>
        <v>67.142010893211364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269.79999999999978</v>
      </c>
      <c r="CU105" s="18">
        <f>CT105*VLOOKUP('Données projet'!$B$13,Paramètres!$A$1:$I$89,3,0)*VLOOKUP('Données projet'!$B$13,Paramètres!$A$1:$I$89,5,0)</f>
        <v>235.69727999999981</v>
      </c>
      <c r="CV105" s="14">
        <f t="shared" si="95"/>
        <v>57.512806870145788</v>
      </c>
      <c r="CW105" s="22">
        <f t="shared" si="67"/>
        <v>510.67423463217023</v>
      </c>
      <c r="CX105" s="60">
        <f t="shared" si="68"/>
        <v>804.00756796550354</v>
      </c>
      <c r="CY105" s="60">
        <f ca="1">AVERAGE(OFFSET($CX$3,0,0,'Données projet'!$E$13+1,1))-AVERAGE(OFFSET($H$3,0,0,'Données projet'!$E$13+1,1))</f>
        <v>281.8501448773884</v>
      </c>
      <c r="CZ105" s="60">
        <f t="shared" si="96"/>
        <v>161.7340631691518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269.79999999999978</v>
      </c>
      <c r="DP105" s="18">
        <f>DO105*VLOOKUP('Données projet'!$B$14,Paramètres!$A$1:$I$89,3,0)*VLOOKUP('Données projet'!$B$14,Paramètres!$A$1:$I$89,5,0)</f>
        <v>244.11503999999979</v>
      </c>
      <c r="DQ105" s="14">
        <f t="shared" si="97"/>
        <v>59.324023461759012</v>
      </c>
      <c r="DR105" s="22">
        <f t="shared" si="70"/>
        <v>528.48970219589648</v>
      </c>
      <c r="DS105" s="60">
        <f t="shared" si="71"/>
        <v>821.82303552922986</v>
      </c>
      <c r="DT105" s="60">
        <f ca="1">AVERAGE(OFFSET($DS$3,0,0,'Données projet'!$E$14+1,1))-AVERAGE(OFFSET($H$3,0,0,'Données projet'!$E$14+1,1))</f>
        <v>295.19398489974265</v>
      </c>
      <c r="DU105" s="60">
        <f t="shared" si="98"/>
        <v>168.80998104712489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4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278.03879999999975</v>
      </c>
      <c r="P106" s="14">
        <f t="shared" si="87"/>
        <v>66.552381547717744</v>
      </c>
      <c r="Q106" s="22">
        <f t="shared" si="107"/>
        <v>600.16297452894128</v>
      </c>
      <c r="R106" s="60">
        <f t="shared" si="55"/>
        <v>893.49630786227453</v>
      </c>
      <c r="S106" s="60">
        <f ca="1">AVERAGE(OFFSET($R$3,0,0,'Données projet'!$E$9+1,1))-AVERAGE(OFFSET($H$3,0,0,'Données projet'!$E$9+1,1))</f>
        <v>341.82426415364569</v>
      </c>
      <c r="T106" s="60">
        <f t="shared" si="88"/>
        <v>193.53376539568887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-2.8421709430404007E-13</v>
      </c>
      <c r="AJ106" s="14">
        <f>AI106*VLOOKUP('Données projet'!$B$10,Paramètres!$A$1:$I$89,3,0)*VLOOKUP('Données projet'!$B$10,Paramètres!$A$1:$I$89,5,0)</f>
        <v>-1.69961822393816E-13</v>
      </c>
      <c r="AK106" s="14" t="e">
        <f t="shared" si="89"/>
        <v>#NUM!</v>
      </c>
      <c r="AL106" s="22" t="e">
        <f t="shared" si="58"/>
        <v>#NUM!</v>
      </c>
      <c r="AM106" s="60" t="e">
        <f t="shared" si="59"/>
        <v>#NUM!</v>
      </c>
      <c r="AN106" s="60">
        <f ca="1">AVERAGE(OFFSET($AM$3,0,0,'Données projet'!$E$10+1,1))-AVERAGE(OFFSET($H$3,0,0,'Données projet'!$E$10+1,1))</f>
        <v>189.8516574130017</v>
      </c>
      <c r="AO106" s="60">
        <f t="shared" si="90"/>
        <v>191.91100863555891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3.3479233085381934</v>
      </c>
      <c r="AV106" s="23">
        <f>EXP(-LN(2)/25)*AV105+(1-EXP(-LN(2)/25))/(LN(2)/25)*Calculateur!AQ106*Calculateur!AS106*VLOOKUP('Données projet'!$B$10,Paramètres!$A$1:$I$89,3,0)*0.475*44/12</f>
        <v>2.3856812375177965</v>
      </c>
      <c r="AW106" s="23">
        <f>EXP(-LN(2)/2)*AW105+(1-EXP(-LN(2)/2))/(LN(2)/2)*AQ106*AT106*VLOOKUP('Données projet'!$B$10,Paramètres!$A$1:$I$89,3,0)*0.475*44/12</f>
        <v>6.2189950351222947E-11</v>
      </c>
      <c r="AX106" s="23">
        <f t="shared" si="60"/>
        <v>5.7336045461181797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3.2051282051282044</v>
      </c>
      <c r="BD106" s="13">
        <f>IF('Données projet'!$A$88&gt;35,BD105+BC106-BL105,IF(A106&lt;'Données projet'!$A$88,$BA$205^A106,IF(A106='Données projet'!$A$88,'Données projet'!$B$88,BD105+BC106-BL105)))</f>
        <v>298.7179487179485</v>
      </c>
      <c r="BE106" s="14">
        <f>BD106*VLOOKUP('Données projet'!$B$11,Paramètres!$A$1:$I$89,3,0)*VLOOKUP('Données projet'!$B$11,Paramètres!$A$1:$I$89,5,0)</f>
        <v>312.2199999999998</v>
      </c>
      <c r="BF106" s="14">
        <f t="shared" si="91"/>
        <v>73.732261810577455</v>
      </c>
      <c r="BG106" s="22">
        <f t="shared" si="61"/>
        <v>672.20018932008873</v>
      </c>
      <c r="BH106" s="60">
        <f t="shared" si="62"/>
        <v>965.5335226534221</v>
      </c>
      <c r="BI106" s="60">
        <f ca="1">AVERAGE(OFFSET($BH$3,0,0,'Données projet'!$E$11+1,1))-AVERAGE(OFFSET($H$3,0,0,'Données projet'!$E$11+1,1))</f>
        <v>373.7520752235389</v>
      </c>
      <c r="BJ106" s="60">
        <f t="shared" si="92"/>
        <v>205.19966474305761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5.6923076923076907</v>
      </c>
      <c r="BY106" s="13">
        <f>IF('Données projet'!$A$114&gt;35,BY105+BX106-CG105,IF(A106&lt;'Données projet'!$A$114,$BV$205^A106,IF(A106='Données projet'!$A$114,'Données projet'!$B$114,BY105+BX106-CG105)))</f>
        <v>221.99999999999943</v>
      </c>
      <c r="BZ106" s="14">
        <f>BY106*VLOOKUP('Données projet'!$B$12,Paramètres!$A$1:$I$89,3,0)*VLOOKUP('Données projet'!$B$12,Paramètres!$A$1:$I$89,5,0)</f>
        <v>103.89599999999973</v>
      </c>
      <c r="CA106" s="14">
        <f t="shared" si="93"/>
        <v>27.888091127225749</v>
      </c>
      <c r="CB106" s="22">
        <f t="shared" si="64"/>
        <v>229.52395871325101</v>
      </c>
      <c r="CC106" s="60">
        <f t="shared" si="65"/>
        <v>522.85729204658435</v>
      </c>
      <c r="CD106" s="60">
        <f ca="1">AVERAGE(OFFSET($CC$3,0,0,'Données projet'!$E$12+1,1))-AVERAGE(OFFSET($H$3,0,0,'Données projet'!$E$12+1,1))</f>
        <v>141.31558705818316</v>
      </c>
      <c r="CE106" s="60">
        <f t="shared" si="94"/>
        <v>67.142010893211364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274.19999999999976</v>
      </c>
      <c r="CU106" s="18">
        <f>CT106*VLOOKUP('Données projet'!$B$13,Paramètres!$A$1:$I$89,3,0)*VLOOKUP('Données projet'!$B$13,Paramètres!$A$1:$I$89,5,0)</f>
        <v>239.54111999999981</v>
      </c>
      <c r="CV106" s="14">
        <f t="shared" si="95"/>
        <v>58.340789220458902</v>
      </c>
      <c r="CW106" s="22">
        <f t="shared" si="67"/>
        <v>518.81099189229883</v>
      </c>
      <c r="CX106" s="60">
        <f t="shared" si="68"/>
        <v>812.1443252256322</v>
      </c>
      <c r="CY106" s="60">
        <f ca="1">AVERAGE(OFFSET($CX$3,0,0,'Données projet'!$E$13+1,1))-AVERAGE(OFFSET($H$3,0,0,'Données projet'!$E$13+1,1))</f>
        <v>281.8501448773884</v>
      </c>
      <c r="CZ106" s="60">
        <f t="shared" si="96"/>
        <v>161.7340631691518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274.19999999999976</v>
      </c>
      <c r="DP106" s="18">
        <f>DO106*VLOOKUP('Données projet'!$B$14,Paramètres!$A$1:$I$89,3,0)*VLOOKUP('Données projet'!$B$14,Paramètres!$A$1:$I$89,5,0)</f>
        <v>248.0961599999998</v>
      </c>
      <c r="DQ106" s="14">
        <f t="shared" si="97"/>
        <v>60.178080967364686</v>
      </c>
      <c r="DR106" s="22">
        <f t="shared" si="70"/>
        <v>536.91096968482657</v>
      </c>
      <c r="DS106" s="60">
        <f t="shared" si="71"/>
        <v>830.24430301815983</v>
      </c>
      <c r="DT106" s="60">
        <f ca="1">AVERAGE(OFFSET($DS$3,0,0,'Données projet'!$E$14+1,1))-AVERAGE(OFFSET($H$3,0,0,'Données projet'!$E$14+1,1))</f>
        <v>295.19398489974265</v>
      </c>
      <c r="DU106" s="60">
        <f t="shared" si="98"/>
        <v>168.80998104712489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4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282.50039999999973</v>
      </c>
      <c r="P107" s="14">
        <f t="shared" si="87"/>
        <v>67.495141560894311</v>
      </c>
      <c r="Q107" s="22">
        <f t="shared" si="107"/>
        <v>609.57556821855712</v>
      </c>
      <c r="R107" s="60">
        <f t="shared" si="55"/>
        <v>902.90890155189049</v>
      </c>
      <c r="S107" s="60">
        <f ca="1">AVERAGE(OFFSET($R$3,0,0,'Données projet'!$E$9+1,1))-AVERAGE(OFFSET($H$3,0,0,'Données projet'!$E$9+1,1))</f>
        <v>341.82426415364569</v>
      </c>
      <c r="T107" s="60">
        <f t="shared" si="88"/>
        <v>193.53376539568887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-2.8421709430404007E-13</v>
      </c>
      <c r="AJ107" s="14">
        <f>AI107*VLOOKUP('Données projet'!$B$10,Paramètres!$A$1:$I$89,3,0)*VLOOKUP('Données projet'!$B$10,Paramètres!$A$1:$I$89,5,0)</f>
        <v>-1.69961822393816E-13</v>
      </c>
      <c r="AK107" s="14" t="e">
        <f t="shared" si="89"/>
        <v>#NUM!</v>
      </c>
      <c r="AL107" s="22" t="e">
        <f t="shared" si="58"/>
        <v>#NUM!</v>
      </c>
      <c r="AM107" s="60" t="e">
        <f t="shared" si="59"/>
        <v>#NUM!</v>
      </c>
      <c r="AN107" s="60">
        <f ca="1">AVERAGE(OFFSET($AM$3,0,0,'Données projet'!$E$10+1,1))-AVERAGE(OFFSET($H$3,0,0,'Données projet'!$E$10+1,1))</f>
        <v>189.8516574130017</v>
      </c>
      <c r="AO107" s="60">
        <f t="shared" si="90"/>
        <v>191.91100863555891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3.282272574489344</v>
      </c>
      <c r="AV107" s="23">
        <f>EXP(-LN(2)/25)*AV106+(1-EXP(-LN(2)/25))/(LN(2)/25)*Calculateur!AQ107*Calculateur!AS107*VLOOKUP('Données projet'!$B$10,Paramètres!$A$1:$I$89,3,0)*0.475*44/12</f>
        <v>2.3204446586203487</v>
      </c>
      <c r="AW107" s="23">
        <f>EXP(-LN(2)/2)*AW106+(1-EXP(-LN(2)/2))/(LN(2)/2)*AQ107*AT107*VLOOKUP('Données projet'!$B$10,Paramètres!$A$1:$I$89,3,0)*0.475*44/12</f>
        <v>4.3974935615004459E-11</v>
      </c>
      <c r="AX107" s="23">
        <f t="shared" si="60"/>
        <v>5.6027172331536672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3.2051282051282044</v>
      </c>
      <c r="BD107" s="13">
        <f>IF('Données projet'!$A$88&gt;35,BD106+BC107-BL106,IF(A107&lt;'Données projet'!$A$88,$BA$205^A107,IF(A107='Données projet'!$A$88,'Données projet'!$B$88,BD106+BC107-BL106)))</f>
        <v>301.92307692307668</v>
      </c>
      <c r="BE107" s="14">
        <f>BD107*VLOOKUP('Données projet'!$B$11,Paramètres!$A$1:$I$89,3,0)*VLOOKUP('Données projet'!$B$11,Paramètres!$A$1:$I$89,5,0)</f>
        <v>315.56999999999977</v>
      </c>
      <c r="BF107" s="14">
        <f t="shared" si="91"/>
        <v>74.430859496988774</v>
      </c>
      <c r="BG107" s="22">
        <f t="shared" si="61"/>
        <v>679.25149695725497</v>
      </c>
      <c r="BH107" s="60">
        <f t="shared" si="62"/>
        <v>972.58483029058834</v>
      </c>
      <c r="BI107" s="60">
        <f ca="1">AVERAGE(OFFSET($BH$3,0,0,'Données projet'!$E$11+1,1))-AVERAGE(OFFSET($H$3,0,0,'Données projet'!$E$11+1,1))</f>
        <v>373.7520752235389</v>
      </c>
      <c r="BJ107" s="60">
        <f t="shared" si="92"/>
        <v>205.19966474305761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5.6923076923076907</v>
      </c>
      <c r="BY107" s="13">
        <f>IF('Données projet'!$A$114&gt;35,BY106+BX107-CG106,IF(A107&lt;'Données projet'!$A$114,$BV$205^A107,IF(A107='Données projet'!$A$114,'Données projet'!$B$114,BY106+BX107-CG106)))</f>
        <v>227.69230769230711</v>
      </c>
      <c r="BZ107" s="14">
        <f>BY107*VLOOKUP('Données projet'!$B$12,Paramètres!$A$1:$I$89,3,0)*VLOOKUP('Données projet'!$B$12,Paramètres!$A$1:$I$89,5,0)</f>
        <v>106.55999999999973</v>
      </c>
      <c r="CA107" s="14">
        <f t="shared" si="93"/>
        <v>28.519001132310215</v>
      </c>
      <c r="CB107" s="22">
        <f t="shared" si="64"/>
        <v>235.26259363877315</v>
      </c>
      <c r="CC107" s="60">
        <f t="shared" si="65"/>
        <v>528.59592697210644</v>
      </c>
      <c r="CD107" s="60">
        <f ca="1">AVERAGE(OFFSET($CC$3,0,0,'Données projet'!$E$12+1,1))-AVERAGE(OFFSET($H$3,0,0,'Données projet'!$E$12+1,1))</f>
        <v>141.31558705818316</v>
      </c>
      <c r="CE107" s="60">
        <f t="shared" si="94"/>
        <v>67.142010893211364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278.59999999999974</v>
      </c>
      <c r="CU107" s="18">
        <f>CT107*VLOOKUP('Données projet'!$B$13,Paramètres!$A$1:$I$89,3,0)*VLOOKUP('Données projet'!$B$13,Paramètres!$A$1:$I$89,5,0)</f>
        <v>243.38495999999981</v>
      </c>
      <c r="CV107" s="14">
        <f t="shared" si="95"/>
        <v>59.167226410761096</v>
      </c>
      <c r="CW107" s="22">
        <f t="shared" si="67"/>
        <v>526.94505799874185</v>
      </c>
      <c r="CX107" s="60">
        <f t="shared" si="68"/>
        <v>820.27839133207522</v>
      </c>
      <c r="CY107" s="60">
        <f ca="1">AVERAGE(OFFSET($CX$3,0,0,'Données projet'!$E$13+1,1))-AVERAGE(OFFSET($H$3,0,0,'Données projet'!$E$13+1,1))</f>
        <v>281.8501448773884</v>
      </c>
      <c r="CZ107" s="60">
        <f t="shared" si="96"/>
        <v>161.7340631691518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278.59999999999974</v>
      </c>
      <c r="DP107" s="18">
        <f>DO107*VLOOKUP('Données projet'!$B$14,Paramètres!$A$1:$I$89,3,0)*VLOOKUP('Données projet'!$B$14,Paramètres!$A$1:$I$89,5,0)</f>
        <v>252.07727999999975</v>
      </c>
      <c r="DQ107" s="14">
        <f t="shared" si="97"/>
        <v>61.03054465215493</v>
      </c>
      <c r="DR107" s="22">
        <f t="shared" si="70"/>
        <v>545.32946126916943</v>
      </c>
      <c r="DS107" s="60">
        <f t="shared" si="71"/>
        <v>838.6627946025028</v>
      </c>
      <c r="DT107" s="60">
        <f ca="1">AVERAGE(OFFSET($DS$3,0,0,'Données projet'!$E$14+1,1))-AVERAGE(OFFSET($H$3,0,0,'Données projet'!$E$14+1,1))</f>
        <v>295.19398489974265</v>
      </c>
      <c r="DU107" s="60">
        <f t="shared" si="98"/>
        <v>168.80998104712489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4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286.9619999999997</v>
      </c>
      <c r="P108" s="14">
        <f t="shared" si="87"/>
        <v>68.436169981717796</v>
      </c>
      <c r="Q108" s="22">
        <f t="shared" si="107"/>
        <v>618.98514605149137</v>
      </c>
      <c r="R108" s="60">
        <f t="shared" si="55"/>
        <v>912.31847938482474</v>
      </c>
      <c r="S108" s="60">
        <f ca="1">AVERAGE(OFFSET($R$3,0,0,'Données projet'!$E$9+1,1))-AVERAGE(OFFSET($H$3,0,0,'Données projet'!$E$9+1,1))</f>
        <v>341.82426415364569</v>
      </c>
      <c r="T108" s="60">
        <f t="shared" si="88"/>
        <v>193.53376539568887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-2.8421709430404007E-13</v>
      </c>
      <c r="AJ108" s="14">
        <f>AI108*VLOOKUP('Données projet'!$B$10,Paramètres!$A$1:$I$89,3,0)*VLOOKUP('Données projet'!$B$10,Paramètres!$A$1:$I$89,5,0)</f>
        <v>-1.69961822393816E-13</v>
      </c>
      <c r="AK108" s="14" t="e">
        <f t="shared" si="89"/>
        <v>#NUM!</v>
      </c>
      <c r="AL108" s="22" t="e">
        <f t="shared" si="58"/>
        <v>#NUM!</v>
      </c>
      <c r="AM108" s="60" t="e">
        <f t="shared" si="59"/>
        <v>#NUM!</v>
      </c>
      <c r="AN108" s="60">
        <f ca="1">AVERAGE(OFFSET($AM$3,0,0,'Données projet'!$E$10+1,1))-AVERAGE(OFFSET($H$3,0,0,'Données projet'!$E$10+1,1))</f>
        <v>189.8516574130017</v>
      </c>
      <c r="AO108" s="60">
        <f t="shared" si="90"/>
        <v>191.91100863555891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3.2179092112921985</v>
      </c>
      <c r="AV108" s="23">
        <f>EXP(-LN(2)/25)*AV107+(1-EXP(-LN(2)/25))/(LN(2)/25)*Calculateur!AQ108*Calculateur!AS108*VLOOKUP('Données projet'!$B$10,Paramètres!$A$1:$I$89,3,0)*0.475*44/12</f>
        <v>2.2569919774034939</v>
      </c>
      <c r="AW108" s="23">
        <f>EXP(-LN(2)/2)*AW107+(1-EXP(-LN(2)/2))/(LN(2)/2)*AQ108*AT108*VLOOKUP('Données projet'!$B$10,Paramètres!$A$1:$I$89,3,0)*0.475*44/12</f>
        <v>3.1094975175611474E-11</v>
      </c>
      <c r="AX108" s="23">
        <f t="shared" si="60"/>
        <v>5.474901188726788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3.2051282051282044</v>
      </c>
      <c r="BD108" s="13">
        <f>IF('Données projet'!$A$88&gt;35,BD107+BC108-BL107,IF(A108&lt;'Données projet'!$A$88,$BA$205^A108,IF(A108='Données projet'!$A$88,'Données projet'!$B$88,BD107+BC108-BL107)))</f>
        <v>305.12820512820485</v>
      </c>
      <c r="BE108" s="14">
        <f>BD108*VLOOKUP('Données projet'!$B$11,Paramètres!$A$1:$I$89,3,0)*VLOOKUP('Données projet'!$B$11,Paramètres!$A$1:$I$89,5,0)</f>
        <v>318.91999999999973</v>
      </c>
      <c r="BF108" s="14">
        <f t="shared" si="91"/>
        <v>75.128594464022456</v>
      </c>
      <c r="BG108" s="22">
        <f t="shared" si="61"/>
        <v>686.30130202483861</v>
      </c>
      <c r="BH108" s="60">
        <f t="shared" si="62"/>
        <v>979.63463535817186</v>
      </c>
      <c r="BI108" s="60">
        <f ca="1">AVERAGE(OFFSET($BH$3,0,0,'Données projet'!$E$11+1,1))-AVERAGE(OFFSET($H$3,0,0,'Données projet'!$E$11+1,1))</f>
        <v>373.7520752235389</v>
      </c>
      <c r="BJ108" s="60">
        <f t="shared" si="92"/>
        <v>205.19966474305761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5.6923076923076907</v>
      </c>
      <c r="BY108" s="13">
        <f>IF('Données projet'!$A$114&gt;35,BY107+BX108-CG107,IF(A108&lt;'Données projet'!$A$114,$BV$205^A108,IF(A108='Données projet'!$A$114,'Données projet'!$B$114,BY107+BX108-CG107)))</f>
        <v>233.38461538461479</v>
      </c>
      <c r="BZ108" s="14">
        <f>BY108*VLOOKUP('Données projet'!$B$12,Paramètres!$A$1:$I$89,3,0)*VLOOKUP('Données projet'!$B$12,Paramètres!$A$1:$I$89,5,0)</f>
        <v>109.22399999999972</v>
      </c>
      <c r="CA108" s="14">
        <f t="shared" si="93"/>
        <v>29.148077656155348</v>
      </c>
      <c r="CB108" s="22">
        <f t="shared" si="64"/>
        <v>240.99803525113671</v>
      </c>
      <c r="CC108" s="60">
        <f t="shared" si="65"/>
        <v>534.33136858447006</v>
      </c>
      <c r="CD108" s="60">
        <f ca="1">AVERAGE(OFFSET($CC$3,0,0,'Données projet'!$E$12+1,1))-AVERAGE(OFFSET($H$3,0,0,'Données projet'!$E$12+1,1))</f>
        <v>141.31558705818316</v>
      </c>
      <c r="CE108" s="60">
        <f t="shared" si="94"/>
        <v>67.142010893211364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282.99999999999972</v>
      </c>
      <c r="CU108" s="18">
        <f>CT108*VLOOKUP('Données projet'!$B$13,Paramètres!$A$1:$I$89,3,0)*VLOOKUP('Données projet'!$B$13,Paramètres!$A$1:$I$89,5,0)</f>
        <v>247.22879999999978</v>
      </c>
      <c r="CV108" s="14">
        <f t="shared" si="95"/>
        <v>59.992145661928042</v>
      </c>
      <c r="CW108" s="22">
        <f t="shared" si="67"/>
        <v>535.07648036119087</v>
      </c>
      <c r="CX108" s="60">
        <f t="shared" si="68"/>
        <v>828.40981369452425</v>
      </c>
      <c r="CY108" s="60">
        <f ca="1">AVERAGE(OFFSET($CX$3,0,0,'Données projet'!$E$13+1,1))-AVERAGE(OFFSET($H$3,0,0,'Données projet'!$E$13+1,1))</f>
        <v>281.8501448773884</v>
      </c>
      <c r="CZ108" s="60">
        <f t="shared" si="96"/>
        <v>161.7340631691518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282.99999999999972</v>
      </c>
      <c r="DP108" s="18">
        <f>DO108*VLOOKUP('Données projet'!$B$14,Paramètres!$A$1:$I$89,3,0)*VLOOKUP('Données projet'!$B$14,Paramètres!$A$1:$I$89,5,0)</f>
        <v>256.05839999999972</v>
      </c>
      <c r="DQ108" s="14">
        <f t="shared" si="97"/>
        <v>61.881442594256434</v>
      </c>
      <c r="DR108" s="22">
        <f t="shared" si="70"/>
        <v>553.74522585166278</v>
      </c>
      <c r="DS108" s="60">
        <f t="shared" si="71"/>
        <v>847.07855918499604</v>
      </c>
      <c r="DT108" s="60">
        <f ca="1">AVERAGE(OFFSET($DS$3,0,0,'Données projet'!$E$14+1,1))-AVERAGE(OFFSET($H$3,0,0,'Données projet'!$E$14+1,1))</f>
        <v>295.19398489974265</v>
      </c>
      <c r="DU108" s="60">
        <f t="shared" si="98"/>
        <v>168.80998104712489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4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291.42359999999968</v>
      </c>
      <c r="P109" s="14">
        <f t="shared" si="87"/>
        <v>69.375496841482104</v>
      </c>
      <c r="Q109" s="22">
        <f t="shared" si="107"/>
        <v>628.39176033224737</v>
      </c>
      <c r="R109" s="60">
        <f t="shared" si="55"/>
        <v>921.72509366558074</v>
      </c>
      <c r="S109" s="60">
        <f ca="1">AVERAGE(OFFSET($R$3,0,0,'Données projet'!$E$9+1,1))-AVERAGE(OFFSET($H$3,0,0,'Données projet'!$E$9+1,1))</f>
        <v>341.82426415364569</v>
      </c>
      <c r="T109" s="60">
        <f t="shared" si="88"/>
        <v>193.53376539568887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-2.8421709430404007E-13</v>
      </c>
      <c r="AJ109" s="14">
        <f>AI109*VLOOKUP('Données projet'!$B$10,Paramètres!$A$1:$I$89,3,0)*VLOOKUP('Données projet'!$B$10,Paramètres!$A$1:$I$89,5,0)</f>
        <v>-1.69961822393816E-13</v>
      </c>
      <c r="AK109" s="14" t="e">
        <f t="shared" si="89"/>
        <v>#NUM!</v>
      </c>
      <c r="AL109" s="22" t="e">
        <f t="shared" si="58"/>
        <v>#NUM!</v>
      </c>
      <c r="AM109" s="60" t="e">
        <f t="shared" si="59"/>
        <v>#NUM!</v>
      </c>
      <c r="AN109" s="60">
        <f ca="1">AVERAGE(OFFSET($AM$3,0,0,'Données projet'!$E$10+1,1))-AVERAGE(OFFSET($H$3,0,0,'Données projet'!$E$10+1,1))</f>
        <v>189.8516574130017</v>
      </c>
      <c r="AO109" s="60">
        <f t="shared" si="90"/>
        <v>191.91100863555891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3.1548079743895738</v>
      </c>
      <c r="AV109" s="23">
        <f>EXP(-LN(2)/25)*AV108+(1-EXP(-LN(2)/25))/(LN(2)/25)*Calculateur!AQ109*Calculateur!AS109*VLOOKUP('Données projet'!$B$10,Paramètres!$A$1:$I$89,3,0)*0.475*44/12</f>
        <v>2.1952744130913455</v>
      </c>
      <c r="AW109" s="23">
        <f>EXP(-LN(2)/2)*AW108+(1-EXP(-LN(2)/2))/(LN(2)/2)*AQ109*AT109*VLOOKUP('Données projet'!$B$10,Paramètres!$A$1:$I$89,3,0)*0.475*44/12</f>
        <v>2.1987467807502229E-11</v>
      </c>
      <c r="AX109" s="23">
        <f t="shared" si="60"/>
        <v>5.3500823875029067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3.2051282051282044</v>
      </c>
      <c r="BD109" s="13">
        <f>IF('Données projet'!$A$88&gt;35,BD108+BC109-BL108,IF(A109&lt;'Données projet'!$A$88,$BA$205^A109,IF(A109='Données projet'!$A$88,'Données projet'!$B$88,BD108+BC109-BL108)))</f>
        <v>308.33333333333303</v>
      </c>
      <c r="BE109" s="14">
        <f>BD109*VLOOKUP('Données projet'!$B$11,Paramètres!$A$1:$I$89,3,0)*VLOOKUP('Données projet'!$B$11,Paramètres!$A$1:$I$89,5,0)</f>
        <v>322.2699999999997</v>
      </c>
      <c r="BF109" s="14">
        <f t="shared" si="91"/>
        <v>75.825476822885705</v>
      </c>
      <c r="BG109" s="22">
        <f t="shared" si="61"/>
        <v>693.34962213319204</v>
      </c>
      <c r="BH109" s="60">
        <f t="shared" si="62"/>
        <v>986.6829554665253</v>
      </c>
      <c r="BI109" s="60">
        <f ca="1">AVERAGE(OFFSET($BH$3,0,0,'Données projet'!$E$11+1,1))-AVERAGE(OFFSET($H$3,0,0,'Données projet'!$E$11+1,1))</f>
        <v>373.7520752235389</v>
      </c>
      <c r="BJ109" s="60">
        <f t="shared" si="92"/>
        <v>205.19966474305761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5.6923076923076907</v>
      </c>
      <c r="BY109" s="13">
        <f>IF('Données projet'!$A$114&gt;35,BY108+BX109-CG108,IF(A109&lt;'Données projet'!$A$114,$BV$205^A109,IF(A109='Données projet'!$A$114,'Données projet'!$B$114,BY108+BX109-CG108)))</f>
        <v>239.07692307692247</v>
      </c>
      <c r="BZ109" s="14">
        <f>BY109*VLOOKUP('Données projet'!$B$12,Paramètres!$A$1:$I$89,3,0)*VLOOKUP('Données projet'!$B$12,Paramètres!$A$1:$I$89,5,0)</f>
        <v>111.88799999999971</v>
      </c>
      <c r="CA109" s="14">
        <f t="shared" si="93"/>
        <v>29.775370562311089</v>
      </c>
      <c r="CB109" s="22">
        <f t="shared" si="64"/>
        <v>246.73037039602465</v>
      </c>
      <c r="CC109" s="60">
        <f t="shared" si="65"/>
        <v>540.06370372935794</v>
      </c>
      <c r="CD109" s="60">
        <f ca="1">AVERAGE(OFFSET($CC$3,0,0,'Données projet'!$E$12+1,1))-AVERAGE(OFFSET($H$3,0,0,'Données projet'!$E$12+1,1))</f>
        <v>141.31558705818316</v>
      </c>
      <c r="CE109" s="60">
        <f t="shared" si="94"/>
        <v>67.142010893211364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4.4000000000000004</v>
      </c>
      <c r="CT109" s="13">
        <f>IF('Données projet'!$A$140&gt;35,CT108+CS109-DB108,IF(A109&lt;'Données projet'!$A$140,$CQ$205^A109,IF(A109='Données projet'!$A$140,'Données projet'!$B$140,CT108+CS109-DB108)))</f>
        <v>287.39999999999969</v>
      </c>
      <c r="CU109" s="18">
        <f>CT109*VLOOKUP('Données projet'!$B$13,Paramètres!$A$1:$I$89,3,0)*VLOOKUP('Données projet'!$B$13,Paramètres!$A$1:$I$89,5,0)</f>
        <v>251.07263999999978</v>
      </c>
      <c r="CV109" s="14">
        <f t="shared" si="95"/>
        <v>60.815573299830625</v>
      </c>
      <c r="CW109" s="22">
        <f t="shared" si="67"/>
        <v>543.2053048305379</v>
      </c>
      <c r="CX109" s="60">
        <f t="shared" si="68"/>
        <v>836.53863816387116</v>
      </c>
      <c r="CY109" s="60">
        <f ca="1">AVERAGE(OFFSET($CX$3,0,0,'Données projet'!$E$13+1,1))-AVERAGE(OFFSET($H$3,0,0,'Données projet'!$E$13+1,1))</f>
        <v>281.8501448773884</v>
      </c>
      <c r="CZ109" s="60">
        <f t="shared" si="96"/>
        <v>161.7340631691518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4.4000000000000004</v>
      </c>
      <c r="DO109" s="13">
        <f>IF('Données projet'!$A$166&gt;35,DO108+DN109-DW108,IF(A109&lt;'Données projet'!$A$166,$DL$205^A109,IF(A109='Données projet'!$A$166,'Données projet'!$B$166,DO108+DN109-DW108)))</f>
        <v>287.39999999999969</v>
      </c>
      <c r="DP109" s="18">
        <f>DO109*VLOOKUP('Données projet'!$B$14,Paramètres!$A$1:$I$89,3,0)*VLOOKUP('Données projet'!$B$14,Paramètres!$A$1:$I$89,5,0)</f>
        <v>260.0395199999997</v>
      </c>
      <c r="DQ109" s="14">
        <f t="shared" si="97"/>
        <v>62.730801948604821</v>
      </c>
      <c r="DR109" s="22">
        <f t="shared" si="70"/>
        <v>562.15831072715287</v>
      </c>
      <c r="DS109" s="60">
        <f t="shared" si="71"/>
        <v>855.49164406048612</v>
      </c>
      <c r="DT109" s="60">
        <f ca="1">AVERAGE(OFFSET($DS$3,0,0,'Données projet'!$E$14+1,1))-AVERAGE(OFFSET($H$3,0,0,'Données projet'!$E$14+1,1))</f>
        <v>295.19398489974265</v>
      </c>
      <c r="DU109" s="60">
        <f t="shared" si="98"/>
        <v>168.80998104712489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4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295.88519999999966</v>
      </c>
      <c r="P110" s="14">
        <f t="shared" si="87"/>
        <v>70.313151199178748</v>
      </c>
      <c r="Q110" s="22">
        <f t="shared" si="107"/>
        <v>637.79546167190244</v>
      </c>
      <c r="R110" s="60">
        <f t="shared" si="55"/>
        <v>931.12879500523582</v>
      </c>
      <c r="S110" s="60">
        <f ca="1">AVERAGE(OFFSET($R$3,0,0,'Données projet'!$E$9+1,1))-AVERAGE(OFFSET($H$3,0,0,'Données projet'!$E$9+1,1))</f>
        <v>341.82426415364569</v>
      </c>
      <c r="T110" s="60">
        <f t="shared" si="88"/>
        <v>193.53376539568887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-2.8421709430404007E-13</v>
      </c>
      <c r="AJ110" s="14">
        <f>AI110*VLOOKUP('Données projet'!$B$10,Paramètres!$A$1:$I$89,3,0)*VLOOKUP('Données projet'!$B$10,Paramètres!$A$1:$I$89,5,0)</f>
        <v>-1.69961822393816E-13</v>
      </c>
      <c r="AK110" s="14" t="e">
        <f t="shared" si="89"/>
        <v>#NUM!</v>
      </c>
      <c r="AL110" s="22" t="e">
        <f t="shared" si="58"/>
        <v>#NUM!</v>
      </c>
      <c r="AM110" s="60" t="e">
        <f t="shared" si="59"/>
        <v>#NUM!</v>
      </c>
      <c r="AN110" s="60">
        <f ca="1">AVERAGE(OFFSET($AM$3,0,0,'Données projet'!$E$10+1,1))-AVERAGE(OFFSET($H$3,0,0,'Données projet'!$E$10+1,1))</f>
        <v>189.8516574130017</v>
      </c>
      <c r="AO110" s="60">
        <f t="shared" si="90"/>
        <v>191.91100863555891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3.0929441142546557</v>
      </c>
      <c r="AV110" s="23">
        <f>EXP(-LN(2)/25)*AV109+(1-EXP(-LN(2)/25))/(LN(2)/25)*Calculateur!AQ110*Calculateur!AS110*VLOOKUP('Données projet'!$B$10,Paramètres!$A$1:$I$89,3,0)*0.475*44/12</f>
        <v>2.1352445188208988</v>
      </c>
      <c r="AW110" s="23">
        <f>EXP(-LN(2)/2)*AW109+(1-EXP(-LN(2)/2))/(LN(2)/2)*AQ110*AT110*VLOOKUP('Données projet'!$B$10,Paramètres!$A$1:$I$89,3,0)*0.475*44/12</f>
        <v>1.5547487587805737E-11</v>
      </c>
      <c r="AX110" s="23">
        <f t="shared" si="60"/>
        <v>5.2281886330911016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3.2051282051282044</v>
      </c>
      <c r="BD110" s="13">
        <f>IF('Données projet'!$A$88&gt;35,BD109+BC110-BL109,IF(A110&lt;'Données projet'!$A$88,$BA$205^A110,IF(A110='Données projet'!$A$88,'Données projet'!$B$88,BD109+BC110-BL109)))</f>
        <v>311.53846153846121</v>
      </c>
      <c r="BE110" s="14">
        <f>BD110*VLOOKUP('Données projet'!$B$11,Paramètres!$A$1:$I$89,3,0)*VLOOKUP('Données projet'!$B$11,Paramètres!$A$1:$I$89,5,0)</f>
        <v>325.61999999999972</v>
      </c>
      <c r="BF110" s="14">
        <f t="shared" si="91"/>
        <v>76.521516462461591</v>
      </c>
      <c r="BG110" s="22">
        <f t="shared" si="61"/>
        <v>700.39647450545351</v>
      </c>
      <c r="BH110" s="60">
        <f t="shared" si="62"/>
        <v>993.72980783878688</v>
      </c>
      <c r="BI110" s="60">
        <f ca="1">AVERAGE(OFFSET($BH$3,0,0,'Données projet'!$E$11+1,1))-AVERAGE(OFFSET($H$3,0,0,'Données projet'!$E$11+1,1))</f>
        <v>373.7520752235389</v>
      </c>
      <c r="BJ110" s="60">
        <f t="shared" si="92"/>
        <v>205.19966474305761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5.6923076923076907</v>
      </c>
      <c r="BY110" s="13">
        <f>IF('Données projet'!$A$114&gt;35,BY109+BX110-CG109,IF(A110&lt;'Données projet'!$A$114,$BV$205^A110,IF(A110='Données projet'!$A$114,'Données projet'!$B$114,BY109+BX110-CG109)))</f>
        <v>244.76923076923015</v>
      </c>
      <c r="BZ110" s="14">
        <f>BY110*VLOOKUP('Données projet'!$B$12,Paramètres!$A$1:$I$89,3,0)*VLOOKUP('Données projet'!$B$12,Paramètres!$A$1:$I$89,5,0)</f>
        <v>114.55199999999971</v>
      </c>
      <c r="CA110" s="14">
        <f t="shared" si="93"/>
        <v>30.400927204443892</v>
      </c>
      <c r="CB110" s="22">
        <f t="shared" si="64"/>
        <v>252.45968154773928</v>
      </c>
      <c r="CC110" s="60">
        <f t="shared" si="65"/>
        <v>545.79301488107262</v>
      </c>
      <c r="CD110" s="60">
        <f ca="1">AVERAGE(OFFSET($CC$3,0,0,'Données projet'!$E$12+1,1))-AVERAGE(OFFSET($H$3,0,0,'Données projet'!$E$12+1,1))</f>
        <v>141.31558705818316</v>
      </c>
      <c r="CE110" s="60">
        <f t="shared" si="94"/>
        <v>67.142010893211364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4.4000000000000004</v>
      </c>
      <c r="CT110" s="13">
        <f>IF('Données projet'!$A$140&gt;35,CT109+CS110-DB109,IF(A110&lt;'Données projet'!$A$140,$CQ$205^A110,IF(A110='Données projet'!$A$140,'Données projet'!$B$140,CT109+CS110-DB109)))</f>
        <v>291.79999999999967</v>
      </c>
      <c r="CU110" s="18">
        <f>CT110*VLOOKUP('Données projet'!$B$13,Paramètres!$A$1:$I$89,3,0)*VLOOKUP('Données projet'!$B$13,Paramètres!$A$1:$I$89,5,0)</f>
        <v>254.91647999999978</v>
      </c>
      <c r="CV110" s="14">
        <f t="shared" si="95"/>
        <v>61.637534798004744</v>
      </c>
      <c r="CW110" s="22">
        <f t="shared" si="67"/>
        <v>551.33157577319116</v>
      </c>
      <c r="CX110" s="60">
        <f t="shared" si="68"/>
        <v>844.66490910652442</v>
      </c>
      <c r="CY110" s="60">
        <f ca="1">AVERAGE(OFFSET($CX$3,0,0,'Données projet'!$E$13+1,1))-AVERAGE(OFFSET($H$3,0,0,'Données projet'!$E$13+1,1))</f>
        <v>281.8501448773884</v>
      </c>
      <c r="CZ110" s="60">
        <f t="shared" si="96"/>
        <v>161.7340631691518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4.4000000000000004</v>
      </c>
      <c r="DO110" s="13">
        <f>IF('Données projet'!$A$166&gt;35,DO109+DN110-DW109,IF(A110&lt;'Données projet'!$A$166,$DL$205^A110,IF(A110='Données projet'!$A$166,'Données projet'!$B$166,DO109+DN110-DW109)))</f>
        <v>291.79999999999967</v>
      </c>
      <c r="DP110" s="18">
        <f>DO110*VLOOKUP('Données projet'!$B$14,Paramètres!$A$1:$I$89,3,0)*VLOOKUP('Données projet'!$B$14,Paramètres!$A$1:$I$89,5,0)</f>
        <v>264.02063999999967</v>
      </c>
      <c r="DQ110" s="14">
        <f t="shared" si="97"/>
        <v>63.57864899095906</v>
      </c>
      <c r="DR110" s="22">
        <f t="shared" si="70"/>
        <v>570.56876165925303</v>
      </c>
      <c r="DS110" s="60">
        <f t="shared" si="71"/>
        <v>863.9020949925864</v>
      </c>
      <c r="DT110" s="60">
        <f ca="1">AVERAGE(OFFSET($DS$3,0,0,'Données projet'!$E$14+1,1))-AVERAGE(OFFSET($H$3,0,0,'Données projet'!$E$14+1,1))</f>
        <v>295.19398489974265</v>
      </c>
      <c r="DU110" s="60">
        <f t="shared" si="98"/>
        <v>168.80998104712489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4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300.34679999999963</v>
      </c>
      <c r="P111" s="14">
        <f t="shared" si="87"/>
        <v>71.249161187153291</v>
      </c>
      <c r="Q111" s="22">
        <f t="shared" si="107"/>
        <v>647.19629906762464</v>
      </c>
      <c r="R111" s="60">
        <f t="shared" si="55"/>
        <v>940.52963240095801</v>
      </c>
      <c r="S111" s="60">
        <f ca="1">AVERAGE(OFFSET($R$3,0,0,'Données projet'!$E$9+1,1))-AVERAGE(OFFSET($H$3,0,0,'Données projet'!$E$9+1,1))</f>
        <v>341.82426415364569</v>
      </c>
      <c r="T111" s="60">
        <f t="shared" si="88"/>
        <v>193.53376539568887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-2.8421709430404007E-13</v>
      </c>
      <c r="AJ111" s="14">
        <f>AI111*VLOOKUP('Données projet'!$B$10,Paramètres!$A$1:$I$89,3,0)*VLOOKUP('Données projet'!$B$10,Paramètres!$A$1:$I$89,5,0)</f>
        <v>-1.69961822393816E-13</v>
      </c>
      <c r="AK111" s="14" t="e">
        <f t="shared" si="89"/>
        <v>#NUM!</v>
      </c>
      <c r="AL111" s="22" t="e">
        <f t="shared" si="58"/>
        <v>#NUM!</v>
      </c>
      <c r="AM111" s="60" t="e">
        <f t="shared" si="59"/>
        <v>#NUM!</v>
      </c>
      <c r="AN111" s="60">
        <f ca="1">AVERAGE(OFFSET($AM$3,0,0,'Données projet'!$E$10+1,1))-AVERAGE(OFFSET($H$3,0,0,'Données projet'!$E$10+1,1))</f>
        <v>189.8516574130017</v>
      </c>
      <c r="AO111" s="60">
        <f t="shared" si="90"/>
        <v>191.91100863555891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3.0322933666837542</v>
      </c>
      <c r="AV111" s="23">
        <f>EXP(-LN(2)/25)*AV110+(1-EXP(-LN(2)/25))/(LN(2)/25)*Calculateur!AQ111*Calculateur!AS111*VLOOKUP('Données projet'!$B$10,Paramètres!$A$1:$I$89,3,0)*0.475*44/12</f>
        <v>2.0768561451661123</v>
      </c>
      <c r="AW111" s="23">
        <f>EXP(-LN(2)/2)*AW110+(1-EXP(-LN(2)/2))/(LN(2)/2)*AQ111*AT111*VLOOKUP('Données projet'!$B$10,Paramètres!$A$1:$I$89,3,0)*0.475*44/12</f>
        <v>1.0993733903751115E-11</v>
      </c>
      <c r="AX111" s="23">
        <f t="shared" si="60"/>
        <v>5.1091495118608599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3.2051282051282044</v>
      </c>
      <c r="BD111" s="13">
        <f>IF('Données projet'!$A$88&gt;35,BD110+BC111-BL110,IF(A111&lt;'Données projet'!$A$88,$BA$205^A111,IF(A111='Données projet'!$A$88,'Données projet'!$B$88,BD110+BC111-BL110)))</f>
        <v>314.74358974358938</v>
      </c>
      <c r="BE111" s="14">
        <f>BD111*VLOOKUP('Données projet'!$B$11,Paramètres!$A$1:$I$89,3,0)*VLOOKUP('Données projet'!$B$11,Paramètres!$A$1:$I$89,5,0)</f>
        <v>328.96999999999969</v>
      </c>
      <c r="BF111" s="14">
        <f t="shared" si="91"/>
        <v>77.216723056433693</v>
      </c>
      <c r="BG111" s="22">
        <f t="shared" si="61"/>
        <v>707.44187598995484</v>
      </c>
      <c r="BH111" s="60">
        <f t="shared" si="62"/>
        <v>1000.7752093232882</v>
      </c>
      <c r="BI111" s="60">
        <f ca="1">AVERAGE(OFFSET($BH$3,0,0,'Données projet'!$E$11+1,1))-AVERAGE(OFFSET($H$3,0,0,'Données projet'!$E$11+1,1))</f>
        <v>373.7520752235389</v>
      </c>
      <c r="BJ111" s="60">
        <f t="shared" si="92"/>
        <v>205.19966474305761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5.6923076923076907</v>
      </c>
      <c r="BY111" s="13">
        <f>IF('Données projet'!$A$114&gt;35,BY110+BX111-CG110,IF(A111&lt;'Données projet'!$A$114,$BV$205^A111,IF(A111='Données projet'!$A$114,'Données projet'!$B$114,BY110+BX111-CG110)))</f>
        <v>250.46153846153783</v>
      </c>
      <c r="BZ111" s="14">
        <f>BY111*VLOOKUP('Données projet'!$B$12,Paramètres!$A$1:$I$89,3,0)*VLOOKUP('Données projet'!$B$12,Paramètres!$A$1:$I$89,5,0)</f>
        <v>117.21599999999971</v>
      </c>
      <c r="CA111" s="14">
        <f t="shared" si="93"/>
        <v>31.024792608059023</v>
      </c>
      <c r="CB111" s="22">
        <f t="shared" si="64"/>
        <v>258.18604712570226</v>
      </c>
      <c r="CC111" s="60">
        <f t="shared" si="65"/>
        <v>551.51938045903557</v>
      </c>
      <c r="CD111" s="60">
        <f ca="1">AVERAGE(OFFSET($CC$3,0,0,'Données projet'!$E$12+1,1))-AVERAGE(OFFSET($H$3,0,0,'Données projet'!$E$12+1,1))</f>
        <v>141.31558705818316</v>
      </c>
      <c r="CE111" s="60">
        <f t="shared" si="94"/>
        <v>67.142010893211364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4.4000000000000004</v>
      </c>
      <c r="CT111" s="13">
        <f>IF('Données projet'!$A$140&gt;35,CT110+CS111-DB110,IF(A111&lt;'Données projet'!$A$140,$CQ$205^A111,IF(A111='Données projet'!$A$140,'Données projet'!$B$140,CT110+CS111-DB110)))</f>
        <v>296.19999999999965</v>
      </c>
      <c r="CU111" s="18">
        <f>CT111*VLOOKUP('Données projet'!$B$13,Paramètres!$A$1:$I$89,3,0)*VLOOKUP('Données projet'!$B$13,Paramètres!$A$1:$I$89,5,0)</f>
        <v>258.76031999999969</v>
      </c>
      <c r="CV111" s="14">
        <f t="shared" si="95"/>
        <v>62.458054817675475</v>
      </c>
      <c r="CW111" s="22">
        <f t="shared" si="67"/>
        <v>559.4553361407842</v>
      </c>
      <c r="CX111" s="60">
        <f t="shared" si="68"/>
        <v>852.78866947411757</v>
      </c>
      <c r="CY111" s="60">
        <f ca="1">AVERAGE(OFFSET($CX$3,0,0,'Données projet'!$E$13+1,1))-AVERAGE(OFFSET($H$3,0,0,'Données projet'!$E$13+1,1))</f>
        <v>281.8501448773884</v>
      </c>
      <c r="CZ111" s="60">
        <f t="shared" si="96"/>
        <v>161.7340631691518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4.4000000000000004</v>
      </c>
      <c r="DO111" s="13">
        <f>IF('Données projet'!$A$166&gt;35,DO110+DN111-DW110,IF(A111&lt;'Données projet'!$A$166,$DL$205^A111,IF(A111='Données projet'!$A$166,'Données projet'!$B$166,DO110+DN111-DW110)))</f>
        <v>296.19999999999965</v>
      </c>
      <c r="DP111" s="18">
        <f>DO111*VLOOKUP('Données projet'!$B$14,Paramètres!$A$1:$I$89,3,0)*VLOOKUP('Données projet'!$B$14,Paramètres!$A$1:$I$89,5,0)</f>
        <v>268.00175999999971</v>
      </c>
      <c r="DQ111" s="14">
        <f t="shared" si="97"/>
        <v>64.425009159185521</v>
      </c>
      <c r="DR111" s="22">
        <f t="shared" si="70"/>
        <v>578.97662295224757</v>
      </c>
      <c r="DS111" s="60">
        <f t="shared" si="71"/>
        <v>872.30995628558094</v>
      </c>
      <c r="DT111" s="60">
        <f ca="1">AVERAGE(OFFSET($DS$3,0,0,'Données projet'!$E$14+1,1))-AVERAGE(OFFSET($H$3,0,0,'Données projet'!$E$14+1,1))</f>
        <v>295.19398489974265</v>
      </c>
      <c r="DU111" s="60">
        <f t="shared" si="98"/>
        <v>168.80998104712489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4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304.80839999999961</v>
      </c>
      <c r="P112" s="14">
        <f t="shared" si="87"/>
        <v>72.183554053972728</v>
      </c>
      <c r="Q112" s="22">
        <f t="shared" si="107"/>
        <v>656.59431997733509</v>
      </c>
      <c r="R112" s="60">
        <f t="shared" si="55"/>
        <v>949.92765331066835</v>
      </c>
      <c r="S112" s="60">
        <f ca="1">AVERAGE(OFFSET($R$3,0,0,'Données projet'!$E$9+1,1))-AVERAGE(OFFSET($H$3,0,0,'Données projet'!$E$9+1,1))</f>
        <v>341.82426415364569</v>
      </c>
      <c r="T112" s="60">
        <f t="shared" si="88"/>
        <v>193.53376539568887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-2.8421709430404007E-13</v>
      </c>
      <c r="AJ112" s="14">
        <f>AI112*VLOOKUP('Données projet'!$B$10,Paramètres!$A$1:$I$89,3,0)*VLOOKUP('Données projet'!$B$10,Paramètres!$A$1:$I$89,5,0)</f>
        <v>-1.69961822393816E-13</v>
      </c>
      <c r="AK112" s="14" t="e">
        <f t="shared" si="89"/>
        <v>#NUM!</v>
      </c>
      <c r="AL112" s="22" t="e">
        <f t="shared" si="58"/>
        <v>#NUM!</v>
      </c>
      <c r="AM112" s="60" t="e">
        <f t="shared" si="59"/>
        <v>#NUM!</v>
      </c>
      <c r="AN112" s="60">
        <f ca="1">AVERAGE(OFFSET($AM$3,0,0,'Données projet'!$E$10+1,1))-AVERAGE(OFFSET($H$3,0,0,'Données projet'!$E$10+1,1))</f>
        <v>189.8516574130017</v>
      </c>
      <c r="AO112" s="60">
        <f t="shared" si="90"/>
        <v>191.91100863555891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2.9728319432794148</v>
      </c>
      <c r="AV112" s="23">
        <f>EXP(-LN(2)/25)*AV111+(1-EXP(-LN(2)/25))/(LN(2)/25)*Calculateur!AQ112*Calculateur!AS112*VLOOKUP('Données projet'!$B$10,Paramètres!$A$1:$I$89,3,0)*0.475*44/12</f>
        <v>2.0200644046594269</v>
      </c>
      <c r="AW112" s="23">
        <f>EXP(-LN(2)/2)*AW111+(1-EXP(-LN(2)/2))/(LN(2)/2)*AQ112*AT112*VLOOKUP('Données projet'!$B$10,Paramètres!$A$1:$I$89,3,0)*0.475*44/12</f>
        <v>7.7737437939028684E-12</v>
      </c>
      <c r="AX112" s="23">
        <f t="shared" si="60"/>
        <v>4.9928963479466155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3.2051282051282044</v>
      </c>
      <c r="BD112" s="13">
        <f>IF('Données projet'!$A$88&gt;35,BD111+BC112-BL111,IF(A112&lt;'Données projet'!$A$88,$BA$205^A112,IF(A112='Données projet'!$A$88,'Données projet'!$B$88,BD111+BC112-BL111)))</f>
        <v>317.94871794871756</v>
      </c>
      <c r="BE112" s="14">
        <f>BD112*VLOOKUP('Données projet'!$B$11,Paramètres!$A$1:$I$89,3,0)*VLOOKUP('Données projet'!$B$11,Paramètres!$A$1:$I$89,5,0)</f>
        <v>332.3199999999996</v>
      </c>
      <c r="BF112" s="14">
        <f t="shared" si="91"/>
        <v>77.911106070111614</v>
      </c>
      <c r="BG112" s="22">
        <f t="shared" si="61"/>
        <v>714.48584307211024</v>
      </c>
      <c r="BH112" s="60">
        <f t="shared" si="62"/>
        <v>1007.8191764054436</v>
      </c>
      <c r="BI112" s="60">
        <f ca="1">AVERAGE(OFFSET($BH$3,0,0,'Données projet'!$E$11+1,1))-AVERAGE(OFFSET($H$3,0,0,'Données projet'!$E$11+1,1))</f>
        <v>373.7520752235389</v>
      </c>
      <c r="BJ112" s="60">
        <f t="shared" si="92"/>
        <v>205.19966474305761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>
        <f>VLOOKUP(A112,'Données projet'!$A$113:$I$133,2,0)</f>
        <v>256.15384615384613</v>
      </c>
      <c r="BW112" s="13">
        <f>VLOOKUP(A112,'Données projet'!$A$113:$I$133,9,0)</f>
        <v>5.6923076923076907</v>
      </c>
      <c r="BX112" s="13">
        <f t="array" ref="BX112">INDEX(BW:BW,MIN(IF(ISNUMBER(BW112:BW308),ROW(BW112:BW308),"")))</f>
        <v>5.6923076923076907</v>
      </c>
      <c r="BY112" s="13">
        <f>IF('Données projet'!$A$114&gt;35,BY111+BX112-CG111,IF(A112&lt;'Données projet'!$A$114,$BV$205^A112,IF(A112='Données projet'!$A$114,'Données projet'!$B$114,BY111+BX112-CG111)))</f>
        <v>256.15384615384551</v>
      </c>
      <c r="BZ112" s="14">
        <f>BY112*VLOOKUP('Données projet'!$B$12,Paramètres!$A$1:$I$89,3,0)*VLOOKUP('Données projet'!$B$12,Paramètres!$A$1:$I$89,5,0)</f>
        <v>119.8799999999997</v>
      </c>
      <c r="CA112" s="14">
        <f t="shared" si="93"/>
        <v>31.647009635236898</v>
      </c>
      <c r="CB112" s="22">
        <f t="shared" si="64"/>
        <v>263.90954178137036</v>
      </c>
      <c r="CC112" s="60">
        <f t="shared" si="65"/>
        <v>557.24287511470368</v>
      </c>
      <c r="CD112" s="60">
        <f ca="1">AVERAGE(OFFSET($CC$3,0,0,'Données projet'!$E$12+1,1))-AVERAGE(OFFSET($H$3,0,0,'Données projet'!$E$12+1,1))</f>
        <v>141.31558705818316</v>
      </c>
      <c r="CE112" s="60">
        <f t="shared" si="94"/>
        <v>67.142010893211364</v>
      </c>
      <c r="CF112" s="16">
        <f>IF(ISNA(VLOOKUP(A112,'Données projet'!$A$113:$I$133,3,0)),0,VLOOKUP(A112,'Données projet'!$A$113:$I$133,3,0))</f>
        <v>6</v>
      </c>
      <c r="CG112" s="16">
        <f>IF(ISNA(VLOOKUP(A112,'Données projet'!$A$113:$I$133,4,0)),0,VLOOKUP(A112,'Données projet'!$A$113:$I$133,4,0))</f>
        <v>256.15384615384613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4.4000000000000004</v>
      </c>
      <c r="CT112" s="13">
        <f>IF('Données projet'!$A$140&gt;35,CT111+CS112-DB111,IF(A112&lt;'Données projet'!$A$140,$CQ$205^A112,IF(A112='Données projet'!$A$140,'Données projet'!$B$140,CT111+CS112-DB111)))</f>
        <v>300.59999999999962</v>
      </c>
      <c r="CU112" s="18">
        <f>CT112*VLOOKUP('Données projet'!$B$13,Paramètres!$A$1:$I$89,3,0)*VLOOKUP('Données projet'!$B$13,Paramètres!$A$1:$I$89,5,0)</f>
        <v>262.60415999999969</v>
      </c>
      <c r="CV112" s="14">
        <f t="shared" si="95"/>
        <v>63.277157245334358</v>
      </c>
      <c r="CW112" s="22">
        <f t="shared" si="67"/>
        <v>567.5766275356234</v>
      </c>
      <c r="CX112" s="60">
        <f t="shared" si="68"/>
        <v>860.90996086895666</v>
      </c>
      <c r="CY112" s="60">
        <f ca="1">AVERAGE(OFFSET($CX$3,0,0,'Données projet'!$E$13+1,1))-AVERAGE(OFFSET($H$3,0,0,'Données projet'!$E$13+1,1))</f>
        <v>281.8501448773884</v>
      </c>
      <c r="CZ112" s="60">
        <f t="shared" si="96"/>
        <v>161.7340631691518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4.4000000000000004</v>
      </c>
      <c r="DO112" s="13">
        <f>IF('Données projet'!$A$166&gt;35,DO111+DN112-DW111,IF(A112&lt;'Données projet'!$A$166,$DL$205^A112,IF(A112='Données projet'!$A$166,'Données projet'!$B$166,DO111+DN112-DW111)))</f>
        <v>300.59999999999962</v>
      </c>
      <c r="DP112" s="18">
        <f>DO112*VLOOKUP('Données projet'!$B$14,Paramètres!$A$1:$I$89,3,0)*VLOOKUP('Données projet'!$B$14,Paramètres!$A$1:$I$89,5,0)</f>
        <v>271.98287999999962</v>
      </c>
      <c r="DQ112" s="14">
        <f t="shared" si="97"/>
        <v>65.269907092018684</v>
      </c>
      <c r="DR112" s="22">
        <f t="shared" si="70"/>
        <v>587.38193751859842</v>
      </c>
      <c r="DS112" s="60">
        <f t="shared" si="71"/>
        <v>880.71527085193179</v>
      </c>
      <c r="DT112" s="60">
        <f ca="1">AVERAGE(OFFSET($DS$3,0,0,'Données projet'!$E$14+1,1))-AVERAGE(OFFSET($H$3,0,0,'Données projet'!$E$14+1,1))</f>
        <v>295.19398489974265</v>
      </c>
      <c r="DU112" s="60">
        <f t="shared" si="98"/>
        <v>168.80998104712489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4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309.26999999999958</v>
      </c>
      <c r="P113" s="14">
        <f t="shared" si="87"/>
        <v>73.116356204710968</v>
      </c>
      <c r="Q113" s="22">
        <f t="shared" si="107"/>
        <v>665.98957038987078</v>
      </c>
      <c r="R113" s="60">
        <f t="shared" si="55"/>
        <v>959.32290372320404</v>
      </c>
      <c r="S113" s="60">
        <f ca="1">AVERAGE(OFFSET($R$3,0,0,'Données projet'!$E$9+1,1))-AVERAGE(OFFSET($H$3,0,0,'Données projet'!$E$9+1,1))</f>
        <v>341.82426415364569</v>
      </c>
      <c r="T113" s="60">
        <f t="shared" si="88"/>
        <v>193.53376539568887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-2.8421709430404007E-13</v>
      </c>
      <c r="AJ113" s="14">
        <f>AI113*VLOOKUP('Données projet'!$B$10,Paramètres!$A$1:$I$89,3,0)*VLOOKUP('Données projet'!$B$10,Paramètres!$A$1:$I$89,5,0)</f>
        <v>-1.69961822393816E-13</v>
      </c>
      <c r="AK113" s="14" t="e">
        <f t="shared" si="89"/>
        <v>#NUM!</v>
      </c>
      <c r="AL113" s="22" t="e">
        <f t="shared" si="58"/>
        <v>#NUM!</v>
      </c>
      <c r="AM113" s="60" t="e">
        <f t="shared" si="59"/>
        <v>#NUM!</v>
      </c>
      <c r="AN113" s="60">
        <f ca="1">AVERAGE(OFFSET($AM$3,0,0,'Données projet'!$E$10+1,1))-AVERAGE(OFFSET($H$3,0,0,'Données projet'!$E$10+1,1))</f>
        <v>189.8516574130017</v>
      </c>
      <c r="AO113" s="60">
        <f t="shared" si="90"/>
        <v>191.91100863555891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2.9145365221201476</v>
      </c>
      <c r="AV113" s="23">
        <f>EXP(-LN(2)/25)*AV112+(1-EXP(-LN(2)/25))/(LN(2)/25)*Calculateur!AQ113*Calculateur!AS113*VLOOKUP('Données projet'!$B$10,Paramètres!$A$1:$I$89,3,0)*0.475*44/12</f>
        <v>1.9648256372834447</v>
      </c>
      <c r="AW113" s="23">
        <f>EXP(-LN(2)/2)*AW112+(1-EXP(-LN(2)/2))/(LN(2)/2)*AQ113*AT113*VLOOKUP('Données projet'!$B$10,Paramètres!$A$1:$I$89,3,0)*0.475*44/12</f>
        <v>5.4968669518755574E-12</v>
      </c>
      <c r="AX113" s="23">
        <f t="shared" si="60"/>
        <v>4.879362159409089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321.15384615384613</v>
      </c>
      <c r="BB113" s="13">
        <f>VLOOKUP(A113,'Données projet'!$A$87:$I$107,9,0)</f>
        <v>3.2051282051282044</v>
      </c>
      <c r="BC113" s="13">
        <f t="array" ref="BC113">INDEX(BB:BB,MIN(IF(ISNUMBER(BB113:BB309),ROW(BB113:BB309),"")))</f>
        <v>3.2051282051282044</v>
      </c>
      <c r="BD113" s="13">
        <f>IF('Données projet'!$A$88&gt;35,BD112+BC113-BL112,IF(A113&lt;'Données projet'!$A$88,$BA$205^A113,IF(A113='Données projet'!$A$88,'Données projet'!$B$88,BD112+BC113-BL112)))</f>
        <v>321.15384615384573</v>
      </c>
      <c r="BE113" s="14">
        <f>BD113*VLOOKUP('Données projet'!$B$11,Paramètres!$A$1:$I$89,3,0)*VLOOKUP('Données projet'!$B$11,Paramètres!$A$1:$I$89,5,0)</f>
        <v>335.66999999999956</v>
      </c>
      <c r="BF113" s="14">
        <f t="shared" si="91"/>
        <v>78.604674766974242</v>
      </c>
      <c r="BG113" s="22">
        <f t="shared" si="61"/>
        <v>721.52839188581265</v>
      </c>
      <c r="BH113" s="60">
        <f t="shared" si="62"/>
        <v>1014.8617252191459</v>
      </c>
      <c r="BI113" s="60">
        <f ca="1">AVERAGE(OFFSET($BH$3,0,0,'Données projet'!$E$11+1,1))-AVERAGE(OFFSET($H$3,0,0,'Données projet'!$E$11+1,1))</f>
        <v>373.7520752235389</v>
      </c>
      <c r="BJ113" s="60">
        <f t="shared" si="92"/>
        <v>205.19966474305761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19.23076923076923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-6.2527760746888816E-13</v>
      </c>
      <c r="BZ113" s="14">
        <f>BY113*VLOOKUP('Données projet'!$B$12,Paramètres!$A$1:$I$89,3,0)*VLOOKUP('Données projet'!$B$12,Paramètres!$A$1:$I$89,5,0)</f>
        <v>-2.9262992029543964E-13</v>
      </c>
      <c r="CA113" s="14" t="e">
        <f t="shared" si="93"/>
        <v>#NUM!</v>
      </c>
      <c r="CB113" s="22" t="e">
        <f t="shared" si="64"/>
        <v>#NUM!</v>
      </c>
      <c r="CC113" s="60" t="e">
        <f t="shared" si="65"/>
        <v>#NUM!</v>
      </c>
      <c r="CD113" s="60">
        <f ca="1">AVERAGE(OFFSET($CC$3,0,0,'Données projet'!$E$12+1,1))-AVERAGE(OFFSET($H$3,0,0,'Données projet'!$E$12+1,1))</f>
        <v>141.31558705818316</v>
      </c>
      <c r="CE113" s="60">
        <f t="shared" si="94"/>
        <v>67.142010893211364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305</v>
      </c>
      <c r="CR113" s="13">
        <f>VLOOKUP(A113,'Données projet'!$A$139:$I$159,9,0)</f>
        <v>4.4000000000000004</v>
      </c>
      <c r="CS113" s="13">
        <f t="array" ref="CS113">INDEX(CR:CR,MIN(IF(ISNUMBER(CR113:CR309),ROW(CR113:CR309),"")))</f>
        <v>4.4000000000000004</v>
      </c>
      <c r="CT113" s="13">
        <f>IF('Données projet'!$A$140&gt;35,CT112+CS113-DB112,IF(A113&lt;'Données projet'!$A$140,$CQ$205^A113,IF(A113='Données projet'!$A$140,'Données projet'!$B$140,CT112+CS113-DB112)))</f>
        <v>304.9999999999996</v>
      </c>
      <c r="CU113" s="18">
        <f>CT113*VLOOKUP('Données projet'!$B$13,Paramètres!$A$1:$I$89,3,0)*VLOOKUP('Données projet'!$B$13,Paramètres!$A$1:$I$89,5,0)</f>
        <v>266.44799999999969</v>
      </c>
      <c r="CV113" s="14">
        <f t="shared" si="95"/>
        <v>64.09486522805463</v>
      </c>
      <c r="CW113" s="22">
        <f t="shared" si="67"/>
        <v>575.69549027219466</v>
      </c>
      <c r="CX113" s="60">
        <f t="shared" si="68"/>
        <v>869.02882360552803</v>
      </c>
      <c r="CY113" s="60">
        <f ca="1">AVERAGE(OFFSET($CX$3,0,0,'Données projet'!$E$13+1,1))-AVERAGE(OFFSET($H$3,0,0,'Données projet'!$E$13+1,1))</f>
        <v>281.8501448773884</v>
      </c>
      <c r="CZ113" s="60">
        <f t="shared" si="96"/>
        <v>161.7340631691518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305</v>
      </c>
      <c r="DM113" s="13">
        <f>VLOOKUP(A113,'Données projet'!$A$165:$I$185,9,0)</f>
        <v>4.4000000000000004</v>
      </c>
      <c r="DN113" s="13">
        <f t="array" ref="DN113">INDEX(DM:DM,MIN(IF(ISNUMBER(DM113:DM309),ROW(DM113:DM309),"")))</f>
        <v>4.4000000000000004</v>
      </c>
      <c r="DO113" s="13">
        <f>IF('Données projet'!$A$166&gt;35,DO112+DN113-DW112,IF(A113&lt;'Données projet'!$A$166,$DL$205^A113,IF(A113='Données projet'!$A$166,'Données projet'!$B$166,DO112+DN113-DW112)))</f>
        <v>304.9999999999996</v>
      </c>
      <c r="DP113" s="18">
        <f>DO113*VLOOKUP('Données projet'!$B$14,Paramètres!$A$1:$I$89,3,0)*VLOOKUP('Données projet'!$B$14,Paramètres!$A$1:$I$89,5,0)</f>
        <v>275.9639999999996</v>
      </c>
      <c r="DQ113" s="14">
        <f t="shared" si="97"/>
        <v>66.113366665488797</v>
      </c>
      <c r="DR113" s="22">
        <f t="shared" si="70"/>
        <v>595.7847469423923</v>
      </c>
      <c r="DS113" s="60">
        <f t="shared" si="71"/>
        <v>889.11808027572556</v>
      </c>
      <c r="DT113" s="60">
        <f ca="1">AVERAGE(OFFSET($DS$3,0,0,'Données projet'!$E$14+1,1))-AVERAGE(OFFSET($H$3,0,0,'Données projet'!$E$14+1,1))</f>
        <v>295.19398489974265</v>
      </c>
      <c r="DU113" s="60">
        <f t="shared" si="98"/>
        <v>168.80998104712489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39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4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273.47579999999959</v>
      </c>
      <c r="P114" s="14">
        <f t="shared" si="87"/>
        <v>65.586371730977532</v>
      </c>
      <c r="Q114" s="22">
        <f t="shared" si="107"/>
        <v>590.53328243145177</v>
      </c>
      <c r="R114" s="60">
        <f t="shared" si="55"/>
        <v>883.86661576478514</v>
      </c>
      <c r="S114" s="60">
        <f ca="1">AVERAGE(OFFSET($R$3,0,0,'Données projet'!$E$9+1,1))-AVERAGE(OFFSET($H$3,0,0,'Données projet'!$E$9+1,1))</f>
        <v>341.82426415364569</v>
      </c>
      <c r="T114" s="60">
        <f t="shared" si="88"/>
        <v>193.53376539568887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-2.8421709430404007E-13</v>
      </c>
      <c r="AJ114" s="14">
        <f>AI114*VLOOKUP('Données projet'!$B$10,Paramètres!$A$1:$I$89,3,0)*VLOOKUP('Données projet'!$B$10,Paramètres!$A$1:$I$89,5,0)</f>
        <v>-1.69961822393816E-13</v>
      </c>
      <c r="AK114" s="14" t="e">
        <f t="shared" si="89"/>
        <v>#NUM!</v>
      </c>
      <c r="AL114" s="22" t="e">
        <f t="shared" si="58"/>
        <v>#NUM!</v>
      </c>
      <c r="AM114" s="60" t="e">
        <f t="shared" si="59"/>
        <v>#NUM!</v>
      </c>
      <c r="AN114" s="60">
        <f ca="1">AVERAGE(OFFSET($AM$3,0,0,'Données projet'!$E$10+1,1))-AVERAGE(OFFSET($H$3,0,0,'Données projet'!$E$10+1,1))</f>
        <v>189.8516574130017</v>
      </c>
      <c r="AO114" s="60">
        <f t="shared" si="90"/>
        <v>191.91100863555891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2.8573842386131174</v>
      </c>
      <c r="AV114" s="23">
        <f>EXP(-LN(2)/25)*AV113+(1-EXP(-LN(2)/25))/(LN(2)/25)*Calculateur!AQ114*Calculateur!AS114*VLOOKUP('Données projet'!$B$10,Paramètres!$A$1:$I$89,3,0)*0.475*44/12</f>
        <v>1.9110973769062394</v>
      </c>
      <c r="AW114" s="23">
        <f>EXP(-LN(2)/2)*AW113+(1-EXP(-LN(2)/2))/(LN(2)/2)*AQ114*AT114*VLOOKUP('Données projet'!$B$10,Paramètres!$A$1:$I$89,3,0)*0.475*44/12</f>
        <v>3.8868718969514342E-12</v>
      </c>
      <c r="AX114" s="23">
        <f t="shared" si="60"/>
        <v>4.7684816155232435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2.8846153846153868</v>
      </c>
      <c r="BD114" s="13">
        <f>IF('Données projet'!$A$88&gt;35,BD113+BC114-BL113,IF(A114&lt;'Données projet'!$A$88,$BA$205^A114,IF(A114='Données projet'!$A$88,'Données projet'!$B$88,BD113+BC114-BL113)))</f>
        <v>304.80769230769187</v>
      </c>
      <c r="BE114" s="14">
        <f>BD114*VLOOKUP('Données projet'!$B$11,Paramètres!$A$1:$I$89,3,0)*VLOOKUP('Données projet'!$B$11,Paramètres!$A$1:$I$89,5,0)</f>
        <v>318.58499999999958</v>
      </c>
      <c r="BF114" s="14">
        <f t="shared" si="91"/>
        <v>75.058859499755215</v>
      </c>
      <c r="BG114" s="22">
        <f t="shared" si="61"/>
        <v>685.59638862873953</v>
      </c>
      <c r="BH114" s="60">
        <f t="shared" si="62"/>
        <v>978.92972196207279</v>
      </c>
      <c r="BI114" s="60">
        <f ca="1">AVERAGE(OFFSET($BH$3,0,0,'Données projet'!$E$11+1,1))-AVERAGE(OFFSET($H$3,0,0,'Données projet'!$E$11+1,1))</f>
        <v>373.7520752235389</v>
      </c>
      <c r="BJ114" s="60">
        <f t="shared" si="92"/>
        <v>205.19966474305761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-6.2527760746888816E-13</v>
      </c>
      <c r="BZ114" s="14">
        <f>BY114*VLOOKUP('Données projet'!$B$12,Paramètres!$A$1:$I$89,3,0)*VLOOKUP('Données projet'!$B$12,Paramètres!$A$1:$I$89,5,0)</f>
        <v>-2.9262992029543964E-13</v>
      </c>
      <c r="CA114" s="14" t="e">
        <f t="shared" si="93"/>
        <v>#NUM!</v>
      </c>
      <c r="CB114" s="22" t="e">
        <f t="shared" si="64"/>
        <v>#NUM!</v>
      </c>
      <c r="CC114" s="60" t="e">
        <f t="shared" si="65"/>
        <v>#NUM!</v>
      </c>
      <c r="CD114" s="60">
        <f ca="1">AVERAGE(OFFSET($CC$3,0,0,'Données projet'!$E$12+1,1))-AVERAGE(OFFSET($H$3,0,0,'Données projet'!$E$12+1,1))</f>
        <v>141.31558705818316</v>
      </c>
      <c r="CE114" s="60">
        <f t="shared" si="94"/>
        <v>67.142010893211364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3.7</v>
      </c>
      <c r="CT114" s="13">
        <f>IF('Données projet'!$A$140&gt;35,CT113+CS114-DB113,IF(A114&lt;'Données projet'!$A$140,$CQ$205^A114,IF(A114='Données projet'!$A$140,'Données projet'!$B$140,CT113+CS114-DB113)))</f>
        <v>269.69999999999959</v>
      </c>
      <c r="CU114" s="18">
        <f>CT114*VLOOKUP('Données projet'!$B$13,Paramètres!$A$1:$I$89,3,0)*VLOOKUP('Données projet'!$B$13,Paramètres!$A$1:$I$89,5,0)</f>
        <v>235.60991999999968</v>
      </c>
      <c r="CV114" s="14">
        <f t="shared" si="95"/>
        <v>57.493970912943851</v>
      </c>
      <c r="CW114" s="22">
        <f t="shared" si="67"/>
        <v>510.48927667337665</v>
      </c>
      <c r="CX114" s="60">
        <f t="shared" si="68"/>
        <v>803.82261000670997</v>
      </c>
      <c r="CY114" s="60">
        <f ca="1">AVERAGE(OFFSET($CX$3,0,0,'Données projet'!$E$13+1,1))-AVERAGE(OFFSET($H$3,0,0,'Données projet'!$E$13+1,1))</f>
        <v>281.8501448773884</v>
      </c>
      <c r="CZ114" s="60">
        <f t="shared" si="96"/>
        <v>161.7340631691518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3.7</v>
      </c>
      <c r="DO114" s="13">
        <f>IF('Données projet'!$A$166&gt;35,DO113+DN114-DW113,IF(A114&lt;'Données projet'!$A$166,$DL$205^A114,IF(A114='Données projet'!$A$166,'Données projet'!$B$166,DO113+DN114-DW113)))</f>
        <v>269.69999999999959</v>
      </c>
      <c r="DP114" s="18">
        <f>DO114*VLOOKUP('Données projet'!$B$14,Paramètres!$A$1:$I$89,3,0)*VLOOKUP('Données projet'!$B$14,Paramètres!$A$1:$I$89,5,0)</f>
        <v>244.02455999999964</v>
      </c>
      <c r="DQ114" s="14">
        <f t="shared" si="97"/>
        <v>59.304594314969229</v>
      </c>
      <c r="DR114" s="22">
        <f t="shared" si="70"/>
        <v>528.29827709857079</v>
      </c>
      <c r="DS114" s="60">
        <f t="shared" si="71"/>
        <v>821.63161043190416</v>
      </c>
      <c r="DT114" s="60">
        <f ca="1">AVERAGE(OFFSET($DS$3,0,0,'Données projet'!$E$14+1,1))-AVERAGE(OFFSET($H$3,0,0,'Données projet'!$E$14+1,1))</f>
        <v>295.19398489974265</v>
      </c>
      <c r="DU114" s="60">
        <f t="shared" si="98"/>
        <v>168.80998104712489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4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277.2275999999996</v>
      </c>
      <c r="P115" s="14">
        <f t="shared" si="87"/>
        <v>66.380782187895392</v>
      </c>
      <c r="Q115" s="22">
        <f t="shared" si="107"/>
        <v>598.45126564391705</v>
      </c>
      <c r="R115" s="60">
        <f t="shared" si="55"/>
        <v>891.78459897725043</v>
      </c>
      <c r="S115" s="60">
        <f ca="1">AVERAGE(OFFSET($R$3,0,0,'Données projet'!$E$9+1,1))-AVERAGE(OFFSET($H$3,0,0,'Données projet'!$E$9+1,1))</f>
        <v>341.82426415364569</v>
      </c>
      <c r="T115" s="60">
        <f t="shared" si="88"/>
        <v>193.53376539568887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-2.8421709430404007E-13</v>
      </c>
      <c r="AJ115" s="14">
        <f>AI115*VLOOKUP('Données projet'!$B$10,Paramètres!$A$1:$I$89,3,0)*VLOOKUP('Données projet'!$B$10,Paramètres!$A$1:$I$89,5,0)</f>
        <v>-1.69961822393816E-13</v>
      </c>
      <c r="AK115" s="14" t="e">
        <f t="shared" si="89"/>
        <v>#NUM!</v>
      </c>
      <c r="AL115" s="22" t="e">
        <f t="shared" si="58"/>
        <v>#NUM!</v>
      </c>
      <c r="AM115" s="60" t="e">
        <f t="shared" si="59"/>
        <v>#NUM!</v>
      </c>
      <c r="AN115" s="60">
        <f ca="1">AVERAGE(OFFSET($AM$3,0,0,'Données projet'!$E$10+1,1))-AVERAGE(OFFSET($H$3,0,0,'Données projet'!$E$10+1,1))</f>
        <v>189.8516574130017</v>
      </c>
      <c r="AO115" s="60">
        <f t="shared" si="90"/>
        <v>191.91100863555891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2.8013526765262093</v>
      </c>
      <c r="AV115" s="23">
        <f>EXP(-LN(2)/25)*AV114+(1-EXP(-LN(2)/25))/(LN(2)/25)*Calculateur!AQ115*Calculateur!AS115*VLOOKUP('Données projet'!$B$10,Paramètres!$A$1:$I$89,3,0)*0.475*44/12</f>
        <v>1.858838318634495</v>
      </c>
      <c r="AW115" s="23">
        <f>EXP(-LN(2)/2)*AW114+(1-EXP(-LN(2)/2))/(LN(2)/2)*AQ115*AT115*VLOOKUP('Données projet'!$B$10,Paramètres!$A$1:$I$89,3,0)*0.475*44/12</f>
        <v>2.7484334759377787E-12</v>
      </c>
      <c r="AX115" s="23">
        <f t="shared" si="60"/>
        <v>4.6601909951634521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2.8846153846153868</v>
      </c>
      <c r="BD115" s="13">
        <f>IF('Données projet'!$A$88&gt;35,BD114+BC115-BL114,IF(A115&lt;'Données projet'!$A$88,$BA$205^A115,IF(A115='Données projet'!$A$88,'Données projet'!$B$88,BD114+BC115-BL114)))</f>
        <v>307.69230769230728</v>
      </c>
      <c r="BE115" s="14">
        <f>BD115*VLOOKUP('Données projet'!$B$11,Paramètres!$A$1:$I$89,3,0)*VLOOKUP('Données projet'!$B$11,Paramètres!$A$1:$I$89,5,0)</f>
        <v>321.59999999999962</v>
      </c>
      <c r="BF115" s="14">
        <f t="shared" si="91"/>
        <v>75.686168081957248</v>
      </c>
      <c r="BG115" s="22">
        <f t="shared" si="61"/>
        <v>691.94007607607489</v>
      </c>
      <c r="BH115" s="60">
        <f t="shared" si="62"/>
        <v>985.27340940940826</v>
      </c>
      <c r="BI115" s="60">
        <f ca="1">AVERAGE(OFFSET($BH$3,0,0,'Données projet'!$E$11+1,1))-AVERAGE(OFFSET($H$3,0,0,'Données projet'!$E$11+1,1))</f>
        <v>373.7520752235389</v>
      </c>
      <c r="BJ115" s="60">
        <f t="shared" si="92"/>
        <v>205.19966474305761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-6.2527760746888816E-13</v>
      </c>
      <c r="BZ115" s="14">
        <f>BY115*VLOOKUP('Données projet'!$B$12,Paramètres!$A$1:$I$89,3,0)*VLOOKUP('Données projet'!$B$12,Paramètres!$A$1:$I$89,5,0)</f>
        <v>-2.9262992029543964E-13</v>
      </c>
      <c r="CA115" s="14" t="e">
        <f t="shared" si="93"/>
        <v>#NUM!</v>
      </c>
      <c r="CB115" s="22" t="e">
        <f t="shared" si="64"/>
        <v>#NUM!</v>
      </c>
      <c r="CC115" s="60" t="e">
        <f t="shared" si="65"/>
        <v>#NUM!</v>
      </c>
      <c r="CD115" s="60">
        <f ca="1">AVERAGE(OFFSET($CC$3,0,0,'Données projet'!$E$12+1,1))-AVERAGE(OFFSET($H$3,0,0,'Données projet'!$E$12+1,1))</f>
        <v>141.31558705818316</v>
      </c>
      <c r="CE115" s="60">
        <f t="shared" si="94"/>
        <v>67.142010893211364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3.7</v>
      </c>
      <c r="CT115" s="13">
        <f>IF('Données projet'!$A$140&gt;35,CT114+CS115-DB114,IF(A115&lt;'Données projet'!$A$140,$CQ$205^A115,IF(A115='Données projet'!$A$140,'Données projet'!$B$140,CT114+CS115-DB114)))</f>
        <v>273.39999999999958</v>
      </c>
      <c r="CU115" s="18">
        <f>CT115*VLOOKUP('Données projet'!$B$13,Paramètres!$A$1:$I$89,3,0)*VLOOKUP('Données projet'!$B$13,Paramètres!$A$1:$I$89,5,0)</f>
        <v>238.84223999999966</v>
      </c>
      <c r="CV115" s="14">
        <f t="shared" si="95"/>
        <v>58.190362716569084</v>
      </c>
      <c r="CW115" s="22">
        <f t="shared" si="67"/>
        <v>517.33178306469063</v>
      </c>
      <c r="CX115" s="60">
        <f t="shared" si="68"/>
        <v>810.66511639802388</v>
      </c>
      <c r="CY115" s="60">
        <f ca="1">AVERAGE(OFFSET($CX$3,0,0,'Données projet'!$E$13+1,1))-AVERAGE(OFFSET($H$3,0,0,'Données projet'!$E$13+1,1))</f>
        <v>281.8501448773884</v>
      </c>
      <c r="CZ115" s="60">
        <f t="shared" si="96"/>
        <v>161.7340631691518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3.7</v>
      </c>
      <c r="DO115" s="13">
        <f>IF('Données projet'!$A$166&gt;35,DO114+DN115-DW114,IF(A115&lt;'Données projet'!$A$166,$DL$205^A115,IF(A115='Données projet'!$A$166,'Données projet'!$B$166,DO114+DN115-DW114)))</f>
        <v>273.39999999999958</v>
      </c>
      <c r="DP115" s="18">
        <f>DO115*VLOOKUP('Données projet'!$B$14,Paramètres!$A$1:$I$89,3,0)*VLOOKUP('Données projet'!$B$14,Paramètres!$A$1:$I$89,5,0)</f>
        <v>247.3723199999996</v>
      </c>
      <c r="DQ115" s="14">
        <f t="shared" si="97"/>
        <v>60.022917171130942</v>
      </c>
      <c r="DR115" s="22">
        <f t="shared" si="70"/>
        <v>535.38003807305233</v>
      </c>
      <c r="DS115" s="60">
        <f t="shared" si="71"/>
        <v>828.7133714063857</v>
      </c>
      <c r="DT115" s="60">
        <f ca="1">AVERAGE(OFFSET($DS$3,0,0,'Données projet'!$E$14+1,1))-AVERAGE(OFFSET($H$3,0,0,'Données projet'!$E$14+1,1))</f>
        <v>295.19398489974265</v>
      </c>
      <c r="DU115" s="60">
        <f t="shared" si="98"/>
        <v>168.80998104712489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4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280.9793999999996</v>
      </c>
      <c r="P116" s="14">
        <f t="shared" si="87"/>
        <v>67.173942175199358</v>
      </c>
      <c r="Q116" s="22">
        <f t="shared" si="107"/>
        <v>606.36707095513827</v>
      </c>
      <c r="R116" s="60">
        <f t="shared" si="55"/>
        <v>899.70040428847165</v>
      </c>
      <c r="S116" s="60">
        <f ca="1">AVERAGE(OFFSET($R$3,0,0,'Données projet'!$E$9+1,1))-AVERAGE(OFFSET($H$3,0,0,'Données projet'!$E$9+1,1))</f>
        <v>341.82426415364569</v>
      </c>
      <c r="T116" s="60">
        <f t="shared" si="88"/>
        <v>193.53376539568887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-2.8421709430404007E-13</v>
      </c>
      <c r="AJ116" s="14">
        <f>AI116*VLOOKUP('Données projet'!$B$10,Paramètres!$A$1:$I$89,3,0)*VLOOKUP('Données projet'!$B$10,Paramètres!$A$1:$I$89,5,0)</f>
        <v>-1.69961822393816E-13</v>
      </c>
      <c r="AK116" s="14" t="e">
        <f t="shared" si="89"/>
        <v>#NUM!</v>
      </c>
      <c r="AL116" s="22" t="e">
        <f t="shared" si="58"/>
        <v>#NUM!</v>
      </c>
      <c r="AM116" s="60" t="e">
        <f t="shared" si="59"/>
        <v>#NUM!</v>
      </c>
      <c r="AN116" s="60">
        <f ca="1">AVERAGE(OFFSET($AM$3,0,0,'Données projet'!$E$10+1,1))-AVERAGE(OFFSET($H$3,0,0,'Données projet'!$E$10+1,1))</f>
        <v>189.8516574130017</v>
      </c>
      <c r="AO116" s="60">
        <f t="shared" si="90"/>
        <v>191.91100863555891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2.7464198591959472</v>
      </c>
      <c r="AV116" s="23">
        <f>EXP(-LN(2)/25)*AV115+(1-EXP(-LN(2)/25))/(LN(2)/25)*Calculateur!AQ116*Calculateur!AS116*VLOOKUP('Données projet'!$B$10,Paramètres!$A$1:$I$89,3,0)*0.475*44/12</f>
        <v>1.8080082870593759</v>
      </c>
      <c r="AW116" s="23">
        <f>EXP(-LN(2)/2)*AW115+(1-EXP(-LN(2)/2))/(LN(2)/2)*AQ116*AT116*VLOOKUP('Données projet'!$B$10,Paramètres!$A$1:$I$89,3,0)*0.475*44/12</f>
        <v>1.9434359484757171E-12</v>
      </c>
      <c r="AX116" s="23">
        <f t="shared" si="60"/>
        <v>4.5544281462572664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2.8846153846153868</v>
      </c>
      <c r="BD116" s="13">
        <f>IF('Données projet'!$A$88&gt;35,BD115+BC116-BL115,IF(A116&lt;'Données projet'!$A$88,$BA$205^A116,IF(A116='Données projet'!$A$88,'Données projet'!$B$88,BD115+BC116-BL115)))</f>
        <v>310.57692307692264</v>
      </c>
      <c r="BE116" s="14">
        <f>BD116*VLOOKUP('Données projet'!$B$11,Paramètres!$A$1:$I$89,3,0)*VLOOKUP('Données projet'!$B$11,Paramètres!$A$1:$I$89,5,0)</f>
        <v>324.61499999999955</v>
      </c>
      <c r="BF116" s="14">
        <f t="shared" si="91"/>
        <v>76.312792476440805</v>
      </c>
      <c r="BG116" s="22">
        <f t="shared" si="61"/>
        <v>698.28257189646683</v>
      </c>
      <c r="BH116" s="60">
        <f t="shared" si="62"/>
        <v>991.61590522980009</v>
      </c>
      <c r="BI116" s="60">
        <f ca="1">AVERAGE(OFFSET($BH$3,0,0,'Données projet'!$E$11+1,1))-AVERAGE(OFFSET($H$3,0,0,'Données projet'!$E$11+1,1))</f>
        <v>373.7520752235389</v>
      </c>
      <c r="BJ116" s="60">
        <f t="shared" si="92"/>
        <v>205.19966474305761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-6.2527760746888816E-13</v>
      </c>
      <c r="BZ116" s="14">
        <f>BY116*VLOOKUP('Données projet'!$B$12,Paramètres!$A$1:$I$89,3,0)*VLOOKUP('Données projet'!$B$12,Paramètres!$A$1:$I$89,5,0)</f>
        <v>-2.9262992029543964E-13</v>
      </c>
      <c r="CA116" s="14" t="e">
        <f t="shared" si="93"/>
        <v>#NUM!</v>
      </c>
      <c r="CB116" s="22" t="e">
        <f t="shared" si="64"/>
        <v>#NUM!</v>
      </c>
      <c r="CC116" s="60" t="e">
        <f t="shared" si="65"/>
        <v>#NUM!</v>
      </c>
      <c r="CD116" s="60">
        <f ca="1">AVERAGE(OFFSET($CC$3,0,0,'Données projet'!$E$12+1,1))-AVERAGE(OFFSET($H$3,0,0,'Données projet'!$E$12+1,1))</f>
        <v>141.31558705818316</v>
      </c>
      <c r="CE116" s="60">
        <f t="shared" si="94"/>
        <v>67.142010893211364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3.7</v>
      </c>
      <c r="CT116" s="13">
        <f>IF('Données projet'!$A$140&gt;35,CT115+CS116-DB115,IF(A116&lt;'Données projet'!$A$140,$CQ$205^A116,IF(A116='Données projet'!$A$140,'Données projet'!$B$140,CT115+CS116-DB115)))</f>
        <v>277.09999999999957</v>
      </c>
      <c r="CU116" s="18">
        <f>CT116*VLOOKUP('Données projet'!$B$13,Paramètres!$A$1:$I$89,3,0)*VLOOKUP('Données projet'!$B$13,Paramètres!$A$1:$I$89,5,0)</f>
        <v>242.07455999999962</v>
      </c>
      <c r="CV116" s="14">
        <f t="shared" si="95"/>
        <v>58.885658340276024</v>
      </c>
      <c r="CW116" s="22">
        <f t="shared" si="67"/>
        <v>524.17238027598012</v>
      </c>
      <c r="CX116" s="60">
        <f t="shared" si="68"/>
        <v>817.50571360931349</v>
      </c>
      <c r="CY116" s="60">
        <f ca="1">AVERAGE(OFFSET($CX$3,0,0,'Données projet'!$E$13+1,1))-AVERAGE(OFFSET($H$3,0,0,'Données projet'!$E$13+1,1))</f>
        <v>281.8501448773884</v>
      </c>
      <c r="CZ116" s="60">
        <f t="shared" si="96"/>
        <v>161.7340631691518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3.7</v>
      </c>
      <c r="DO116" s="13">
        <f>IF('Données projet'!$A$166&gt;35,DO115+DN116-DW115,IF(A116&lt;'Données projet'!$A$166,$DL$205^A116,IF(A116='Données projet'!$A$166,'Données projet'!$B$166,DO115+DN116-DW115)))</f>
        <v>277.09999999999957</v>
      </c>
      <c r="DP116" s="18">
        <f>DO116*VLOOKUP('Données projet'!$B$14,Paramètres!$A$1:$I$89,3,0)*VLOOKUP('Données projet'!$B$14,Paramètres!$A$1:$I$89,5,0)</f>
        <v>250.7200799999996</v>
      </c>
      <c r="DQ116" s="14">
        <f t="shared" si="97"/>
        <v>60.740109326032709</v>
      </c>
      <c r="DR116" s="22">
        <f t="shared" si="70"/>
        <v>542.45982974283959</v>
      </c>
      <c r="DS116" s="60">
        <f t="shared" si="71"/>
        <v>835.79316307617296</v>
      </c>
      <c r="DT116" s="60">
        <f ca="1">AVERAGE(OFFSET($DS$3,0,0,'Données projet'!$E$14+1,1))-AVERAGE(OFFSET($H$3,0,0,'Données projet'!$E$14+1,1))</f>
        <v>295.19398489974265</v>
      </c>
      <c r="DU116" s="60">
        <f t="shared" si="98"/>
        <v>168.80998104712489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4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284.7311999999996</v>
      </c>
      <c r="P117" s="14">
        <f t="shared" si="87"/>
        <v>67.965870320050882</v>
      </c>
      <c r="Q117" s="22">
        <f t="shared" si="107"/>
        <v>614.28073080742126</v>
      </c>
      <c r="R117" s="60">
        <f t="shared" si="55"/>
        <v>907.61406414075464</v>
      </c>
      <c r="S117" s="60">
        <f ca="1">AVERAGE(OFFSET($R$3,0,0,'Données projet'!$E$9+1,1))-AVERAGE(OFFSET($H$3,0,0,'Données projet'!$E$9+1,1))</f>
        <v>341.82426415364569</v>
      </c>
      <c r="T117" s="60">
        <f t="shared" si="88"/>
        <v>193.53376539568887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-2.8421709430404007E-13</v>
      </c>
      <c r="AJ117" s="14">
        <f>AI117*VLOOKUP('Données projet'!$B$10,Paramètres!$A$1:$I$89,3,0)*VLOOKUP('Données projet'!$B$10,Paramètres!$A$1:$I$89,5,0)</f>
        <v>-1.69961822393816E-13</v>
      </c>
      <c r="AK117" s="14" t="e">
        <f t="shared" si="89"/>
        <v>#NUM!</v>
      </c>
      <c r="AL117" s="22" t="e">
        <f t="shared" si="58"/>
        <v>#NUM!</v>
      </c>
      <c r="AM117" s="60" t="e">
        <f t="shared" si="59"/>
        <v>#NUM!</v>
      </c>
      <c r="AN117" s="60">
        <f ca="1">AVERAGE(OFFSET($AM$3,0,0,'Données projet'!$E$10+1,1))-AVERAGE(OFFSET($H$3,0,0,'Données projet'!$E$10+1,1))</f>
        <v>189.8516574130017</v>
      </c>
      <c r="AO117" s="60">
        <f t="shared" si="90"/>
        <v>191.91100863555891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2.6925642409078212</v>
      </c>
      <c r="AV117" s="23">
        <f>EXP(-LN(2)/25)*AV116+(1-EXP(-LN(2)/25))/(LN(2)/25)*Calculateur!AQ117*Calculateur!AS117*VLOOKUP('Données projet'!$B$10,Paramètres!$A$1:$I$89,3,0)*0.475*44/12</f>
        <v>1.7585682053707137</v>
      </c>
      <c r="AW117" s="23">
        <f>EXP(-LN(2)/2)*AW116+(1-EXP(-LN(2)/2))/(LN(2)/2)*AQ117*AT117*VLOOKUP('Données projet'!$B$10,Paramètres!$A$1:$I$89,3,0)*0.475*44/12</f>
        <v>1.3742167379688893E-12</v>
      </c>
      <c r="AX117" s="23">
        <f t="shared" si="60"/>
        <v>4.4511324462799093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2.8846153846153868</v>
      </c>
      <c r="BD117" s="13">
        <f>IF('Données projet'!$A$88&gt;35,BD116+BC117-BL116,IF(A117&lt;'Données projet'!$A$88,$BA$205^A117,IF(A117='Données projet'!$A$88,'Données projet'!$B$88,BD116+BC117-BL116)))</f>
        <v>313.461538461538</v>
      </c>
      <c r="BE117" s="14">
        <f>BD117*VLOOKUP('Données projet'!$B$11,Paramètres!$A$1:$I$89,3,0)*VLOOKUP('Données projet'!$B$11,Paramètres!$A$1:$I$89,5,0)</f>
        <v>327.62999999999954</v>
      </c>
      <c r="BF117" s="14">
        <f t="shared" si="91"/>
        <v>76.938739773947404</v>
      </c>
      <c r="BG117" s="22">
        <f t="shared" si="61"/>
        <v>704.62388843962435</v>
      </c>
      <c r="BH117" s="60">
        <f t="shared" si="62"/>
        <v>997.95722177295761</v>
      </c>
      <c r="BI117" s="60">
        <f ca="1">AVERAGE(OFFSET($BH$3,0,0,'Données projet'!$E$11+1,1))-AVERAGE(OFFSET($H$3,0,0,'Données projet'!$E$11+1,1))</f>
        <v>373.7520752235389</v>
      </c>
      <c r="BJ117" s="60">
        <f t="shared" si="92"/>
        <v>205.19966474305761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-6.2527760746888816E-13</v>
      </c>
      <c r="BZ117" s="14">
        <f>BY117*VLOOKUP('Données projet'!$B$12,Paramètres!$A$1:$I$89,3,0)*VLOOKUP('Données projet'!$B$12,Paramètres!$A$1:$I$89,5,0)</f>
        <v>-2.9262992029543964E-13</v>
      </c>
      <c r="CA117" s="14" t="e">
        <f t="shared" si="93"/>
        <v>#NUM!</v>
      </c>
      <c r="CB117" s="22" t="e">
        <f t="shared" si="64"/>
        <v>#NUM!</v>
      </c>
      <c r="CC117" s="60" t="e">
        <f t="shared" si="65"/>
        <v>#NUM!</v>
      </c>
      <c r="CD117" s="60">
        <f ca="1">AVERAGE(OFFSET($CC$3,0,0,'Données projet'!$E$12+1,1))-AVERAGE(OFFSET($H$3,0,0,'Données projet'!$E$12+1,1))</f>
        <v>141.31558705818316</v>
      </c>
      <c r="CE117" s="60">
        <f t="shared" si="94"/>
        <v>67.142010893211364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3.7</v>
      </c>
      <c r="CT117" s="13">
        <f>IF('Données projet'!$A$140&gt;35,CT116+CS117-DB116,IF(A117&lt;'Données projet'!$A$140,$CQ$205^A117,IF(A117='Données projet'!$A$140,'Données projet'!$B$140,CT116+CS117-DB116)))</f>
        <v>280.79999999999956</v>
      </c>
      <c r="CU117" s="18">
        <f>CT117*VLOOKUP('Données projet'!$B$13,Paramètres!$A$1:$I$89,3,0)*VLOOKUP('Données projet'!$B$13,Paramètres!$A$1:$I$89,5,0)</f>
        <v>245.30687999999964</v>
      </c>
      <c r="CV117" s="14">
        <f t="shared" si="95"/>
        <v>59.579874112906325</v>
      </c>
      <c r="CW117" s="22">
        <f t="shared" si="67"/>
        <v>531.01109674664451</v>
      </c>
      <c r="CX117" s="60">
        <f t="shared" si="68"/>
        <v>824.34443007997788</v>
      </c>
      <c r="CY117" s="60">
        <f ca="1">AVERAGE(OFFSET($CX$3,0,0,'Données projet'!$E$13+1,1))-AVERAGE(OFFSET($H$3,0,0,'Données projet'!$E$13+1,1))</f>
        <v>281.8501448773884</v>
      </c>
      <c r="CZ117" s="60">
        <f t="shared" si="96"/>
        <v>161.7340631691518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3.7</v>
      </c>
      <c r="DO117" s="13">
        <f>IF('Données projet'!$A$166&gt;35,DO116+DN117-DW116,IF(A117&lt;'Données projet'!$A$166,$DL$205^A117,IF(A117='Données projet'!$A$166,'Données projet'!$B$166,DO116+DN117-DW116)))</f>
        <v>280.79999999999956</v>
      </c>
      <c r="DP117" s="18">
        <f>DO117*VLOOKUP('Données projet'!$B$14,Paramètres!$A$1:$I$89,3,0)*VLOOKUP('Données projet'!$B$14,Paramètres!$A$1:$I$89,5,0)</f>
        <v>254.06783999999956</v>
      </c>
      <c r="DQ117" s="14">
        <f t="shared" si="97"/>
        <v>61.456187622750669</v>
      </c>
      <c r="DR117" s="22">
        <f t="shared" si="70"/>
        <v>549.53768144295657</v>
      </c>
      <c r="DS117" s="60">
        <f t="shared" si="71"/>
        <v>842.87101477628994</v>
      </c>
      <c r="DT117" s="60">
        <f ca="1">AVERAGE(OFFSET($DS$3,0,0,'Données projet'!$E$14+1,1))-AVERAGE(OFFSET($H$3,0,0,'Données projet'!$E$14+1,1))</f>
        <v>295.19398489974265</v>
      </c>
      <c r="DU117" s="60">
        <f t="shared" si="98"/>
        <v>168.80998104712489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4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288.48299999999955</v>
      </c>
      <c r="P118" s="14">
        <f t="shared" si="87"/>
        <v>68.756584730508635</v>
      </c>
      <c r="Q118" s="22">
        <f t="shared" si="107"/>
        <v>622.19227673896842</v>
      </c>
      <c r="R118" s="60">
        <f t="shared" si="55"/>
        <v>915.52561007230179</v>
      </c>
      <c r="S118" s="60">
        <f ca="1">AVERAGE(OFFSET($R$3,0,0,'Données projet'!$E$9+1,1))-AVERAGE(OFFSET($H$3,0,0,'Données projet'!$E$9+1,1))</f>
        <v>341.82426415364569</v>
      </c>
      <c r="T118" s="60">
        <f t="shared" si="88"/>
        <v>193.53376539568887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-2.8421709430404007E-13</v>
      </c>
      <c r="AJ118" s="14">
        <f>AI118*VLOOKUP('Données projet'!$B$10,Paramètres!$A$1:$I$89,3,0)*VLOOKUP('Données projet'!$B$10,Paramètres!$A$1:$I$89,5,0)</f>
        <v>-1.69961822393816E-13</v>
      </c>
      <c r="AK118" s="14" t="e">
        <f t="shared" si="89"/>
        <v>#NUM!</v>
      </c>
      <c r="AL118" s="22" t="e">
        <f t="shared" si="58"/>
        <v>#NUM!</v>
      </c>
      <c r="AM118" s="60" t="e">
        <f t="shared" si="59"/>
        <v>#NUM!</v>
      </c>
      <c r="AN118" s="60">
        <f ca="1">AVERAGE(OFFSET($AM$3,0,0,'Données projet'!$E$10+1,1))-AVERAGE(OFFSET($H$3,0,0,'Données projet'!$E$10+1,1))</f>
        <v>189.8516574130017</v>
      </c>
      <c r="AO118" s="60">
        <f t="shared" si="90"/>
        <v>191.91100863555891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2.6397646984456418</v>
      </c>
      <c r="AV118" s="23">
        <f>EXP(-LN(2)/25)*AV117+(1-EXP(-LN(2)/25))/(LN(2)/25)*Calculateur!AQ118*Calculateur!AS118*VLOOKUP('Données projet'!$B$10,Paramètres!$A$1:$I$89,3,0)*0.475*44/12</f>
        <v>1.7104800653157688</v>
      </c>
      <c r="AW118" s="23">
        <f>EXP(-LN(2)/2)*AW117+(1-EXP(-LN(2)/2))/(LN(2)/2)*AQ118*AT118*VLOOKUP('Données projet'!$B$10,Paramètres!$A$1:$I$89,3,0)*0.475*44/12</f>
        <v>9.7171797423785855E-13</v>
      </c>
      <c r="AX118" s="23">
        <f t="shared" si="60"/>
        <v>4.3502447637623822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2.8846153846153868</v>
      </c>
      <c r="BD118" s="13">
        <f>IF('Données projet'!$A$88&gt;35,BD117+BC118-BL117,IF(A118&lt;'Données projet'!$A$88,$BA$205^A118,IF(A118='Données projet'!$A$88,'Données projet'!$B$88,BD117+BC118-BL117)))</f>
        <v>316.34615384615336</v>
      </c>
      <c r="BE118" s="14">
        <f>BD118*VLOOKUP('Données projet'!$B$11,Paramètres!$A$1:$I$89,3,0)*VLOOKUP('Données projet'!$B$11,Paramètres!$A$1:$I$89,5,0)</f>
        <v>330.64499999999953</v>
      </c>
      <c r="BF118" s="14">
        <f t="shared" si="91"/>
        <v>77.564016927186358</v>
      </c>
      <c r="BG118" s="22">
        <f t="shared" si="61"/>
        <v>710.96403781484867</v>
      </c>
      <c r="BH118" s="60">
        <f t="shared" si="62"/>
        <v>1004.297371148182</v>
      </c>
      <c r="BI118" s="60">
        <f ca="1">AVERAGE(OFFSET($BH$3,0,0,'Données projet'!$E$11+1,1))-AVERAGE(OFFSET($H$3,0,0,'Données projet'!$E$11+1,1))</f>
        <v>373.7520752235389</v>
      </c>
      <c r="BJ118" s="60">
        <f t="shared" si="92"/>
        <v>205.19966474305761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-6.2527760746888816E-13</v>
      </c>
      <c r="BZ118" s="14">
        <f>BY118*VLOOKUP('Données projet'!$B$12,Paramètres!$A$1:$I$89,3,0)*VLOOKUP('Données projet'!$B$12,Paramètres!$A$1:$I$89,5,0)</f>
        <v>-2.9262992029543964E-13</v>
      </c>
      <c r="CA118" s="14" t="e">
        <f t="shared" si="93"/>
        <v>#NUM!</v>
      </c>
      <c r="CB118" s="22" t="e">
        <f t="shared" si="64"/>
        <v>#NUM!</v>
      </c>
      <c r="CC118" s="60" t="e">
        <f t="shared" si="65"/>
        <v>#NUM!</v>
      </c>
      <c r="CD118" s="60">
        <f ca="1">AVERAGE(OFFSET($CC$3,0,0,'Données projet'!$E$12+1,1))-AVERAGE(OFFSET($H$3,0,0,'Données projet'!$E$12+1,1))</f>
        <v>141.31558705818316</v>
      </c>
      <c r="CE118" s="60">
        <f t="shared" si="94"/>
        <v>67.142010893211364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3.7</v>
      </c>
      <c r="CT118" s="13">
        <f>IF('Données projet'!$A$140&gt;35,CT117+CS118-DB117,IF(A118&lt;'Données projet'!$A$140,$CQ$205^A118,IF(A118='Données projet'!$A$140,'Données projet'!$B$140,CT117+CS118-DB117)))</f>
        <v>284.49999999999955</v>
      </c>
      <c r="CU118" s="18">
        <f>CT118*VLOOKUP('Données projet'!$B$13,Paramètres!$A$1:$I$89,3,0)*VLOOKUP('Données projet'!$B$13,Paramètres!$A$1:$I$89,5,0)</f>
        <v>248.53919999999965</v>
      </c>
      <c r="CV118" s="14">
        <f t="shared" si="95"/>
        <v>60.273025908248449</v>
      </c>
      <c r="CW118" s="22">
        <f t="shared" si="67"/>
        <v>537.84796012353206</v>
      </c>
      <c r="CX118" s="60">
        <f t="shared" si="68"/>
        <v>831.18129345686543</v>
      </c>
      <c r="CY118" s="60">
        <f ca="1">AVERAGE(OFFSET($CX$3,0,0,'Données projet'!$E$13+1,1))-AVERAGE(OFFSET($H$3,0,0,'Données projet'!$E$13+1,1))</f>
        <v>281.8501448773884</v>
      </c>
      <c r="CZ118" s="60">
        <f t="shared" si="96"/>
        <v>161.7340631691518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3.7</v>
      </c>
      <c r="DO118" s="13">
        <f>IF('Données projet'!$A$166&gt;35,DO117+DN118-DW117,IF(A118&lt;'Données projet'!$A$166,$DL$205^A118,IF(A118='Données projet'!$A$166,'Données projet'!$B$166,DO117+DN118-DW117)))</f>
        <v>284.49999999999955</v>
      </c>
      <c r="DP118" s="18">
        <f>DO118*VLOOKUP('Données projet'!$B$14,Paramètres!$A$1:$I$89,3,0)*VLOOKUP('Données projet'!$B$14,Paramètres!$A$1:$I$89,5,0)</f>
        <v>257.41559999999959</v>
      </c>
      <c r="DQ118" s="14">
        <f t="shared" si="97"/>
        <v>62.171168434977062</v>
      </c>
      <c r="DR118" s="22">
        <f t="shared" si="70"/>
        <v>556.61362169091774</v>
      </c>
      <c r="DS118" s="60">
        <f t="shared" si="71"/>
        <v>849.94695502425111</v>
      </c>
      <c r="DT118" s="60">
        <f ca="1">AVERAGE(OFFSET($DS$3,0,0,'Données projet'!$E$14+1,1))-AVERAGE(OFFSET($H$3,0,0,'Données projet'!$E$14+1,1))</f>
        <v>295.19398489974265</v>
      </c>
      <c r="DU118" s="60">
        <f t="shared" si="98"/>
        <v>168.80998104712489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4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292.23479999999955</v>
      </c>
      <c r="P119" s="14">
        <f t="shared" si="87"/>
        <v>69.546103016553644</v>
      </c>
      <c r="Q119" s="22">
        <f t="shared" si="107"/>
        <v>630.10173942049676</v>
      </c>
      <c r="R119" s="60">
        <f t="shared" si="55"/>
        <v>923.43507275383013</v>
      </c>
      <c r="S119" s="60">
        <f ca="1">AVERAGE(OFFSET($R$3,0,0,'Données projet'!$E$9+1,1))-AVERAGE(OFFSET($H$3,0,0,'Données projet'!$E$9+1,1))</f>
        <v>341.82426415364569</v>
      </c>
      <c r="T119" s="60">
        <f t="shared" si="88"/>
        <v>193.53376539568887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-2.8421709430404007E-13</v>
      </c>
      <c r="AJ119" s="14">
        <f>AI119*VLOOKUP('Données projet'!$B$10,Paramètres!$A$1:$I$89,3,0)*VLOOKUP('Données projet'!$B$10,Paramètres!$A$1:$I$89,5,0)</f>
        <v>-1.69961822393816E-13</v>
      </c>
      <c r="AK119" s="14" t="e">
        <f t="shared" si="89"/>
        <v>#NUM!</v>
      </c>
      <c r="AL119" s="22" t="e">
        <f t="shared" si="58"/>
        <v>#NUM!</v>
      </c>
      <c r="AM119" s="60" t="e">
        <f t="shared" si="59"/>
        <v>#NUM!</v>
      </c>
      <c r="AN119" s="60">
        <f ca="1">AVERAGE(OFFSET($AM$3,0,0,'Données projet'!$E$10+1,1))-AVERAGE(OFFSET($H$3,0,0,'Données projet'!$E$10+1,1))</f>
        <v>189.8516574130017</v>
      </c>
      <c r="AO119" s="60">
        <f t="shared" si="90"/>
        <v>191.91100863555891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2.5880005228066048</v>
      </c>
      <c r="AV119" s="23">
        <f>EXP(-LN(2)/25)*AV118+(1-EXP(-LN(2)/25))/(LN(2)/25)*Calculateur!AQ119*Calculateur!AS119*VLOOKUP('Données projet'!$B$10,Paramètres!$A$1:$I$89,3,0)*0.475*44/12</f>
        <v>1.6637068979794718</v>
      </c>
      <c r="AW119" s="23">
        <f>EXP(-LN(2)/2)*AW118+(1-EXP(-LN(2)/2))/(LN(2)/2)*AQ119*AT119*VLOOKUP('Données projet'!$B$10,Paramètres!$A$1:$I$89,3,0)*0.475*44/12</f>
        <v>6.8710836898444467E-13</v>
      </c>
      <c r="AX119" s="23">
        <f t="shared" si="60"/>
        <v>4.2517074207867642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2.8846153846153868</v>
      </c>
      <c r="BD119" s="13">
        <f>IF('Données projet'!$A$88&gt;35,BD118+BC119-BL118,IF(A119&lt;'Données projet'!$A$88,$BA$205^A119,IF(A119='Données projet'!$A$88,'Données projet'!$B$88,BD118+BC119-BL118)))</f>
        <v>319.23076923076871</v>
      </c>
      <c r="BE119" s="14">
        <f>BD119*VLOOKUP('Données projet'!$B$11,Paramètres!$A$1:$I$89,3,0)*VLOOKUP('Données projet'!$B$11,Paramètres!$A$1:$I$89,5,0)</f>
        <v>333.65999999999946</v>
      </c>
      <c r="BF119" s="14">
        <f t="shared" si="91"/>
        <v>78.188630754756275</v>
      </c>
      <c r="BG119" s="22">
        <f t="shared" si="61"/>
        <v>717.30303189786616</v>
      </c>
      <c r="BH119" s="60">
        <f t="shared" si="62"/>
        <v>1010.6363652311995</v>
      </c>
      <c r="BI119" s="60">
        <f ca="1">AVERAGE(OFFSET($BH$3,0,0,'Données projet'!$E$11+1,1))-AVERAGE(OFFSET($H$3,0,0,'Données projet'!$E$11+1,1))</f>
        <v>373.7520752235389</v>
      </c>
      <c r="BJ119" s="60">
        <f t="shared" si="92"/>
        <v>205.19966474305761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-6.2527760746888816E-13</v>
      </c>
      <c r="BZ119" s="14">
        <f>BY119*VLOOKUP('Données projet'!$B$12,Paramètres!$A$1:$I$89,3,0)*VLOOKUP('Données projet'!$B$12,Paramètres!$A$1:$I$89,5,0)</f>
        <v>-2.9262992029543964E-13</v>
      </c>
      <c r="CA119" s="14" t="e">
        <f t="shared" si="93"/>
        <v>#NUM!</v>
      </c>
      <c r="CB119" s="22" t="e">
        <f t="shared" si="64"/>
        <v>#NUM!</v>
      </c>
      <c r="CC119" s="60" t="e">
        <f t="shared" si="65"/>
        <v>#NUM!</v>
      </c>
      <c r="CD119" s="60">
        <f ca="1">AVERAGE(OFFSET($CC$3,0,0,'Données projet'!$E$12+1,1))-AVERAGE(OFFSET($H$3,0,0,'Données projet'!$E$12+1,1))</f>
        <v>141.31558705818316</v>
      </c>
      <c r="CE119" s="60">
        <f t="shared" si="94"/>
        <v>67.142010893211364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3.7</v>
      </c>
      <c r="CT119" s="13">
        <f>IF('Données projet'!$A$140&gt;35,CT118+CS119-DB118,IF(A119&lt;'Données projet'!$A$140,$CQ$205^A119,IF(A119='Données projet'!$A$140,'Données projet'!$B$140,CT118+CS119-DB118)))</f>
        <v>288.19999999999953</v>
      </c>
      <c r="CU119" s="18">
        <f>CT119*VLOOKUP('Données projet'!$B$13,Paramètres!$A$1:$I$89,3,0)*VLOOKUP('Données projet'!$B$13,Paramètres!$A$1:$I$89,5,0)</f>
        <v>251.77151999999964</v>
      </c>
      <c r="CV119" s="14">
        <f t="shared" si="95"/>
        <v>60.965129163468909</v>
      </c>
      <c r="CW119" s="22">
        <f t="shared" si="67"/>
        <v>544.68299729304101</v>
      </c>
      <c r="CX119" s="60">
        <f t="shared" si="68"/>
        <v>838.01633062637438</v>
      </c>
      <c r="CY119" s="60">
        <f ca="1">AVERAGE(OFFSET($CX$3,0,0,'Données projet'!$E$13+1,1))-AVERAGE(OFFSET($H$3,0,0,'Données projet'!$E$13+1,1))</f>
        <v>281.8501448773884</v>
      </c>
      <c r="CZ119" s="60">
        <f t="shared" si="96"/>
        <v>161.7340631691518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3.7</v>
      </c>
      <c r="DO119" s="13">
        <f>IF('Données projet'!$A$166&gt;35,DO118+DN119-DW118,IF(A119&lt;'Données projet'!$A$166,$DL$205^A119,IF(A119='Données projet'!$A$166,'Données projet'!$B$166,DO118+DN119-DW118)))</f>
        <v>288.19999999999953</v>
      </c>
      <c r="DP119" s="18">
        <f>DO119*VLOOKUP('Données projet'!$B$14,Paramètres!$A$1:$I$89,3,0)*VLOOKUP('Données projet'!$B$14,Paramètres!$A$1:$I$89,5,0)</f>
        <v>260.76335999999958</v>
      </c>
      <c r="DQ119" s="14">
        <f t="shared" si="97"/>
        <v>62.885067686031896</v>
      </c>
      <c r="DR119" s="22">
        <f t="shared" si="70"/>
        <v>563.68767821983818</v>
      </c>
      <c r="DS119" s="60">
        <f t="shared" si="71"/>
        <v>857.02101155317155</v>
      </c>
      <c r="DT119" s="60">
        <f ca="1">AVERAGE(OFFSET($DS$3,0,0,'Données projet'!$E$14+1,1))-AVERAGE(OFFSET($H$3,0,0,'Données projet'!$E$14+1,1))</f>
        <v>295.19398489974265</v>
      </c>
      <c r="DU119" s="60">
        <f t="shared" si="98"/>
        <v>168.80998104712489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4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295.98659999999956</v>
      </c>
      <c r="P120" s="14">
        <f t="shared" si="87"/>
        <v>70.334442310004661</v>
      </c>
      <c r="Q120" s="22">
        <f t="shared" si="107"/>
        <v>638.00914868992402</v>
      </c>
      <c r="R120" s="60">
        <f t="shared" si="55"/>
        <v>931.34248202325739</v>
      </c>
      <c r="S120" s="60">
        <f ca="1">AVERAGE(OFFSET($R$3,0,0,'Données projet'!$E$9+1,1))-AVERAGE(OFFSET($H$3,0,0,'Données projet'!$E$9+1,1))</f>
        <v>341.82426415364569</v>
      </c>
      <c r="T120" s="60">
        <f t="shared" si="88"/>
        <v>193.53376539568887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-2.8421709430404007E-13</v>
      </c>
      <c r="AJ120" s="14">
        <f>AI120*VLOOKUP('Données projet'!$B$10,Paramètres!$A$1:$I$89,3,0)*VLOOKUP('Données projet'!$B$10,Paramètres!$A$1:$I$89,5,0)</f>
        <v>-1.69961822393816E-13</v>
      </c>
      <c r="AK120" s="14" t="e">
        <f t="shared" si="89"/>
        <v>#NUM!</v>
      </c>
      <c r="AL120" s="22" t="e">
        <f t="shared" si="58"/>
        <v>#NUM!</v>
      </c>
      <c r="AM120" s="60" t="e">
        <f t="shared" si="59"/>
        <v>#NUM!</v>
      </c>
      <c r="AN120" s="60">
        <f ca="1">AVERAGE(OFFSET($AM$3,0,0,'Données projet'!$E$10+1,1))-AVERAGE(OFFSET($H$3,0,0,'Données projet'!$E$10+1,1))</f>
        <v>189.8516574130017</v>
      </c>
      <c r="AO120" s="60">
        <f t="shared" si="90"/>
        <v>191.91100863555891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2.5372514110788198</v>
      </c>
      <c r="AV120" s="23">
        <f>EXP(-LN(2)/25)*AV119+(1-EXP(-LN(2)/25))/(LN(2)/25)*Calculateur!AQ120*Calculateur!AS120*VLOOKUP('Données projet'!$B$10,Paramètres!$A$1:$I$89,3,0)*0.475*44/12</f>
        <v>1.6182127453636799</v>
      </c>
      <c r="AW120" s="23">
        <f>EXP(-LN(2)/2)*AW119+(1-EXP(-LN(2)/2))/(LN(2)/2)*AQ120*AT120*VLOOKUP('Données projet'!$B$10,Paramètres!$A$1:$I$89,3,0)*0.475*44/12</f>
        <v>4.8585898711892927E-13</v>
      </c>
      <c r="AX120" s="23">
        <f t="shared" si="60"/>
        <v>4.1554641564429859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2.8846153846153868</v>
      </c>
      <c r="BD120" s="13">
        <f>IF('Données projet'!$A$88&gt;35,BD119+BC120-BL119,IF(A120&lt;'Données projet'!$A$88,$BA$205^A120,IF(A120='Données projet'!$A$88,'Données projet'!$B$88,BD119+BC120-BL119)))</f>
        <v>322.11538461538407</v>
      </c>
      <c r="BE120" s="14">
        <f>BD120*VLOOKUP('Données projet'!$B$11,Paramètres!$A$1:$I$89,3,0)*VLOOKUP('Données projet'!$B$11,Paramètres!$A$1:$I$89,5,0)</f>
        <v>336.67499999999944</v>
      </c>
      <c r="BF120" s="14">
        <f t="shared" si="91"/>
        <v>78.8125879449194</v>
      </c>
      <c r="BG120" s="22">
        <f t="shared" si="61"/>
        <v>723.64088233740028</v>
      </c>
      <c r="BH120" s="60">
        <f t="shared" si="62"/>
        <v>1016.9742156707337</v>
      </c>
      <c r="BI120" s="60">
        <f ca="1">AVERAGE(OFFSET($BH$3,0,0,'Données projet'!$E$11+1,1))-AVERAGE(OFFSET($H$3,0,0,'Données projet'!$E$11+1,1))</f>
        <v>373.7520752235389</v>
      </c>
      <c r="BJ120" s="60">
        <f t="shared" si="92"/>
        <v>205.19966474305761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-6.2527760746888816E-13</v>
      </c>
      <c r="BZ120" s="14">
        <f>BY120*VLOOKUP('Données projet'!$B$12,Paramètres!$A$1:$I$89,3,0)*VLOOKUP('Données projet'!$B$12,Paramètres!$A$1:$I$89,5,0)</f>
        <v>-2.9262992029543964E-13</v>
      </c>
      <c r="CA120" s="14" t="e">
        <f t="shared" si="93"/>
        <v>#NUM!</v>
      </c>
      <c r="CB120" s="22" t="e">
        <f t="shared" si="64"/>
        <v>#NUM!</v>
      </c>
      <c r="CC120" s="60" t="e">
        <f t="shared" si="65"/>
        <v>#NUM!</v>
      </c>
      <c r="CD120" s="60">
        <f ca="1">AVERAGE(OFFSET($CC$3,0,0,'Données projet'!$E$12+1,1))-AVERAGE(OFFSET($H$3,0,0,'Données projet'!$E$12+1,1))</f>
        <v>141.31558705818316</v>
      </c>
      <c r="CE120" s="60">
        <f t="shared" si="94"/>
        <v>67.142010893211364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3.7</v>
      </c>
      <c r="CT120" s="13">
        <f>IF('Données projet'!$A$140&gt;35,CT119+CS120-DB119,IF(A120&lt;'Données projet'!$A$140,$CQ$205^A120,IF(A120='Données projet'!$A$140,'Données projet'!$B$140,CT119+CS120-DB119)))</f>
        <v>291.89999999999952</v>
      </c>
      <c r="CU120" s="18">
        <f>CT120*VLOOKUP('Données projet'!$B$13,Paramètres!$A$1:$I$89,3,0)*VLOOKUP('Données projet'!$B$13,Paramètres!$A$1:$I$89,5,0)</f>
        <v>255.0038399999996</v>
      </c>
      <c r="CV120" s="14">
        <f t="shared" si="95"/>
        <v>61.656198896570132</v>
      </c>
      <c r="CW120" s="22">
        <f t="shared" si="67"/>
        <v>551.51623441152572</v>
      </c>
      <c r="CX120" s="60">
        <f t="shared" si="68"/>
        <v>844.84956774485909</v>
      </c>
      <c r="CY120" s="60">
        <f ca="1">AVERAGE(OFFSET($CX$3,0,0,'Données projet'!$E$13+1,1))-AVERAGE(OFFSET($H$3,0,0,'Données projet'!$E$13+1,1))</f>
        <v>281.8501448773884</v>
      </c>
      <c r="CZ120" s="60">
        <f t="shared" si="96"/>
        <v>161.7340631691518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3.7</v>
      </c>
      <c r="DO120" s="13">
        <f>IF('Données projet'!$A$166&gt;35,DO119+DN120-DW119,IF(A120&lt;'Données projet'!$A$166,$DL$205^A120,IF(A120='Données projet'!$A$166,'Données projet'!$B$166,DO119+DN120-DW119)))</f>
        <v>291.89999999999952</v>
      </c>
      <c r="DP120" s="18">
        <f>DO120*VLOOKUP('Données projet'!$B$14,Paramètres!$A$1:$I$89,3,0)*VLOOKUP('Données projet'!$B$14,Paramètres!$A$1:$I$89,5,0)</f>
        <v>264.11111999999957</v>
      </c>
      <c r="DQ120" s="14">
        <f t="shared" si="97"/>
        <v>63.597900866870546</v>
      </c>
      <c r="DR120" s="22">
        <f t="shared" si="70"/>
        <v>570.75987800979885</v>
      </c>
      <c r="DS120" s="60">
        <f t="shared" si="71"/>
        <v>864.09321134313223</v>
      </c>
      <c r="DT120" s="60">
        <f ca="1">AVERAGE(OFFSET($DS$3,0,0,'Données projet'!$E$14+1,1))-AVERAGE(OFFSET($H$3,0,0,'Données projet'!$E$14+1,1))</f>
        <v>295.19398489974265</v>
      </c>
      <c r="DU120" s="60">
        <f t="shared" si="98"/>
        <v>168.80998104712489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4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299.73839999999956</v>
      </c>
      <c r="P121" s="14">
        <f t="shared" si="87"/>
        <v>71.121619283394352</v>
      </c>
      <c r="Q121" s="22">
        <f t="shared" si="107"/>
        <v>645.91453358524438</v>
      </c>
      <c r="R121" s="60">
        <f t="shared" si="55"/>
        <v>939.24786691857776</v>
      </c>
      <c r="S121" s="60">
        <f ca="1">AVERAGE(OFFSET($R$3,0,0,'Données projet'!$E$9+1,1))-AVERAGE(OFFSET($H$3,0,0,'Données projet'!$E$9+1,1))</f>
        <v>341.82426415364569</v>
      </c>
      <c r="T121" s="60">
        <f t="shared" si="88"/>
        <v>193.53376539568887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-2.8421709430404007E-13</v>
      </c>
      <c r="AJ121" s="14">
        <f>AI121*VLOOKUP('Données projet'!$B$10,Paramètres!$A$1:$I$89,3,0)*VLOOKUP('Données projet'!$B$10,Paramètres!$A$1:$I$89,5,0)</f>
        <v>-1.69961822393816E-13</v>
      </c>
      <c r="AK121" s="14" t="e">
        <f t="shared" si="89"/>
        <v>#NUM!</v>
      </c>
      <c r="AL121" s="22" t="e">
        <f t="shared" si="58"/>
        <v>#NUM!</v>
      </c>
      <c r="AM121" s="60" t="e">
        <f t="shared" si="59"/>
        <v>#NUM!</v>
      </c>
      <c r="AN121" s="60">
        <f ca="1">AVERAGE(OFFSET($AM$3,0,0,'Données projet'!$E$10+1,1))-AVERAGE(OFFSET($H$3,0,0,'Données projet'!$E$10+1,1))</f>
        <v>189.8516574130017</v>
      </c>
      <c r="AO121" s="60">
        <f t="shared" si="90"/>
        <v>191.91100863555891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2.4874974584781149</v>
      </c>
      <c r="AV121" s="23">
        <f>EXP(-LN(2)/25)*AV120+(1-EXP(-LN(2)/25))/(LN(2)/25)*Calculateur!AQ121*Calculateur!AS121*VLOOKUP('Données projet'!$B$10,Paramètres!$A$1:$I$89,3,0)*0.475*44/12</f>
        <v>1.5739626327436003</v>
      </c>
      <c r="AW121" s="23">
        <f>EXP(-LN(2)/2)*AW120+(1-EXP(-LN(2)/2))/(LN(2)/2)*AQ121*AT121*VLOOKUP('Données projet'!$B$10,Paramètres!$A$1:$I$89,3,0)*0.475*44/12</f>
        <v>3.4355418449222233E-13</v>
      </c>
      <c r="AX121" s="23">
        <f t="shared" si="60"/>
        <v>4.0614600912220586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2.8846153846153868</v>
      </c>
      <c r="BD121" s="13">
        <f>IF('Données projet'!$A$88&gt;35,BD120+BC121-BL120,IF(A121&lt;'Données projet'!$A$88,$BA$205^A121,IF(A121='Données projet'!$A$88,'Données projet'!$B$88,BD120+BC121-BL120)))</f>
        <v>324.99999999999943</v>
      </c>
      <c r="BE121" s="14">
        <f>BD121*VLOOKUP('Données projet'!$B$11,Paramètres!$A$1:$I$89,3,0)*VLOOKUP('Données projet'!$B$11,Paramètres!$A$1:$I$89,5,0)</f>
        <v>339.68999999999943</v>
      </c>
      <c r="BF121" s="14">
        <f t="shared" si="91"/>
        <v>79.435895059237467</v>
      </c>
      <c r="BG121" s="22">
        <f t="shared" si="61"/>
        <v>729.97760056150412</v>
      </c>
      <c r="BH121" s="60">
        <f t="shared" si="62"/>
        <v>1023.3109338948375</v>
      </c>
      <c r="BI121" s="60">
        <f ca="1">AVERAGE(OFFSET($BH$3,0,0,'Données projet'!$E$11+1,1))-AVERAGE(OFFSET($H$3,0,0,'Données projet'!$E$11+1,1))</f>
        <v>373.7520752235389</v>
      </c>
      <c r="BJ121" s="60">
        <f t="shared" si="92"/>
        <v>205.19966474305761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-6.2527760746888816E-13</v>
      </c>
      <c r="BZ121" s="14">
        <f>BY121*VLOOKUP('Données projet'!$B$12,Paramètres!$A$1:$I$89,3,0)*VLOOKUP('Données projet'!$B$12,Paramètres!$A$1:$I$89,5,0)</f>
        <v>-2.9262992029543964E-13</v>
      </c>
      <c r="CA121" s="14" t="e">
        <f t="shared" si="93"/>
        <v>#NUM!</v>
      </c>
      <c r="CB121" s="22" t="e">
        <f t="shared" si="64"/>
        <v>#NUM!</v>
      </c>
      <c r="CC121" s="60" t="e">
        <f t="shared" si="65"/>
        <v>#NUM!</v>
      </c>
      <c r="CD121" s="60">
        <f ca="1">AVERAGE(OFFSET($CC$3,0,0,'Données projet'!$E$12+1,1))-AVERAGE(OFFSET($H$3,0,0,'Données projet'!$E$12+1,1))</f>
        <v>141.31558705818316</v>
      </c>
      <c r="CE121" s="60">
        <f t="shared" si="94"/>
        <v>67.142010893211364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3.7</v>
      </c>
      <c r="CT121" s="13">
        <f>IF('Données projet'!$A$140&gt;35,CT120+CS121-DB120,IF(A121&lt;'Données projet'!$A$140,$CQ$205^A121,IF(A121='Données projet'!$A$140,'Données projet'!$B$140,CT120+CS121-DB120)))</f>
        <v>295.59999999999951</v>
      </c>
      <c r="CU121" s="18">
        <f>CT121*VLOOKUP('Données projet'!$B$13,Paramètres!$A$1:$I$89,3,0)*VLOOKUP('Données projet'!$B$13,Paramètres!$A$1:$I$89,5,0)</f>
        <v>258.23615999999959</v>
      </c>
      <c r="CV121" s="14">
        <f t="shared" si="95"/>
        <v>62.346249722937614</v>
      </c>
      <c r="CW121" s="22">
        <f t="shared" si="67"/>
        <v>558.34769693411556</v>
      </c>
      <c r="CX121" s="60">
        <f t="shared" si="68"/>
        <v>851.68103026744893</v>
      </c>
      <c r="CY121" s="60">
        <f ca="1">AVERAGE(OFFSET($CX$3,0,0,'Données projet'!$E$13+1,1))-AVERAGE(OFFSET($H$3,0,0,'Données projet'!$E$13+1,1))</f>
        <v>281.8501448773884</v>
      </c>
      <c r="CZ121" s="60">
        <f t="shared" si="96"/>
        <v>161.7340631691518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3.7</v>
      </c>
      <c r="DO121" s="13">
        <f>IF('Données projet'!$A$166&gt;35,DO120+DN121-DW120,IF(A121&lt;'Données projet'!$A$166,$DL$205^A121,IF(A121='Données projet'!$A$166,'Données projet'!$B$166,DO120+DN121-DW120)))</f>
        <v>295.59999999999951</v>
      </c>
      <c r="DP121" s="18">
        <f>DO121*VLOOKUP('Données projet'!$B$14,Paramètres!$A$1:$I$89,3,0)*VLOOKUP('Données projet'!$B$14,Paramètres!$A$1:$I$89,5,0)</f>
        <v>267.45887999999951</v>
      </c>
      <c r="DQ121" s="14">
        <f t="shared" si="97"/>
        <v>64.309683053152327</v>
      </c>
      <c r="DR121" s="22">
        <f t="shared" si="70"/>
        <v>577.8302473175728</v>
      </c>
      <c r="DS121" s="60">
        <f t="shared" si="71"/>
        <v>871.16358065090617</v>
      </c>
      <c r="DT121" s="60">
        <f ca="1">AVERAGE(OFFSET($DS$3,0,0,'Données projet'!$E$14+1,1))-AVERAGE(OFFSET($H$3,0,0,'Données projet'!$E$14+1,1))</f>
        <v>295.19398489974265</v>
      </c>
      <c r="DU121" s="60">
        <f t="shared" si="98"/>
        <v>168.80998104712489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4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303.4901999999995</v>
      </c>
      <c r="P122" s="14">
        <f t="shared" si="87"/>
        <v>71.907650167874138</v>
      </c>
      <c r="Q122" s="22">
        <f t="shared" si="107"/>
        <v>653.81792237571324</v>
      </c>
      <c r="R122" s="60">
        <f t="shared" si="55"/>
        <v>947.15125570904661</v>
      </c>
      <c r="S122" s="60">
        <f ca="1">AVERAGE(OFFSET($R$3,0,0,'Données projet'!$E$9+1,1))-AVERAGE(OFFSET($H$3,0,0,'Données projet'!$E$9+1,1))</f>
        <v>341.82426415364569</v>
      </c>
      <c r="T122" s="60">
        <f t="shared" si="88"/>
        <v>193.53376539568887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-2.8421709430404007E-13</v>
      </c>
      <c r="AJ122" s="14">
        <f>AI122*VLOOKUP('Données projet'!$B$10,Paramètres!$A$1:$I$89,3,0)*VLOOKUP('Données projet'!$B$10,Paramètres!$A$1:$I$89,5,0)</f>
        <v>-1.69961822393816E-13</v>
      </c>
      <c r="AK122" s="14" t="e">
        <f t="shared" si="89"/>
        <v>#NUM!</v>
      </c>
      <c r="AL122" s="22" t="e">
        <f t="shared" si="58"/>
        <v>#NUM!</v>
      </c>
      <c r="AM122" s="60" t="e">
        <f t="shared" si="59"/>
        <v>#NUM!</v>
      </c>
      <c r="AN122" s="60">
        <f ca="1">AVERAGE(OFFSET($AM$3,0,0,'Données projet'!$E$10+1,1))-AVERAGE(OFFSET($H$3,0,0,'Données projet'!$E$10+1,1))</f>
        <v>189.8516574130017</v>
      </c>
      <c r="AO122" s="60">
        <f t="shared" si="90"/>
        <v>191.91100863555891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2.4387191505409955</v>
      </c>
      <c r="AV122" s="23">
        <f>EXP(-LN(2)/25)*AV121+(1-EXP(-LN(2)/25))/(LN(2)/25)*Calculateur!AQ122*Calculateur!AS122*VLOOKUP('Données projet'!$B$10,Paramètres!$A$1:$I$89,3,0)*0.475*44/12</f>
        <v>1.5309225417801291</v>
      </c>
      <c r="AW122" s="23">
        <f>EXP(-LN(2)/2)*AW121+(1-EXP(-LN(2)/2))/(LN(2)/2)*AQ122*AT122*VLOOKUP('Données projet'!$B$10,Paramètres!$A$1:$I$89,3,0)*0.475*44/12</f>
        <v>2.4292949355946464E-13</v>
      </c>
      <c r="AX122" s="23">
        <f t="shared" si="60"/>
        <v>3.9696416923213675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2.8846153846153868</v>
      </c>
      <c r="BD122" s="13">
        <f>IF('Données projet'!$A$88&gt;35,BD121+BC122-BL121,IF(A122&lt;'Données projet'!$A$88,$BA$205^A122,IF(A122='Données projet'!$A$88,'Données projet'!$B$88,BD121+BC122-BL121)))</f>
        <v>327.88461538461479</v>
      </c>
      <c r="BE122" s="14">
        <f>BD122*VLOOKUP('Données projet'!$B$11,Paramètres!$A$1:$I$89,3,0)*VLOOKUP('Données projet'!$B$11,Paramètres!$A$1:$I$89,5,0)</f>
        <v>342.70499999999942</v>
      </c>
      <c r="BF122" s="14">
        <f t="shared" si="91"/>
        <v>80.058558536074614</v>
      </c>
      <c r="BG122" s="22">
        <f t="shared" si="61"/>
        <v>736.31319778366208</v>
      </c>
      <c r="BH122" s="60">
        <f t="shared" si="62"/>
        <v>1029.6465311169954</v>
      </c>
      <c r="BI122" s="60">
        <f ca="1">AVERAGE(OFFSET($BH$3,0,0,'Données projet'!$E$11+1,1))-AVERAGE(OFFSET($H$3,0,0,'Données projet'!$E$11+1,1))</f>
        <v>373.7520752235389</v>
      </c>
      <c r="BJ122" s="60">
        <f t="shared" si="92"/>
        <v>205.19966474305761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-6.2527760746888816E-13</v>
      </c>
      <c r="BZ122" s="14">
        <f>BY122*VLOOKUP('Données projet'!$B$12,Paramètres!$A$1:$I$89,3,0)*VLOOKUP('Données projet'!$B$12,Paramètres!$A$1:$I$89,5,0)</f>
        <v>-2.9262992029543964E-13</v>
      </c>
      <c r="CA122" s="14" t="e">
        <f t="shared" si="93"/>
        <v>#NUM!</v>
      </c>
      <c r="CB122" s="22" t="e">
        <f t="shared" si="64"/>
        <v>#NUM!</v>
      </c>
      <c r="CC122" s="60" t="e">
        <f t="shared" si="65"/>
        <v>#NUM!</v>
      </c>
      <c r="CD122" s="60">
        <f ca="1">AVERAGE(OFFSET($CC$3,0,0,'Données projet'!$E$12+1,1))-AVERAGE(OFFSET($H$3,0,0,'Données projet'!$E$12+1,1))</f>
        <v>141.31558705818316</v>
      </c>
      <c r="CE122" s="60">
        <f t="shared" si="94"/>
        <v>67.142010893211364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3.7</v>
      </c>
      <c r="CT122" s="13">
        <f>IF('Données projet'!$A$140&gt;35,CT121+CS122-DB121,IF(A122&lt;'Données projet'!$A$140,$CQ$205^A122,IF(A122='Données projet'!$A$140,'Données projet'!$B$140,CT121+CS122-DB121)))</f>
        <v>299.2999999999995</v>
      </c>
      <c r="CU122" s="18">
        <f>CT122*VLOOKUP('Données projet'!$B$13,Paramètres!$A$1:$I$89,3,0)*VLOOKUP('Données projet'!$B$13,Paramètres!$A$1:$I$89,5,0)</f>
        <v>261.4684799999996</v>
      </c>
      <c r="CV122" s="14">
        <f t="shared" si="95"/>
        <v>63.035295871035594</v>
      </c>
      <c r="CW122" s="22">
        <f t="shared" si="67"/>
        <v>565.17740964205302</v>
      </c>
      <c r="CX122" s="60">
        <f t="shared" si="68"/>
        <v>858.51074297538639</v>
      </c>
      <c r="CY122" s="60">
        <f ca="1">AVERAGE(OFFSET($CX$3,0,0,'Données projet'!$E$13+1,1))-AVERAGE(OFFSET($H$3,0,0,'Données projet'!$E$13+1,1))</f>
        <v>281.8501448773884</v>
      </c>
      <c r="CZ122" s="60">
        <f t="shared" si="96"/>
        <v>161.7340631691518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3.7</v>
      </c>
      <c r="DO122" s="13">
        <f>IF('Données projet'!$A$166&gt;35,DO121+DN122-DW121,IF(A122&lt;'Données projet'!$A$166,$DL$205^A122,IF(A122='Données projet'!$A$166,'Données projet'!$B$166,DO121+DN122-DW121)))</f>
        <v>299.2999999999995</v>
      </c>
      <c r="DP122" s="18">
        <f>DO122*VLOOKUP('Données projet'!$B$14,Paramètres!$A$1:$I$89,3,0)*VLOOKUP('Données projet'!$B$14,Paramètres!$A$1:$I$89,5,0)</f>
        <v>270.80663999999956</v>
      </c>
      <c r="DQ122" s="14">
        <f t="shared" si="97"/>
        <v>65.020428921429911</v>
      </c>
      <c r="DR122" s="22">
        <f t="shared" si="70"/>
        <v>584.89881170482306</v>
      </c>
      <c r="DS122" s="60">
        <f t="shared" si="71"/>
        <v>878.23214503815643</v>
      </c>
      <c r="DT122" s="60">
        <f ca="1">AVERAGE(OFFSET($DS$3,0,0,'Données projet'!$E$14+1,1))-AVERAGE(OFFSET($H$3,0,0,'Données projet'!$E$14+1,1))</f>
        <v>295.19398489974265</v>
      </c>
      <c r="DU122" s="60">
        <f t="shared" si="98"/>
        <v>168.80998104712489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4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307.24199999999951</v>
      </c>
      <c r="P123" s="14">
        <f t="shared" si="87"/>
        <v>72.692550770207717</v>
      </c>
      <c r="Q123" s="22">
        <f t="shared" si="107"/>
        <v>661.71934259144427</v>
      </c>
      <c r="R123" s="60">
        <f t="shared" si="55"/>
        <v>955.05267592477753</v>
      </c>
      <c r="S123" s="60">
        <f ca="1">AVERAGE(OFFSET($R$3,0,0,'Données projet'!$E$9+1,1))-AVERAGE(OFFSET($H$3,0,0,'Données projet'!$E$9+1,1))</f>
        <v>341.82426415364569</v>
      </c>
      <c r="T123" s="60">
        <f t="shared" si="88"/>
        <v>193.53376539568887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-2.8421709430404007E-13</v>
      </c>
      <c r="AJ123" s="14">
        <f>AI123*VLOOKUP('Données projet'!$B$10,Paramètres!$A$1:$I$89,3,0)*VLOOKUP('Données projet'!$B$10,Paramètres!$A$1:$I$89,5,0)</f>
        <v>-1.69961822393816E-13</v>
      </c>
      <c r="AK123" s="14" t="e">
        <f t="shared" si="89"/>
        <v>#NUM!</v>
      </c>
      <c r="AL123" s="22" t="e">
        <f t="shared" si="58"/>
        <v>#NUM!</v>
      </c>
      <c r="AM123" s="60" t="e">
        <f t="shared" si="59"/>
        <v>#NUM!</v>
      </c>
      <c r="AN123" s="60">
        <f ca="1">AVERAGE(OFFSET($AM$3,0,0,'Données projet'!$E$10+1,1))-AVERAGE(OFFSET($H$3,0,0,'Données projet'!$E$10+1,1))</f>
        <v>189.8516574130017</v>
      </c>
      <c r="AO123" s="60">
        <f t="shared" si="90"/>
        <v>191.91100863555891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2.3908973554706927</v>
      </c>
      <c r="AV123" s="23">
        <f>EXP(-LN(2)/25)*AV122+(1-EXP(-LN(2)/25))/(LN(2)/25)*Calculateur!AQ123*Calculateur!AS123*VLOOKUP('Données projet'!$B$10,Paramètres!$A$1:$I$89,3,0)*0.475*44/12</f>
        <v>1.489059384367434</v>
      </c>
      <c r="AW123" s="23">
        <f>EXP(-LN(2)/2)*AW122+(1-EXP(-LN(2)/2))/(LN(2)/2)*AQ123*AT123*VLOOKUP('Données projet'!$B$10,Paramètres!$A$1:$I$89,3,0)*0.475*44/12</f>
        <v>1.7177709224611117E-13</v>
      </c>
      <c r="AX123" s="23">
        <f t="shared" si="60"/>
        <v>3.8799567398382986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330.76923076923077</v>
      </c>
      <c r="BB123" s="13">
        <f>VLOOKUP(A123,'Données projet'!$A$87:$I$107,9,0)</f>
        <v>2.8846153846153868</v>
      </c>
      <c r="BC123" s="13">
        <f t="array" ref="BC123">INDEX(BB:BB,MIN(IF(ISNUMBER(BB123:BB319),ROW(BB123:BB319),"")))</f>
        <v>2.8846153846153868</v>
      </c>
      <c r="BD123" s="13">
        <f>IF('Données projet'!$A$88&gt;35,BD122+BC123-BL122,IF(A123&lt;'Données projet'!$A$88,$BA$205^A123,IF(A123='Données projet'!$A$88,'Données projet'!$B$88,BD122+BC123-BL122)))</f>
        <v>330.76923076923015</v>
      </c>
      <c r="BE123" s="14">
        <f>BD123*VLOOKUP('Données projet'!$B$11,Paramètres!$A$1:$I$89,3,0)*VLOOKUP('Données projet'!$B$11,Paramètres!$A$1:$I$89,5,0)</f>
        <v>345.7199999999994</v>
      </c>
      <c r="BF123" s="14">
        <f t="shared" si="91"/>
        <v>80.6805846939736</v>
      </c>
      <c r="BG123" s="22">
        <f t="shared" si="61"/>
        <v>742.64768500866955</v>
      </c>
      <c r="BH123" s="60">
        <f t="shared" si="62"/>
        <v>1035.9810183420029</v>
      </c>
      <c r="BI123" s="60">
        <f ca="1">AVERAGE(OFFSET($BH$3,0,0,'Données projet'!$E$11+1,1))-AVERAGE(OFFSET($H$3,0,0,'Données projet'!$E$11+1,1))</f>
        <v>373.7520752235389</v>
      </c>
      <c r="BJ123" s="60">
        <f t="shared" si="92"/>
        <v>205.19966474305761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17.948717948717949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-6.2527760746888816E-13</v>
      </c>
      <c r="BZ123" s="14">
        <f>BY123*VLOOKUP('Données projet'!$B$12,Paramètres!$A$1:$I$89,3,0)*VLOOKUP('Données projet'!$B$12,Paramètres!$A$1:$I$89,5,0)</f>
        <v>-2.9262992029543964E-13</v>
      </c>
      <c r="CA123" s="14" t="e">
        <f t="shared" si="93"/>
        <v>#NUM!</v>
      </c>
      <c r="CB123" s="22" t="e">
        <f t="shared" si="64"/>
        <v>#NUM!</v>
      </c>
      <c r="CC123" s="60" t="e">
        <f t="shared" si="65"/>
        <v>#NUM!</v>
      </c>
      <c r="CD123" s="60">
        <f ca="1">AVERAGE(OFFSET($CC$3,0,0,'Données projet'!$E$12+1,1))-AVERAGE(OFFSET($H$3,0,0,'Données projet'!$E$12+1,1))</f>
        <v>141.31558705818316</v>
      </c>
      <c r="CE123" s="60">
        <f t="shared" si="94"/>
        <v>67.142010893211364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303</v>
      </c>
      <c r="CR123" s="13">
        <f>VLOOKUP(A123,'Données projet'!$A$139:$I$159,9,0)</f>
        <v>3.7</v>
      </c>
      <c r="CS123" s="13">
        <f t="array" ref="CS123">INDEX(CR:CR,MIN(IF(ISNUMBER(CR123:CR319),ROW(CR123:CR319),"")))</f>
        <v>3.7</v>
      </c>
      <c r="CT123" s="13">
        <f>IF('Données projet'!$A$140&gt;35,CT122+CS123-DB122,IF(A123&lt;'Données projet'!$A$140,$CQ$205^A123,IF(A123='Données projet'!$A$140,'Données projet'!$B$140,CT122+CS123-DB122)))</f>
        <v>302.99999999999949</v>
      </c>
      <c r="CU123" s="18">
        <f>CT123*VLOOKUP('Données projet'!$B$13,Paramètres!$A$1:$I$89,3,0)*VLOOKUP('Données projet'!$B$13,Paramètres!$A$1:$I$89,5,0)</f>
        <v>264.70079999999956</v>
      </c>
      <c r="CV123" s="14">
        <f t="shared" si="95"/>
        <v>63.723351197304005</v>
      </c>
      <c r="CW123" s="22">
        <f t="shared" si="67"/>
        <v>572.00539666863699</v>
      </c>
      <c r="CX123" s="60">
        <f t="shared" si="68"/>
        <v>865.33873000197036</v>
      </c>
      <c r="CY123" s="60">
        <f ca="1">AVERAGE(OFFSET($CX$3,0,0,'Données projet'!$E$13+1,1))-AVERAGE(OFFSET($H$3,0,0,'Données projet'!$E$13+1,1))</f>
        <v>281.8501448773884</v>
      </c>
      <c r="CZ123" s="60">
        <f t="shared" si="96"/>
        <v>161.7340631691518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35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303</v>
      </c>
      <c r="DM123" s="13">
        <f>VLOOKUP(A123,'Données projet'!$A$165:$I$185,9,0)</f>
        <v>3.7</v>
      </c>
      <c r="DN123" s="13">
        <f t="array" ref="DN123">INDEX(DM:DM,MIN(IF(ISNUMBER(DM123:DM319),ROW(DM123:DM319),"")))</f>
        <v>3.7</v>
      </c>
      <c r="DO123" s="13">
        <f>IF('Données projet'!$A$166&gt;35,DO122+DN123-DW122,IF(A123&lt;'Données projet'!$A$166,$DL$205^A123,IF(A123='Données projet'!$A$166,'Données projet'!$B$166,DO122+DN123-DW122)))</f>
        <v>302.99999999999949</v>
      </c>
      <c r="DP123" s="18">
        <f>DO123*VLOOKUP('Données projet'!$B$14,Paramètres!$A$1:$I$89,3,0)*VLOOKUP('Données projet'!$B$14,Paramètres!$A$1:$I$89,5,0)</f>
        <v>274.15439999999955</v>
      </c>
      <c r="DQ123" s="14">
        <f t="shared" si="97"/>
        <v>65.730152764515779</v>
      </c>
      <c r="DR123" s="22">
        <f t="shared" si="70"/>
        <v>591.96559606486414</v>
      </c>
      <c r="DS123" s="60">
        <f t="shared" si="71"/>
        <v>885.29892939819752</v>
      </c>
      <c r="DT123" s="60">
        <f ca="1">AVERAGE(OFFSET($DS$3,0,0,'Données projet'!$E$14+1,1))-AVERAGE(OFFSET($H$3,0,0,'Données projet'!$E$14+1,1))</f>
        <v>295.19398489974265</v>
      </c>
      <c r="DU123" s="60">
        <f t="shared" si="98"/>
        <v>168.80998104712489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35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4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274.9967999999995</v>
      </c>
      <c r="P124" s="14">
        <f t="shared" si="87"/>
        <v>65.908581953881495</v>
      </c>
      <c r="Q124" s="22">
        <f t="shared" si="107"/>
        <v>593.74354023634271</v>
      </c>
      <c r="R124" s="60">
        <f t="shared" si="55"/>
        <v>887.07687356967608</v>
      </c>
      <c r="S124" s="60">
        <f ca="1">AVERAGE(OFFSET($R$3,0,0,'Données projet'!$E$9+1,1))-AVERAGE(OFFSET($H$3,0,0,'Données projet'!$E$9+1,1))</f>
        <v>341.82426415364569</v>
      </c>
      <c r="T124" s="60">
        <f t="shared" si="88"/>
        <v>193.53376539568887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-2.8421709430404007E-13</v>
      </c>
      <c r="AJ124" s="14">
        <f>AI124*VLOOKUP('Données projet'!$B$10,Paramètres!$A$1:$I$89,3,0)*VLOOKUP('Données projet'!$B$10,Paramètres!$A$1:$I$89,5,0)</f>
        <v>-1.69961822393816E-13</v>
      </c>
      <c r="AK124" s="14" t="e">
        <f t="shared" si="89"/>
        <v>#NUM!</v>
      </c>
      <c r="AL124" s="22" t="e">
        <f t="shared" si="58"/>
        <v>#NUM!</v>
      </c>
      <c r="AM124" s="60" t="e">
        <f t="shared" si="59"/>
        <v>#NUM!</v>
      </c>
      <c r="AN124" s="60">
        <f ca="1">AVERAGE(OFFSET($AM$3,0,0,'Données projet'!$E$10+1,1))-AVERAGE(OFFSET($H$3,0,0,'Données projet'!$E$10+1,1))</f>
        <v>189.8516574130017</v>
      </c>
      <c r="AO124" s="60">
        <f t="shared" si="90"/>
        <v>191.91100863555891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2.3440133166333039</v>
      </c>
      <c r="AV124" s="23">
        <f>EXP(-LN(2)/25)*AV123+(1-EXP(-LN(2)/25))/(LN(2)/25)*Calculateur!AQ124*Calculateur!AS124*VLOOKUP('Données projet'!$B$10,Paramètres!$A$1:$I$89,3,0)*0.475*44/12</f>
        <v>1.4483409771956768</v>
      </c>
      <c r="AW124" s="23">
        <f>EXP(-LN(2)/2)*AW123+(1-EXP(-LN(2)/2))/(LN(2)/2)*AQ124*AT124*VLOOKUP('Données projet'!$B$10,Paramètres!$A$1:$I$89,3,0)*0.475*44/12</f>
        <v>1.2146474677973232E-13</v>
      </c>
      <c r="AX124" s="23">
        <f t="shared" si="60"/>
        <v>3.7923542938291024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2.6282051282051269</v>
      </c>
      <c r="BD124" s="13">
        <f>IF('Données projet'!$A$88&gt;35,BD123+BC124-BL123,IF(A124&lt;'Données projet'!$A$88,$BA$205^A124,IF(A124='Données projet'!$A$88,'Données projet'!$B$88,BD123+BC124-BL123)))</f>
        <v>315.44871794871733</v>
      </c>
      <c r="BE124" s="14">
        <f>BD124*VLOOKUP('Données projet'!$B$11,Paramètres!$A$1:$I$89,3,0)*VLOOKUP('Données projet'!$B$11,Paramètres!$A$1:$I$89,5,0)</f>
        <v>329.70699999999937</v>
      </c>
      <c r="BF124" s="14">
        <f t="shared" si="91"/>
        <v>77.369557656320978</v>
      </c>
      <c r="BG124" s="22">
        <f t="shared" si="61"/>
        <v>708.99167125142458</v>
      </c>
      <c r="BH124" s="60">
        <f t="shared" si="62"/>
        <v>1002.3250045847578</v>
      </c>
      <c r="BI124" s="60">
        <f ca="1">AVERAGE(OFFSET($BH$3,0,0,'Données projet'!$E$11+1,1))-AVERAGE(OFFSET($H$3,0,0,'Données projet'!$E$11+1,1))</f>
        <v>373.7520752235389</v>
      </c>
      <c r="BJ124" s="60">
        <f t="shared" si="92"/>
        <v>205.19966474305761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-6.2527760746888816E-13</v>
      </c>
      <c r="BZ124" s="14">
        <f>BY124*VLOOKUP('Données projet'!$B$12,Paramètres!$A$1:$I$89,3,0)*VLOOKUP('Données projet'!$B$12,Paramètres!$A$1:$I$89,5,0)</f>
        <v>-2.9262992029543964E-13</v>
      </c>
      <c r="CA124" s="14" t="e">
        <f t="shared" si="93"/>
        <v>#NUM!</v>
      </c>
      <c r="CB124" s="22" t="e">
        <f t="shared" si="64"/>
        <v>#NUM!</v>
      </c>
      <c r="CC124" s="60" t="e">
        <f t="shared" si="65"/>
        <v>#NUM!</v>
      </c>
      <c r="CD124" s="60">
        <f ca="1">AVERAGE(OFFSET($CC$3,0,0,'Données projet'!$E$12+1,1))-AVERAGE(OFFSET($H$3,0,0,'Données projet'!$E$12+1,1))</f>
        <v>141.31558705818316</v>
      </c>
      <c r="CE124" s="60">
        <f t="shared" si="94"/>
        <v>67.142010893211364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3.2</v>
      </c>
      <c r="CT124" s="13">
        <f>IF('Données projet'!$A$140&gt;35,CT123+CS124-DB123,IF(A124&lt;'Données projet'!$A$140,$CQ$205^A124,IF(A124='Données projet'!$A$140,'Données projet'!$B$140,CT123+CS124-DB123)))</f>
        <v>271.19999999999948</v>
      </c>
      <c r="CU124" s="18">
        <f>CT124*VLOOKUP('Données projet'!$B$13,Paramètres!$A$1:$I$89,3,0)*VLOOKUP('Données projet'!$B$13,Paramètres!$A$1:$I$89,5,0)</f>
        <v>236.92031999999958</v>
      </c>
      <c r="CV124" s="14">
        <f t="shared" si="95"/>
        <v>57.776425098082797</v>
      </c>
      <c r="CW124" s="22">
        <f t="shared" si="67"/>
        <v>513.26349771249352</v>
      </c>
      <c r="CX124" s="60">
        <f t="shared" si="68"/>
        <v>806.59683104582678</v>
      </c>
      <c r="CY124" s="60">
        <f ca="1">AVERAGE(OFFSET($CX$3,0,0,'Données projet'!$E$13+1,1))-AVERAGE(OFFSET($H$3,0,0,'Données projet'!$E$13+1,1))</f>
        <v>281.8501448773884</v>
      </c>
      <c r="CZ124" s="60">
        <f t="shared" si="96"/>
        <v>161.7340631691518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3.2</v>
      </c>
      <c r="DO124" s="13">
        <f>IF('Données projet'!$A$166&gt;35,DO123+DN124-DW123,IF(A124&lt;'Données projet'!$A$166,$DL$205^A124,IF(A124='Données projet'!$A$166,'Données projet'!$B$166,DO123+DN124-DW123)))</f>
        <v>271.19999999999948</v>
      </c>
      <c r="DP124" s="18">
        <f>DO124*VLOOKUP('Données projet'!$B$14,Paramètres!$A$1:$I$89,3,0)*VLOOKUP('Données projet'!$B$14,Paramètres!$A$1:$I$89,5,0)</f>
        <v>245.3817599999995</v>
      </c>
      <c r="DQ124" s="14">
        <f t="shared" si="97"/>
        <v>59.595943661626663</v>
      </c>
      <c r="DR124" s="22">
        <f t="shared" si="70"/>
        <v>531.16950054399888</v>
      </c>
      <c r="DS124" s="60">
        <f t="shared" si="71"/>
        <v>824.50283387733225</v>
      </c>
      <c r="DT124" s="60">
        <f ca="1">AVERAGE(OFFSET($DS$3,0,0,'Données projet'!$E$14+1,1))-AVERAGE(OFFSET($H$3,0,0,'Données projet'!$E$14+1,1))</f>
        <v>295.19398489974265</v>
      </c>
      <c r="DU124" s="60">
        <f t="shared" si="98"/>
        <v>168.80998104712489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4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278.24159999999949</v>
      </c>
      <c r="P125" s="14">
        <f t="shared" si="87"/>
        <v>66.595272276139681</v>
      </c>
      <c r="Q125" s="22">
        <f t="shared" si="107"/>
        <v>600.59088588094244</v>
      </c>
      <c r="R125" s="60">
        <f t="shared" si="55"/>
        <v>893.92421921427581</v>
      </c>
      <c r="S125" s="60">
        <f ca="1">AVERAGE(OFFSET($R$3,0,0,'Données projet'!$E$9+1,1))-AVERAGE(OFFSET($H$3,0,0,'Données projet'!$E$9+1,1))</f>
        <v>341.82426415364569</v>
      </c>
      <c r="T125" s="60">
        <f t="shared" si="88"/>
        <v>193.53376539568887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-2.8421709430404007E-13</v>
      </c>
      <c r="AJ125" s="14">
        <f>AI125*VLOOKUP('Données projet'!$B$10,Paramètres!$A$1:$I$89,3,0)*VLOOKUP('Données projet'!$B$10,Paramètres!$A$1:$I$89,5,0)</f>
        <v>-1.69961822393816E-13</v>
      </c>
      <c r="AK125" s="14" t="e">
        <f t="shared" si="89"/>
        <v>#NUM!</v>
      </c>
      <c r="AL125" s="22" t="e">
        <f t="shared" si="58"/>
        <v>#NUM!</v>
      </c>
      <c r="AM125" s="60" t="e">
        <f t="shared" si="59"/>
        <v>#NUM!</v>
      </c>
      <c r="AN125" s="60">
        <f ca="1">AVERAGE(OFFSET($AM$3,0,0,'Données projet'!$E$10+1,1))-AVERAGE(OFFSET($H$3,0,0,'Données projet'!$E$10+1,1))</f>
        <v>189.8516574130017</v>
      </c>
      <c r="AO125" s="60">
        <f t="shared" si="90"/>
        <v>191.91100863555891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2.2980486452010762</v>
      </c>
      <c r="AV125" s="23">
        <f>EXP(-LN(2)/25)*AV124+(1-EXP(-LN(2)/25))/(LN(2)/25)*Calculateur!AQ125*Calculateur!AS125*VLOOKUP('Données projet'!$B$10,Paramètres!$A$1:$I$89,3,0)*0.475*44/12</f>
        <v>1.4087360170093193</v>
      </c>
      <c r="AW125" s="23">
        <f>EXP(-LN(2)/2)*AW124+(1-EXP(-LN(2)/2))/(LN(2)/2)*AQ125*AT125*VLOOKUP('Données projet'!$B$10,Paramètres!$A$1:$I$89,3,0)*0.475*44/12</f>
        <v>8.5888546123055584E-14</v>
      </c>
      <c r="AX125" s="23">
        <f t="shared" si="60"/>
        <v>3.7067846622104814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2.6282051282051269</v>
      </c>
      <c r="BD125" s="13">
        <f>IF('Données projet'!$A$88&gt;35,BD124+BC125-BL124,IF(A125&lt;'Données projet'!$A$88,$BA$205^A125,IF(A125='Données projet'!$A$88,'Données projet'!$B$88,BD124+BC125-BL124)))</f>
        <v>318.07692307692247</v>
      </c>
      <c r="BE125" s="14">
        <f>BD125*VLOOKUP('Données projet'!$B$11,Paramètres!$A$1:$I$89,3,0)*VLOOKUP('Données projet'!$B$11,Paramètres!$A$1:$I$89,5,0)</f>
        <v>332.45399999999938</v>
      </c>
      <c r="BF125" s="14">
        <f t="shared" si="91"/>
        <v>77.938864391883257</v>
      </c>
      <c r="BG125" s="22">
        <f t="shared" si="61"/>
        <v>714.76757214919553</v>
      </c>
      <c r="BH125" s="60">
        <f t="shared" si="62"/>
        <v>1008.1009054825288</v>
      </c>
      <c r="BI125" s="60">
        <f ca="1">AVERAGE(OFFSET($BH$3,0,0,'Données projet'!$E$11+1,1))-AVERAGE(OFFSET($H$3,0,0,'Données projet'!$E$11+1,1))</f>
        <v>373.7520752235389</v>
      </c>
      <c r="BJ125" s="60">
        <f t="shared" si="92"/>
        <v>205.19966474305761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-6.2527760746888816E-13</v>
      </c>
      <c r="BZ125" s="14">
        <f>BY125*VLOOKUP('Données projet'!$B$12,Paramètres!$A$1:$I$89,3,0)*VLOOKUP('Données projet'!$B$12,Paramètres!$A$1:$I$89,5,0)</f>
        <v>-2.9262992029543964E-13</v>
      </c>
      <c r="CA125" s="14" t="e">
        <f t="shared" si="93"/>
        <v>#NUM!</v>
      </c>
      <c r="CB125" s="22" t="e">
        <f t="shared" si="64"/>
        <v>#NUM!</v>
      </c>
      <c r="CC125" s="60" t="e">
        <f t="shared" si="65"/>
        <v>#NUM!</v>
      </c>
      <c r="CD125" s="60">
        <f ca="1">AVERAGE(OFFSET($CC$3,0,0,'Données projet'!$E$12+1,1))-AVERAGE(OFFSET($H$3,0,0,'Données projet'!$E$12+1,1))</f>
        <v>141.31558705818316</v>
      </c>
      <c r="CE125" s="60">
        <f t="shared" si="94"/>
        <v>67.142010893211364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3.2</v>
      </c>
      <c r="CT125" s="13">
        <f>IF('Données projet'!$A$140&gt;35,CT124+CS125-DB124,IF(A125&lt;'Données projet'!$A$140,$CQ$205^A125,IF(A125='Données projet'!$A$140,'Données projet'!$B$140,CT124+CS125-DB124)))</f>
        <v>274.39999999999947</v>
      </c>
      <c r="CU125" s="18">
        <f>CT125*VLOOKUP('Données projet'!$B$13,Paramètres!$A$1:$I$89,3,0)*VLOOKUP('Données projet'!$B$13,Paramètres!$A$1:$I$89,5,0)</f>
        <v>239.71583999999953</v>
      </c>
      <c r="CV125" s="14">
        <f t="shared" si="95"/>
        <v>58.378387859127884</v>
      </c>
      <c r="CW125" s="22">
        <f t="shared" si="67"/>
        <v>519.18078018798019</v>
      </c>
      <c r="CX125" s="60">
        <f t="shared" si="68"/>
        <v>812.51411352131345</v>
      </c>
      <c r="CY125" s="60">
        <f ca="1">AVERAGE(OFFSET($CX$3,0,0,'Données projet'!$E$13+1,1))-AVERAGE(OFFSET($H$3,0,0,'Données projet'!$E$13+1,1))</f>
        <v>281.8501448773884</v>
      </c>
      <c r="CZ125" s="60">
        <f t="shared" si="96"/>
        <v>161.7340631691518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3.2</v>
      </c>
      <c r="DO125" s="13">
        <f>IF('Données projet'!$A$166&gt;35,DO124+DN125-DW124,IF(A125&lt;'Données projet'!$A$166,$DL$205^A125,IF(A125='Données projet'!$A$166,'Données projet'!$B$166,DO124+DN125-DW124)))</f>
        <v>274.39999999999947</v>
      </c>
      <c r="DP125" s="18">
        <f>DO125*VLOOKUP('Données projet'!$B$14,Paramètres!$A$1:$I$89,3,0)*VLOOKUP('Données projet'!$B$14,Paramètres!$A$1:$I$89,5,0)</f>
        <v>248.27711999999951</v>
      </c>
      <c r="DQ125" s="14">
        <f t="shared" si="97"/>
        <v>60.216863677580257</v>
      </c>
      <c r="DR125" s="22">
        <f t="shared" si="70"/>
        <v>537.29368823845141</v>
      </c>
      <c r="DS125" s="60">
        <f t="shared" si="71"/>
        <v>830.62702157178478</v>
      </c>
      <c r="DT125" s="60">
        <f ca="1">AVERAGE(OFFSET($DS$3,0,0,'Données projet'!$E$14+1,1))-AVERAGE(OFFSET($H$3,0,0,'Données projet'!$E$14+1,1))</f>
        <v>295.19398489974265</v>
      </c>
      <c r="DU125" s="60">
        <f t="shared" si="98"/>
        <v>168.80998104712489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4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281.48639999999949</v>
      </c>
      <c r="P126" s="14">
        <f t="shared" si="87"/>
        <v>67.281031071373235</v>
      </c>
      <c r="Q126" s="22">
        <f t="shared" si="107"/>
        <v>607.43660911597419</v>
      </c>
      <c r="R126" s="60">
        <f t="shared" si="55"/>
        <v>900.76994244930756</v>
      </c>
      <c r="S126" s="60">
        <f ca="1">AVERAGE(OFFSET($R$3,0,0,'Données projet'!$E$9+1,1))-AVERAGE(OFFSET($H$3,0,0,'Données projet'!$E$9+1,1))</f>
        <v>341.82426415364569</v>
      </c>
      <c r="T126" s="60">
        <f t="shared" si="88"/>
        <v>193.53376539568887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-2.8421709430404007E-13</v>
      </c>
      <c r="AJ126" s="14">
        <f>AI126*VLOOKUP('Données projet'!$B$10,Paramètres!$A$1:$I$89,3,0)*VLOOKUP('Données projet'!$B$10,Paramètres!$A$1:$I$89,5,0)</f>
        <v>-1.69961822393816E-13</v>
      </c>
      <c r="AK126" s="14" t="e">
        <f t="shared" si="89"/>
        <v>#NUM!</v>
      </c>
      <c r="AL126" s="22" t="e">
        <f t="shared" si="58"/>
        <v>#NUM!</v>
      </c>
      <c r="AM126" s="60" t="e">
        <f t="shared" si="59"/>
        <v>#NUM!</v>
      </c>
      <c r="AN126" s="60">
        <f ca="1">AVERAGE(OFFSET($AM$3,0,0,'Données projet'!$E$10+1,1))-AVERAGE(OFFSET($H$3,0,0,'Données projet'!$E$10+1,1))</f>
        <v>189.8516574130017</v>
      </c>
      <c r="AO126" s="60">
        <f t="shared" si="90"/>
        <v>191.91100863555891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2.2529853129399533</v>
      </c>
      <c r="AV126" s="23">
        <f>EXP(-LN(2)/25)*AV125+(1-EXP(-LN(2)/25))/(LN(2)/25)*Calculateur!AQ126*Calculateur!AS126*VLOOKUP('Données projet'!$B$10,Paramètres!$A$1:$I$89,3,0)*0.475*44/12</f>
        <v>1.370214056541992</v>
      </c>
      <c r="AW126" s="23">
        <f>EXP(-LN(2)/2)*AW125+(1-EXP(-LN(2)/2))/(LN(2)/2)*AQ126*AT126*VLOOKUP('Données projet'!$B$10,Paramètres!$A$1:$I$89,3,0)*0.475*44/12</f>
        <v>6.0732373389866159E-14</v>
      </c>
      <c r="AX126" s="23">
        <f t="shared" si="60"/>
        <v>3.6231993694820059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2.6282051282051269</v>
      </c>
      <c r="BD126" s="13">
        <f>IF('Données projet'!$A$88&gt;35,BD125+BC126-BL125,IF(A126&lt;'Données projet'!$A$88,$BA$205^A126,IF(A126='Données projet'!$A$88,'Données projet'!$B$88,BD125+BC126-BL125)))</f>
        <v>320.70512820512761</v>
      </c>
      <c r="BE126" s="14">
        <f>BD126*VLOOKUP('Données projet'!$B$11,Paramètres!$A$1:$I$89,3,0)*VLOOKUP('Données projet'!$B$11,Paramètres!$A$1:$I$89,5,0)</f>
        <v>335.2009999999994</v>
      </c>
      <c r="BF126" s="14">
        <f t="shared" si="91"/>
        <v>78.507623830791573</v>
      </c>
      <c r="BG126" s="22">
        <f t="shared" si="61"/>
        <v>720.54251983862753</v>
      </c>
      <c r="BH126" s="60">
        <f t="shared" si="62"/>
        <v>1013.8758531719609</v>
      </c>
      <c r="BI126" s="60">
        <f ca="1">AVERAGE(OFFSET($BH$3,0,0,'Données projet'!$E$11+1,1))-AVERAGE(OFFSET($H$3,0,0,'Données projet'!$E$11+1,1))</f>
        <v>373.7520752235389</v>
      </c>
      <c r="BJ126" s="60">
        <f t="shared" si="92"/>
        <v>205.19966474305761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-6.2527760746888816E-13</v>
      </c>
      <c r="BZ126" s="14">
        <f>BY126*VLOOKUP('Données projet'!$B$12,Paramètres!$A$1:$I$89,3,0)*VLOOKUP('Données projet'!$B$12,Paramètres!$A$1:$I$89,5,0)</f>
        <v>-2.9262992029543964E-13</v>
      </c>
      <c r="CA126" s="14" t="e">
        <f t="shared" si="93"/>
        <v>#NUM!</v>
      </c>
      <c r="CB126" s="22" t="e">
        <f t="shared" si="64"/>
        <v>#NUM!</v>
      </c>
      <c r="CC126" s="60" t="e">
        <f t="shared" si="65"/>
        <v>#NUM!</v>
      </c>
      <c r="CD126" s="60">
        <f ca="1">AVERAGE(OFFSET($CC$3,0,0,'Données projet'!$E$12+1,1))-AVERAGE(OFFSET($H$3,0,0,'Données projet'!$E$12+1,1))</f>
        <v>141.31558705818316</v>
      </c>
      <c r="CE126" s="60">
        <f t="shared" si="94"/>
        <v>67.142010893211364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3.2</v>
      </c>
      <c r="CT126" s="13">
        <f>IF('Données projet'!$A$140&gt;35,CT125+CS126-DB125,IF(A126&lt;'Données projet'!$A$140,$CQ$205^A126,IF(A126='Données projet'!$A$140,'Données projet'!$B$140,CT125+CS126-DB125)))</f>
        <v>277.59999999999945</v>
      </c>
      <c r="CU126" s="18">
        <f>CT126*VLOOKUP('Données projet'!$B$13,Paramètres!$A$1:$I$89,3,0)*VLOOKUP('Données projet'!$B$13,Paramètres!$A$1:$I$89,5,0)</f>
        <v>242.51135999999954</v>
      </c>
      <c r="CV126" s="14">
        <f t="shared" si="95"/>
        <v>58.979534029984471</v>
      </c>
      <c r="CW126" s="22">
        <f t="shared" si="67"/>
        <v>525.0966404355554</v>
      </c>
      <c r="CX126" s="60">
        <f t="shared" si="68"/>
        <v>818.42997376888866</v>
      </c>
      <c r="CY126" s="60">
        <f ca="1">AVERAGE(OFFSET($CX$3,0,0,'Données projet'!$E$13+1,1))-AVERAGE(OFFSET($H$3,0,0,'Données projet'!$E$13+1,1))</f>
        <v>281.8501448773884</v>
      </c>
      <c r="CZ126" s="60">
        <f t="shared" si="96"/>
        <v>161.7340631691518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3.2</v>
      </c>
      <c r="DO126" s="13">
        <f>IF('Données projet'!$A$166&gt;35,DO125+DN126-DW125,IF(A126&lt;'Données projet'!$A$166,$DL$205^A126,IF(A126='Données projet'!$A$166,'Données projet'!$B$166,DO125+DN126-DW125)))</f>
        <v>277.59999999999945</v>
      </c>
      <c r="DP126" s="18">
        <f>DO126*VLOOKUP('Données projet'!$B$14,Paramètres!$A$1:$I$89,3,0)*VLOOKUP('Données projet'!$B$14,Paramètres!$A$1:$I$89,5,0)</f>
        <v>251.1724799999995</v>
      </c>
      <c r="DQ126" s="14">
        <f t="shared" si="97"/>
        <v>60.836941386956575</v>
      </c>
      <c r="DR126" s="22">
        <f t="shared" si="70"/>
        <v>543.41640891561519</v>
      </c>
      <c r="DS126" s="60">
        <f t="shared" si="71"/>
        <v>836.74974224894845</v>
      </c>
      <c r="DT126" s="60">
        <f ca="1">AVERAGE(OFFSET($DS$3,0,0,'Données projet'!$E$14+1,1))-AVERAGE(OFFSET($H$3,0,0,'Données projet'!$E$14+1,1))</f>
        <v>295.19398489974265</v>
      </c>
      <c r="DU126" s="60">
        <f t="shared" si="98"/>
        <v>168.80998104712489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4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284.73119999999943</v>
      </c>
      <c r="P127" s="14">
        <f t="shared" si="87"/>
        <v>67.965870320050826</v>
      </c>
      <c r="Q127" s="22">
        <f t="shared" si="107"/>
        <v>614.28073080742081</v>
      </c>
      <c r="R127" s="60">
        <f t="shared" si="55"/>
        <v>907.61406414075418</v>
      </c>
      <c r="S127" s="60">
        <f ca="1">AVERAGE(OFFSET($R$3,0,0,'Données projet'!$E$9+1,1))-AVERAGE(OFFSET($H$3,0,0,'Données projet'!$E$9+1,1))</f>
        <v>341.82426415364569</v>
      </c>
      <c r="T127" s="60">
        <f t="shared" si="88"/>
        <v>193.53376539568887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-2.8421709430404007E-13</v>
      </c>
      <c r="AJ127" s="14">
        <f>AI127*VLOOKUP('Données projet'!$B$10,Paramètres!$A$1:$I$89,3,0)*VLOOKUP('Données projet'!$B$10,Paramètres!$A$1:$I$89,5,0)</f>
        <v>-1.69961822393816E-13</v>
      </c>
      <c r="AK127" s="14" t="e">
        <f t="shared" si="89"/>
        <v>#NUM!</v>
      </c>
      <c r="AL127" s="22" t="e">
        <f t="shared" si="58"/>
        <v>#NUM!</v>
      </c>
      <c r="AM127" s="60" t="e">
        <f t="shared" si="59"/>
        <v>#NUM!</v>
      </c>
      <c r="AN127" s="60">
        <f ca="1">AVERAGE(OFFSET($AM$3,0,0,'Données projet'!$E$10+1,1))-AVERAGE(OFFSET($H$3,0,0,'Données projet'!$E$10+1,1))</f>
        <v>189.8516574130017</v>
      </c>
      <c r="AO127" s="60">
        <f t="shared" si="90"/>
        <v>191.91100863555891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2.2088056451385523</v>
      </c>
      <c r="AV127" s="23">
        <f>EXP(-LN(2)/25)*AV126+(1-EXP(-LN(2)/25))/(LN(2)/25)*Calculateur!AQ127*Calculateur!AS127*VLOOKUP('Données projet'!$B$10,Paramètres!$A$1:$I$89,3,0)*0.475*44/12</f>
        <v>1.3327454811094257</v>
      </c>
      <c r="AW127" s="23">
        <f>EXP(-LN(2)/2)*AW126+(1-EXP(-LN(2)/2))/(LN(2)/2)*AQ127*AT127*VLOOKUP('Données projet'!$B$10,Paramètres!$A$1:$I$89,3,0)*0.475*44/12</f>
        <v>4.2944273061527792E-14</v>
      </c>
      <c r="AX127" s="23">
        <f t="shared" si="60"/>
        <v>3.541551126248021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2.6282051282051269</v>
      </c>
      <c r="BD127" s="13">
        <f>IF('Données projet'!$A$88&gt;35,BD126+BC127-BL126,IF(A127&lt;'Données projet'!$A$88,$BA$205^A127,IF(A127='Données projet'!$A$88,'Données projet'!$B$88,BD126+BC127-BL126)))</f>
        <v>323.33333333333275</v>
      </c>
      <c r="BE127" s="14">
        <f>BD127*VLOOKUP('Données projet'!$B$11,Paramètres!$A$1:$I$89,3,0)*VLOOKUP('Données projet'!$B$11,Paramètres!$A$1:$I$89,5,0)</f>
        <v>337.94799999999941</v>
      </c>
      <c r="BF127" s="14">
        <f t="shared" si="91"/>
        <v>79.075840977982864</v>
      </c>
      <c r="BG127" s="22">
        <f t="shared" si="61"/>
        <v>726.31652303665248</v>
      </c>
      <c r="BH127" s="60">
        <f t="shared" si="62"/>
        <v>1019.6498563699859</v>
      </c>
      <c r="BI127" s="60">
        <f ca="1">AVERAGE(OFFSET($BH$3,0,0,'Données projet'!$E$11+1,1))-AVERAGE(OFFSET($H$3,0,0,'Données projet'!$E$11+1,1))</f>
        <v>373.7520752235389</v>
      </c>
      <c r="BJ127" s="60">
        <f t="shared" si="92"/>
        <v>205.19966474305761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-6.2527760746888816E-13</v>
      </c>
      <c r="BZ127" s="14">
        <f>BY127*VLOOKUP('Données projet'!$B$12,Paramètres!$A$1:$I$89,3,0)*VLOOKUP('Données projet'!$B$12,Paramètres!$A$1:$I$89,5,0)</f>
        <v>-2.9262992029543964E-13</v>
      </c>
      <c r="CA127" s="14" t="e">
        <f t="shared" si="93"/>
        <v>#NUM!</v>
      </c>
      <c r="CB127" s="22" t="e">
        <f t="shared" si="64"/>
        <v>#NUM!</v>
      </c>
      <c r="CC127" s="60" t="e">
        <f t="shared" si="65"/>
        <v>#NUM!</v>
      </c>
      <c r="CD127" s="60">
        <f ca="1">AVERAGE(OFFSET($CC$3,0,0,'Données projet'!$E$12+1,1))-AVERAGE(OFFSET($H$3,0,0,'Données projet'!$E$12+1,1))</f>
        <v>141.31558705818316</v>
      </c>
      <c r="CE127" s="60">
        <f t="shared" si="94"/>
        <v>67.142010893211364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3.2</v>
      </c>
      <c r="CT127" s="13">
        <f>IF('Données projet'!$A$140&gt;35,CT126+CS127-DB126,IF(A127&lt;'Données projet'!$A$140,$CQ$205^A127,IF(A127='Données projet'!$A$140,'Données projet'!$B$140,CT126+CS127-DB126)))</f>
        <v>280.79999999999944</v>
      </c>
      <c r="CU127" s="18">
        <f>CT127*VLOOKUP('Données projet'!$B$13,Paramètres!$A$1:$I$89,3,0)*VLOOKUP('Données projet'!$B$13,Paramètres!$A$1:$I$89,5,0)</f>
        <v>245.30687999999955</v>
      </c>
      <c r="CV127" s="14">
        <f t="shared" si="95"/>
        <v>59.579874112906325</v>
      </c>
      <c r="CW127" s="22">
        <f t="shared" si="67"/>
        <v>531.01109674664428</v>
      </c>
      <c r="CX127" s="60">
        <f t="shared" si="68"/>
        <v>824.34443007997766</v>
      </c>
      <c r="CY127" s="60">
        <f ca="1">AVERAGE(OFFSET($CX$3,0,0,'Données projet'!$E$13+1,1))-AVERAGE(OFFSET($H$3,0,0,'Données projet'!$E$13+1,1))</f>
        <v>281.8501448773884</v>
      </c>
      <c r="CZ127" s="60">
        <f t="shared" si="96"/>
        <v>161.7340631691518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3.2</v>
      </c>
      <c r="DO127" s="13">
        <f>IF('Données projet'!$A$166&gt;35,DO126+DN127-DW126,IF(A127&lt;'Données projet'!$A$166,$DL$205^A127,IF(A127='Données projet'!$A$166,'Données projet'!$B$166,DO126+DN127-DW126)))</f>
        <v>280.79999999999944</v>
      </c>
      <c r="DP127" s="18">
        <f>DO127*VLOOKUP('Données projet'!$B$14,Paramètres!$A$1:$I$89,3,0)*VLOOKUP('Données projet'!$B$14,Paramètres!$A$1:$I$89,5,0)</f>
        <v>254.06783999999948</v>
      </c>
      <c r="DQ127" s="14">
        <f t="shared" si="97"/>
        <v>61.456187622750612</v>
      </c>
      <c r="DR127" s="22">
        <f t="shared" si="70"/>
        <v>549.53768144295634</v>
      </c>
      <c r="DS127" s="60">
        <f t="shared" si="71"/>
        <v>842.87101477628971</v>
      </c>
      <c r="DT127" s="60">
        <f ca="1">AVERAGE(OFFSET($DS$3,0,0,'Données projet'!$E$14+1,1))-AVERAGE(OFFSET($H$3,0,0,'Données projet'!$E$14+1,1))</f>
        <v>295.19398489974265</v>
      </c>
      <c r="DU127" s="60">
        <f t="shared" si="98"/>
        <v>168.80998104712489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4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287.97599999999943</v>
      </c>
      <c r="P128" s="14">
        <f t="shared" si="87"/>
        <v>68.649801713863027</v>
      </c>
      <c r="Q128" s="22">
        <f t="shared" si="107"/>
        <v>621.12327131831046</v>
      </c>
      <c r="R128" s="60">
        <f t="shared" si="55"/>
        <v>914.45660465164383</v>
      </c>
      <c r="S128" s="60">
        <f ca="1">AVERAGE(OFFSET($R$3,0,0,'Données projet'!$E$9+1,1))-AVERAGE(OFFSET($H$3,0,0,'Données projet'!$E$9+1,1))</f>
        <v>341.82426415364569</v>
      </c>
      <c r="T128" s="60">
        <f t="shared" si="88"/>
        <v>193.53376539568887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-2.8421709430404007E-13</v>
      </c>
      <c r="AJ128" s="14">
        <f>AI128*VLOOKUP('Données projet'!$B$10,Paramètres!$A$1:$I$89,3,0)*VLOOKUP('Données projet'!$B$10,Paramètres!$A$1:$I$89,5,0)</f>
        <v>-1.69961822393816E-13</v>
      </c>
      <c r="AK128" s="14" t="e">
        <f t="shared" si="89"/>
        <v>#NUM!</v>
      </c>
      <c r="AL128" s="22" t="e">
        <f t="shared" si="58"/>
        <v>#NUM!</v>
      </c>
      <c r="AM128" s="60" t="e">
        <f t="shared" si="59"/>
        <v>#NUM!</v>
      </c>
      <c r="AN128" s="60">
        <f ca="1">AVERAGE(OFFSET($AM$3,0,0,'Données projet'!$E$10+1,1))-AVERAGE(OFFSET($H$3,0,0,'Données projet'!$E$10+1,1))</f>
        <v>189.8516574130017</v>
      </c>
      <c r="AO128" s="60">
        <f t="shared" si="90"/>
        <v>191.91100863555891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2.1654923136758</v>
      </c>
      <c r="AV128" s="23">
        <f>EXP(-LN(2)/25)*AV127+(1-EXP(-LN(2)/25))/(LN(2)/25)*Calculateur!AQ128*Calculateur!AS128*VLOOKUP('Données projet'!$B$10,Paramètres!$A$1:$I$89,3,0)*0.475*44/12</f>
        <v>1.2963014858424495</v>
      </c>
      <c r="AW128" s="23">
        <f>EXP(-LN(2)/2)*AW127+(1-EXP(-LN(2)/2))/(LN(2)/2)*AQ128*AT128*VLOOKUP('Données projet'!$B$10,Paramètres!$A$1:$I$89,3,0)*0.475*44/12</f>
        <v>3.036618669493308E-14</v>
      </c>
      <c r="AX128" s="23">
        <f t="shared" si="60"/>
        <v>3.4617937995182797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2.6282051282051269</v>
      </c>
      <c r="BD128" s="13">
        <f>IF('Données projet'!$A$88&gt;35,BD127+BC128-BL127,IF(A128&lt;'Données projet'!$A$88,$BA$205^A128,IF(A128='Données projet'!$A$88,'Données projet'!$B$88,BD127+BC128-BL127)))</f>
        <v>325.96153846153788</v>
      </c>
      <c r="BE128" s="14">
        <f>BD128*VLOOKUP('Données projet'!$B$11,Paramètres!$A$1:$I$89,3,0)*VLOOKUP('Données projet'!$B$11,Paramètres!$A$1:$I$89,5,0)</f>
        <v>340.69499999999942</v>
      </c>
      <c r="BF128" s="14">
        <f t="shared" si="91"/>
        <v>79.643520752331625</v>
      </c>
      <c r="BG128" s="22">
        <f t="shared" si="61"/>
        <v>732.08959031030997</v>
      </c>
      <c r="BH128" s="60">
        <f t="shared" si="62"/>
        <v>1025.4229236436433</v>
      </c>
      <c r="BI128" s="60">
        <f ca="1">AVERAGE(OFFSET($BH$3,0,0,'Données projet'!$E$11+1,1))-AVERAGE(OFFSET($H$3,0,0,'Données projet'!$E$11+1,1))</f>
        <v>373.7520752235389</v>
      </c>
      <c r="BJ128" s="60">
        <f t="shared" si="92"/>
        <v>205.19966474305761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-6.2527760746888816E-13</v>
      </c>
      <c r="BZ128" s="14">
        <f>BY128*VLOOKUP('Données projet'!$B$12,Paramètres!$A$1:$I$89,3,0)*VLOOKUP('Données projet'!$B$12,Paramètres!$A$1:$I$89,5,0)</f>
        <v>-2.9262992029543964E-13</v>
      </c>
      <c r="CA128" s="14" t="e">
        <f t="shared" si="93"/>
        <v>#NUM!</v>
      </c>
      <c r="CB128" s="22" t="e">
        <f t="shared" si="64"/>
        <v>#NUM!</v>
      </c>
      <c r="CC128" s="60" t="e">
        <f t="shared" si="65"/>
        <v>#NUM!</v>
      </c>
      <c r="CD128" s="60">
        <f ca="1">AVERAGE(OFFSET($CC$3,0,0,'Données projet'!$E$12+1,1))-AVERAGE(OFFSET($H$3,0,0,'Données projet'!$E$12+1,1))</f>
        <v>141.31558705818316</v>
      </c>
      <c r="CE128" s="60">
        <f t="shared" si="94"/>
        <v>67.142010893211364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3.2</v>
      </c>
      <c r="CT128" s="13">
        <f>IF('Données projet'!$A$140&gt;35,CT127+CS128-DB127,IF(A128&lt;'Données projet'!$A$140,$CQ$205^A128,IF(A128='Données projet'!$A$140,'Données projet'!$B$140,CT127+CS128-DB127)))</f>
        <v>283.99999999999943</v>
      </c>
      <c r="CU128" s="18">
        <f>CT128*VLOOKUP('Données projet'!$B$13,Paramètres!$A$1:$I$89,3,0)*VLOOKUP('Données projet'!$B$13,Paramètres!$A$1:$I$89,5,0)</f>
        <v>248.10239999999956</v>
      </c>
      <c r="CV128" s="14">
        <f t="shared" si="95"/>
        <v>60.179418356999818</v>
      </c>
      <c r="CW128" s="22">
        <f t="shared" si="67"/>
        <v>536.92416697177384</v>
      </c>
      <c r="CX128" s="60">
        <f t="shared" si="68"/>
        <v>830.25750030510721</v>
      </c>
      <c r="CY128" s="60">
        <f ca="1">AVERAGE(OFFSET($CX$3,0,0,'Données projet'!$E$13+1,1))-AVERAGE(OFFSET($H$3,0,0,'Données projet'!$E$13+1,1))</f>
        <v>281.8501448773884</v>
      </c>
      <c r="CZ128" s="60">
        <f t="shared" si="96"/>
        <v>161.7340631691518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3.2</v>
      </c>
      <c r="DO128" s="13">
        <f>IF('Données projet'!$A$166&gt;35,DO127+DN128-DW127,IF(A128&lt;'Données projet'!$A$166,$DL$205^A128,IF(A128='Données projet'!$A$166,'Données projet'!$B$166,DO127+DN128-DW127)))</f>
        <v>283.99999999999943</v>
      </c>
      <c r="DP128" s="18">
        <f>DO128*VLOOKUP('Données projet'!$B$14,Paramètres!$A$1:$I$89,3,0)*VLOOKUP('Données projet'!$B$14,Paramètres!$A$1:$I$89,5,0)</f>
        <v>256.96319999999946</v>
      </c>
      <c r="DQ128" s="14">
        <f t="shared" si="97"/>
        <v>62.07461295683791</v>
      </c>
      <c r="DR128" s="22">
        <f t="shared" si="70"/>
        <v>555.65752423315837</v>
      </c>
      <c r="DS128" s="60">
        <f t="shared" si="71"/>
        <v>848.99085756649174</v>
      </c>
      <c r="DT128" s="60">
        <f ca="1">AVERAGE(OFFSET($DS$3,0,0,'Données projet'!$E$14+1,1))-AVERAGE(OFFSET($H$3,0,0,'Données projet'!$E$14+1,1))</f>
        <v>295.19398489974265</v>
      </c>
      <c r="DU128" s="60">
        <f t="shared" si="98"/>
        <v>168.80998104712489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4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291.22079999999943</v>
      </c>
      <c r="P129" s="14">
        <f t="shared" si="87"/>
        <v>69.33283666585649</v>
      </c>
      <c r="Q129" s="22">
        <f t="shared" si="107"/>
        <v>627.96425052636573</v>
      </c>
      <c r="R129" s="60">
        <f t="shared" si="55"/>
        <v>921.29758385969899</v>
      </c>
      <c r="S129" s="60">
        <f ca="1">AVERAGE(OFFSET($R$3,0,0,'Données projet'!$E$9+1,1))-AVERAGE(OFFSET($H$3,0,0,'Données projet'!$E$9+1,1))</f>
        <v>341.82426415364569</v>
      </c>
      <c r="T129" s="60">
        <f t="shared" si="88"/>
        <v>193.53376539568887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-2.8421709430404007E-13</v>
      </c>
      <c r="AJ129" s="14">
        <f>AI129*VLOOKUP('Données projet'!$B$10,Paramètres!$A$1:$I$89,3,0)*VLOOKUP('Données projet'!$B$10,Paramètres!$A$1:$I$89,5,0)</f>
        <v>-1.69961822393816E-13</v>
      </c>
      <c r="AK129" s="14" t="e">
        <f t="shared" si="89"/>
        <v>#NUM!</v>
      </c>
      <c r="AL129" s="22" t="e">
        <f t="shared" si="58"/>
        <v>#NUM!</v>
      </c>
      <c r="AM129" s="60" t="e">
        <f t="shared" si="59"/>
        <v>#NUM!</v>
      </c>
      <c r="AN129" s="60">
        <f ca="1">AVERAGE(OFFSET($AM$3,0,0,'Données projet'!$E$10+1,1))-AVERAGE(OFFSET($H$3,0,0,'Données projet'!$E$10+1,1))</f>
        <v>189.8516574130017</v>
      </c>
      <c r="AO129" s="60">
        <f t="shared" si="90"/>
        <v>191.91100863555891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2.1230283302245088</v>
      </c>
      <c r="AV129" s="23">
        <f>EXP(-LN(2)/25)*AV128+(1-EXP(-LN(2)/25))/(LN(2)/25)*Calculateur!AQ129*Calculateur!AS129*VLOOKUP('Données projet'!$B$10,Paramètres!$A$1:$I$89,3,0)*0.475*44/12</f>
        <v>1.2608540535425554</v>
      </c>
      <c r="AW129" s="23">
        <f>EXP(-LN(2)/2)*AW128+(1-EXP(-LN(2)/2))/(LN(2)/2)*AQ129*AT129*VLOOKUP('Données projet'!$B$10,Paramètres!$A$1:$I$89,3,0)*0.475*44/12</f>
        <v>2.1472136530763896E-14</v>
      </c>
      <c r="AX129" s="23">
        <f t="shared" si="60"/>
        <v>3.3838823837670855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2.6282051282051269</v>
      </c>
      <c r="BD129" s="13">
        <f>IF('Données projet'!$A$88&gt;35,BD128+BC129-BL128,IF(A129&lt;'Données projet'!$A$88,$BA$205^A129,IF(A129='Données projet'!$A$88,'Données projet'!$B$88,BD128+BC129-BL128)))</f>
        <v>328.58974358974302</v>
      </c>
      <c r="BE129" s="14">
        <f>BD129*VLOOKUP('Données projet'!$B$11,Paramètres!$A$1:$I$89,3,0)*VLOOKUP('Données projet'!$B$11,Paramètres!$A$1:$I$89,5,0)</f>
        <v>343.44199999999944</v>
      </c>
      <c r="BF129" s="14">
        <f t="shared" si="91"/>
        <v>80.210667988811437</v>
      </c>
      <c r="BG129" s="22">
        <f t="shared" si="61"/>
        <v>737.86173008051219</v>
      </c>
      <c r="BH129" s="60">
        <f t="shared" si="62"/>
        <v>1031.1950634138454</v>
      </c>
      <c r="BI129" s="60">
        <f ca="1">AVERAGE(OFFSET($BH$3,0,0,'Données projet'!$E$11+1,1))-AVERAGE(OFFSET($H$3,0,0,'Données projet'!$E$11+1,1))</f>
        <v>373.7520752235389</v>
      </c>
      <c r="BJ129" s="60">
        <f t="shared" si="92"/>
        <v>205.19966474305761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-6.2527760746888816E-13</v>
      </c>
      <c r="BZ129" s="14">
        <f>BY129*VLOOKUP('Données projet'!$B$12,Paramètres!$A$1:$I$89,3,0)*VLOOKUP('Données projet'!$B$12,Paramètres!$A$1:$I$89,5,0)</f>
        <v>-2.9262992029543964E-13</v>
      </c>
      <c r="CA129" s="14" t="e">
        <f t="shared" si="93"/>
        <v>#NUM!</v>
      </c>
      <c r="CB129" s="22" t="e">
        <f t="shared" si="64"/>
        <v>#NUM!</v>
      </c>
      <c r="CC129" s="60" t="e">
        <f t="shared" si="65"/>
        <v>#NUM!</v>
      </c>
      <c r="CD129" s="60">
        <f ca="1">AVERAGE(OFFSET($CC$3,0,0,'Données projet'!$E$12+1,1))-AVERAGE(OFFSET($H$3,0,0,'Données projet'!$E$12+1,1))</f>
        <v>141.31558705818316</v>
      </c>
      <c r="CE129" s="60">
        <f t="shared" si="94"/>
        <v>67.142010893211364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3.2</v>
      </c>
      <c r="CT129" s="13">
        <f>IF('Données projet'!$A$140&gt;35,CT128+CS129-DB128,IF(A129&lt;'Données projet'!$A$140,$CQ$205^A129,IF(A129='Données projet'!$A$140,'Données projet'!$B$140,CT128+CS129-DB128)))</f>
        <v>287.19999999999942</v>
      </c>
      <c r="CU129" s="18">
        <f>CT129*VLOOKUP('Données projet'!$B$13,Paramètres!$A$1:$I$89,3,0)*VLOOKUP('Données projet'!$B$13,Paramètres!$A$1:$I$89,5,0)</f>
        <v>250.89791999999952</v>
      </c>
      <c r="CV129" s="14">
        <f t="shared" si="95"/>
        <v>60.778176767108484</v>
      </c>
      <c r="CW129" s="22">
        <f t="shared" si="67"/>
        <v>542.83586853604641</v>
      </c>
      <c r="CX129" s="60">
        <f t="shared" si="68"/>
        <v>836.16920186937978</v>
      </c>
      <c r="CY129" s="60">
        <f ca="1">AVERAGE(OFFSET($CX$3,0,0,'Données projet'!$E$13+1,1))-AVERAGE(OFFSET($H$3,0,0,'Données projet'!$E$13+1,1))</f>
        <v>281.8501448773884</v>
      </c>
      <c r="CZ129" s="60">
        <f t="shared" si="96"/>
        <v>161.7340631691518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3.2</v>
      </c>
      <c r="DO129" s="13">
        <f>IF('Données projet'!$A$166&gt;35,DO128+DN129-DW128,IF(A129&lt;'Données projet'!$A$166,$DL$205^A129,IF(A129='Données projet'!$A$166,'Données projet'!$B$166,DO128+DN129-DW128)))</f>
        <v>287.19999999999942</v>
      </c>
      <c r="DP129" s="18">
        <f>DO129*VLOOKUP('Données projet'!$B$14,Paramètres!$A$1:$I$89,3,0)*VLOOKUP('Données projet'!$B$14,Paramètres!$A$1:$I$89,5,0)</f>
        <v>259.85855999999944</v>
      </c>
      <c r="DQ129" s="14">
        <f t="shared" si="97"/>
        <v>62.692227709138365</v>
      </c>
      <c r="DR129" s="22">
        <f t="shared" si="70"/>
        <v>561.77595526008167</v>
      </c>
      <c r="DS129" s="60">
        <f t="shared" si="71"/>
        <v>855.10928859341493</v>
      </c>
      <c r="DT129" s="60">
        <f ca="1">AVERAGE(OFFSET($DS$3,0,0,'Données projet'!$E$14+1,1))-AVERAGE(OFFSET($H$3,0,0,'Données projet'!$E$14+1,1))</f>
        <v>295.19398489974265</v>
      </c>
      <c r="DU129" s="60">
        <f t="shared" si="98"/>
        <v>168.80998104712489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4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294.46559999999943</v>
      </c>
      <c r="P130" s="14">
        <f t="shared" si="87"/>
        <v>70.0149863201041</v>
      </c>
      <c r="Q130" s="22">
        <f t="shared" si="107"/>
        <v>634.80368784084692</v>
      </c>
      <c r="R130" s="60">
        <f t="shared" si="55"/>
        <v>928.13702117418029</v>
      </c>
      <c r="S130" s="60">
        <f ca="1">AVERAGE(OFFSET($R$3,0,0,'Données projet'!$E$9+1,1))-AVERAGE(OFFSET($H$3,0,0,'Données projet'!$E$9+1,1))</f>
        <v>341.82426415364569</v>
      </c>
      <c r="T130" s="60">
        <f t="shared" si="88"/>
        <v>193.53376539568887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-2.8421709430404007E-13</v>
      </c>
      <c r="AJ130" s="14">
        <f>AI130*VLOOKUP('Données projet'!$B$10,Paramètres!$A$1:$I$89,3,0)*VLOOKUP('Données projet'!$B$10,Paramètres!$A$1:$I$89,5,0)</f>
        <v>-1.69961822393816E-13</v>
      </c>
      <c r="AK130" s="14" t="e">
        <f t="shared" si="89"/>
        <v>#NUM!</v>
      </c>
      <c r="AL130" s="22" t="e">
        <f t="shared" si="58"/>
        <v>#NUM!</v>
      </c>
      <c r="AM130" s="60" t="e">
        <f t="shared" si="59"/>
        <v>#NUM!</v>
      </c>
      <c r="AN130" s="60">
        <f ca="1">AVERAGE(OFFSET($AM$3,0,0,'Données projet'!$E$10+1,1))-AVERAGE(OFFSET($H$3,0,0,'Données projet'!$E$10+1,1))</f>
        <v>189.8516574130017</v>
      </c>
      <c r="AO130" s="60">
        <f t="shared" si="90"/>
        <v>191.91100863555891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2.0813970395882251</v>
      </c>
      <c r="AV130" s="23">
        <f>EXP(-LN(2)/25)*AV129+(1-EXP(-LN(2)/25))/(LN(2)/25)*Calculateur!AQ130*Calculateur!AS130*VLOOKUP('Données projet'!$B$10,Paramètres!$A$1:$I$89,3,0)*0.475*44/12</f>
        <v>1.2263759331430013</v>
      </c>
      <c r="AW130" s="23">
        <f>EXP(-LN(2)/2)*AW129+(1-EXP(-LN(2)/2))/(LN(2)/2)*AQ130*AT130*VLOOKUP('Données projet'!$B$10,Paramètres!$A$1:$I$89,3,0)*0.475*44/12</f>
        <v>1.518309334746654E-14</v>
      </c>
      <c r="AX130" s="23">
        <f t="shared" si="60"/>
        <v>3.3077729727312413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2.6282051282051269</v>
      </c>
      <c r="BD130" s="13">
        <f>IF('Données projet'!$A$88&gt;35,BD129+BC130-BL129,IF(A130&lt;'Données projet'!$A$88,$BA$205^A130,IF(A130='Données projet'!$A$88,'Données projet'!$B$88,BD129+BC130-BL129)))</f>
        <v>331.21794871794816</v>
      </c>
      <c r="BE130" s="14">
        <f>BD130*VLOOKUP('Données projet'!$B$11,Paramètres!$A$1:$I$89,3,0)*VLOOKUP('Données projet'!$B$11,Paramètres!$A$1:$I$89,5,0)</f>
        <v>346.18899999999945</v>
      </c>
      <c r="BF130" s="14">
        <f t="shared" si="91"/>
        <v>80.77728744058544</v>
      </c>
      <c r="BG130" s="22">
        <f t="shared" si="61"/>
        <v>743.63295062568523</v>
      </c>
      <c r="BH130" s="60">
        <f t="shared" si="62"/>
        <v>1036.9662839590185</v>
      </c>
      <c r="BI130" s="60">
        <f ca="1">AVERAGE(OFFSET($BH$3,0,0,'Données projet'!$E$11+1,1))-AVERAGE(OFFSET($H$3,0,0,'Données projet'!$E$11+1,1))</f>
        <v>373.7520752235389</v>
      </c>
      <c r="BJ130" s="60">
        <f t="shared" si="92"/>
        <v>205.19966474305761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-6.2527760746888816E-13</v>
      </c>
      <c r="BZ130" s="14">
        <f>BY130*VLOOKUP('Données projet'!$B$12,Paramètres!$A$1:$I$89,3,0)*VLOOKUP('Données projet'!$B$12,Paramètres!$A$1:$I$89,5,0)</f>
        <v>-2.9262992029543964E-13</v>
      </c>
      <c r="CA130" s="14" t="e">
        <f t="shared" si="93"/>
        <v>#NUM!</v>
      </c>
      <c r="CB130" s="22" t="e">
        <f t="shared" si="64"/>
        <v>#NUM!</v>
      </c>
      <c r="CC130" s="60" t="e">
        <f t="shared" si="65"/>
        <v>#NUM!</v>
      </c>
      <c r="CD130" s="60">
        <f ca="1">AVERAGE(OFFSET($CC$3,0,0,'Données projet'!$E$12+1,1))-AVERAGE(OFFSET($H$3,0,0,'Données projet'!$E$12+1,1))</f>
        <v>141.31558705818316</v>
      </c>
      <c r="CE130" s="60">
        <f t="shared" si="94"/>
        <v>67.142010893211364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3.2</v>
      </c>
      <c r="CT130" s="13">
        <f>IF('Données projet'!$A$140&gt;35,CT129+CS130-DB129,IF(A130&lt;'Données projet'!$A$140,$CQ$205^A130,IF(A130='Données projet'!$A$140,'Données projet'!$B$140,CT129+CS130-DB129)))</f>
        <v>290.39999999999941</v>
      </c>
      <c r="CU130" s="18">
        <f>CT130*VLOOKUP('Données projet'!$B$13,Paramètres!$A$1:$I$89,3,0)*VLOOKUP('Données projet'!$B$13,Paramètres!$A$1:$I$89,5,0)</f>
        <v>253.69343999999953</v>
      </c>
      <c r="CV130" s="14">
        <f t="shared" si="95"/>
        <v>61.376159112289301</v>
      </c>
      <c r="CW130" s="22">
        <f t="shared" si="67"/>
        <v>548.746218453903</v>
      </c>
      <c r="CX130" s="60">
        <f t="shared" si="68"/>
        <v>842.07955178723637</v>
      </c>
      <c r="CY130" s="60">
        <f ca="1">AVERAGE(OFFSET($CX$3,0,0,'Données projet'!$E$13+1,1))-AVERAGE(OFFSET($H$3,0,0,'Données projet'!$E$13+1,1))</f>
        <v>281.8501448773884</v>
      </c>
      <c r="CZ130" s="60">
        <f t="shared" si="96"/>
        <v>161.7340631691518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3.2</v>
      </c>
      <c r="DO130" s="13">
        <f>IF('Données projet'!$A$166&gt;35,DO129+DN130-DW129,IF(A130&lt;'Données projet'!$A$166,$DL$205^A130,IF(A130='Données projet'!$A$166,'Données projet'!$B$166,DO129+DN130-DW129)))</f>
        <v>290.39999999999941</v>
      </c>
      <c r="DP130" s="18">
        <f>DO130*VLOOKUP('Données projet'!$B$14,Paramètres!$A$1:$I$89,3,0)*VLOOKUP('Données projet'!$B$14,Paramètres!$A$1:$I$89,5,0)</f>
        <v>262.75391999999948</v>
      </c>
      <c r="DQ130" s="14">
        <f t="shared" si="97"/>
        <v>63.309041956360211</v>
      </c>
      <c r="DR130" s="22">
        <f t="shared" si="70"/>
        <v>567.89299207399313</v>
      </c>
      <c r="DS130" s="60">
        <f t="shared" si="71"/>
        <v>861.22632540732639</v>
      </c>
      <c r="DT130" s="60">
        <f ca="1">AVERAGE(OFFSET($DS$3,0,0,'Données projet'!$E$14+1,1))-AVERAGE(OFFSET($H$3,0,0,'Données projet'!$E$14+1,1))</f>
        <v>295.19398489974265</v>
      </c>
      <c r="DU130" s="60">
        <f t="shared" si="98"/>
        <v>168.80998104712489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4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297.71039999999937</v>
      </c>
      <c r="P131" s="14">
        <f t="shared" si="87"/>
        <v>70.696261560936534</v>
      </c>
      <c r="Q131" s="22">
        <f t="shared" ref="Q131:Q153" si="108">(O131+P131)*0.475*44/12</f>
        <v>641.64160221862994</v>
      </c>
      <c r="R131" s="60">
        <f t="shared" ref="R131:R194" si="109">Q131+(I131+J131)*44/12</f>
        <v>934.9749355519632</v>
      </c>
      <c r="S131" s="60">
        <f ca="1">AVERAGE(OFFSET($R$3,0,0,'Données projet'!$E$9+1,1))-AVERAGE(OFFSET($H$3,0,0,'Données projet'!$E$9+1,1))</f>
        <v>341.82426415364569</v>
      </c>
      <c r="T131" s="60">
        <f t="shared" si="88"/>
        <v>193.53376539568887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-2.8421709430404007E-13</v>
      </c>
      <c r="AJ131" s="14">
        <f>AI131*VLOOKUP('Données projet'!$B$10,Paramètres!$A$1:$I$89,3,0)*VLOOKUP('Données projet'!$B$10,Paramètres!$A$1:$I$89,5,0)</f>
        <v>-1.69961822393816E-13</v>
      </c>
      <c r="AK131" s="14" t="e">
        <f t="shared" si="89"/>
        <v>#NUM!</v>
      </c>
      <c r="AL131" s="22" t="e">
        <f t="shared" si="58"/>
        <v>#NUM!</v>
      </c>
      <c r="AM131" s="60" t="e">
        <f t="shared" si="59"/>
        <v>#NUM!</v>
      </c>
      <c r="AN131" s="60">
        <f ca="1">AVERAGE(OFFSET($AM$3,0,0,'Données projet'!$E$10+1,1))-AVERAGE(OFFSET($H$3,0,0,'Données projet'!$E$10+1,1))</f>
        <v>189.8516574130017</v>
      </c>
      <c r="AO131" s="60">
        <f t="shared" si="90"/>
        <v>191.91100863555891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2.0405821131687389</v>
      </c>
      <c r="AV131" s="23">
        <f>EXP(-LN(2)/25)*AV130+(1-EXP(-LN(2)/25))/(LN(2)/25)*Calculateur!AQ131*Calculateur!AS131*VLOOKUP('Données projet'!$B$10,Paramètres!$A$1:$I$89,3,0)*0.475*44/12</f>
        <v>1.1928406187588985</v>
      </c>
      <c r="AW131" s="23">
        <f>EXP(-LN(2)/2)*AW130+(1-EXP(-LN(2)/2))/(LN(2)/2)*AQ131*AT131*VLOOKUP('Données projet'!$B$10,Paramètres!$A$1:$I$89,3,0)*0.475*44/12</f>
        <v>1.0736068265381948E-14</v>
      </c>
      <c r="AX131" s="23">
        <f t="shared" si="60"/>
        <v>3.2334227319276483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2.6282051282051269</v>
      </c>
      <c r="BD131" s="13">
        <f>IF('Données projet'!$A$88&gt;35,BD130+BC131-BL130,IF(A131&lt;'Données projet'!$A$88,$BA$205^A131,IF(A131='Données projet'!$A$88,'Données projet'!$B$88,BD130+BC131-BL130)))</f>
        <v>333.8461538461533</v>
      </c>
      <c r="BE131" s="14">
        <f>BD131*VLOOKUP('Données projet'!$B$11,Paramètres!$A$1:$I$89,3,0)*VLOOKUP('Données projet'!$B$11,Paramètres!$A$1:$I$89,5,0)</f>
        <v>348.93599999999947</v>
      </c>
      <c r="BF131" s="14">
        <f t="shared" si="91"/>
        <v>81.343383781028564</v>
      </c>
      <c r="BG131" s="22">
        <f t="shared" si="61"/>
        <v>749.40326008529053</v>
      </c>
      <c r="BH131" s="60">
        <f t="shared" si="62"/>
        <v>1042.7365934186239</v>
      </c>
      <c r="BI131" s="60">
        <f ca="1">AVERAGE(OFFSET($BH$3,0,0,'Données projet'!$E$11+1,1))-AVERAGE(OFFSET($H$3,0,0,'Données projet'!$E$11+1,1))</f>
        <v>373.7520752235389</v>
      </c>
      <c r="BJ131" s="60">
        <f t="shared" si="92"/>
        <v>205.19966474305761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-6.2527760746888816E-13</v>
      </c>
      <c r="BZ131" s="14">
        <f>BY131*VLOOKUP('Données projet'!$B$12,Paramètres!$A$1:$I$89,3,0)*VLOOKUP('Données projet'!$B$12,Paramètres!$A$1:$I$89,5,0)</f>
        <v>-2.9262992029543964E-13</v>
      </c>
      <c r="CA131" s="14" t="e">
        <f t="shared" si="93"/>
        <v>#NUM!</v>
      </c>
      <c r="CB131" s="22" t="e">
        <f t="shared" si="64"/>
        <v>#NUM!</v>
      </c>
      <c r="CC131" s="60" t="e">
        <f t="shared" si="65"/>
        <v>#NUM!</v>
      </c>
      <c r="CD131" s="60">
        <f ca="1">AVERAGE(OFFSET($CC$3,0,0,'Données projet'!$E$12+1,1))-AVERAGE(OFFSET($H$3,0,0,'Données projet'!$E$12+1,1))</f>
        <v>141.31558705818316</v>
      </c>
      <c r="CE131" s="60">
        <f t="shared" si="94"/>
        <v>67.142010893211364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3.2</v>
      </c>
      <c r="CT131" s="13">
        <f>IF('Données projet'!$A$140&gt;35,CT130+CS131-DB130,IF(A131&lt;'Données projet'!$A$140,$CQ$205^A131,IF(A131='Données projet'!$A$140,'Données projet'!$B$140,CT130+CS131-DB130)))</f>
        <v>293.5999999999994</v>
      </c>
      <c r="CU131" s="18">
        <f>CT131*VLOOKUP('Données projet'!$B$13,Paramètres!$A$1:$I$89,3,0)*VLOOKUP('Données projet'!$B$13,Paramètres!$A$1:$I$89,5,0)</f>
        <v>256.48895999999951</v>
      </c>
      <c r="CV131" s="14">
        <f t="shared" si="95"/>
        <v>61.973374933905312</v>
      </c>
      <c r="CW131" s="22">
        <f t="shared" si="67"/>
        <v>554.65523334321745</v>
      </c>
      <c r="CX131" s="60">
        <f t="shared" si="68"/>
        <v>847.98856667655082</v>
      </c>
      <c r="CY131" s="60">
        <f ca="1">AVERAGE(OFFSET($CX$3,0,0,'Données projet'!$E$13+1,1))-AVERAGE(OFFSET($H$3,0,0,'Données projet'!$E$13+1,1))</f>
        <v>281.8501448773884</v>
      </c>
      <c r="CZ131" s="60">
        <f t="shared" si="96"/>
        <v>161.7340631691518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3.2</v>
      </c>
      <c r="DO131" s="13">
        <f>IF('Données projet'!$A$166&gt;35,DO130+DN131-DW130,IF(A131&lt;'Données projet'!$A$166,$DL$205^A131,IF(A131='Données projet'!$A$166,'Données projet'!$B$166,DO130+DN131-DW130)))</f>
        <v>293.5999999999994</v>
      </c>
      <c r="DP131" s="18">
        <f>DO131*VLOOKUP('Données projet'!$B$14,Paramètres!$A$1:$I$89,3,0)*VLOOKUP('Données projet'!$B$14,Paramètres!$A$1:$I$89,5,0)</f>
        <v>265.64927999999946</v>
      </c>
      <c r="DQ131" s="14">
        <f t="shared" si="97"/>
        <v>63.925065540346907</v>
      </c>
      <c r="DR131" s="22">
        <f t="shared" si="70"/>
        <v>574.00865181610322</v>
      </c>
      <c r="DS131" s="60">
        <f t="shared" si="71"/>
        <v>867.3419851494366</v>
      </c>
      <c r="DT131" s="60">
        <f ca="1">AVERAGE(OFFSET($DS$3,0,0,'Données projet'!$E$14+1,1))-AVERAGE(OFFSET($H$3,0,0,'Données projet'!$E$14+1,1))</f>
        <v>295.19398489974265</v>
      </c>
      <c r="DU131" s="60">
        <f t="shared" si="98"/>
        <v>168.80998104712489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4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300.95519999999942</v>
      </c>
      <c r="P132" s="14">
        <f t="shared" si="87"/>
        <v>71.376673021759657</v>
      </c>
      <c r="Q132" s="22">
        <f t="shared" si="108"/>
        <v>648.47801217956373</v>
      </c>
      <c r="R132" s="60">
        <f t="shared" si="109"/>
        <v>941.81134551289711</v>
      </c>
      <c r="S132" s="60">
        <f ca="1">AVERAGE(OFFSET($R$3,0,0,'Données projet'!$E$9+1,1))-AVERAGE(OFFSET($H$3,0,0,'Données projet'!$E$9+1,1))</f>
        <v>341.82426415364569</v>
      </c>
      <c r="T132" s="60">
        <f t="shared" si="88"/>
        <v>193.53376539568887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-2.8421709430404007E-13</v>
      </c>
      <c r="AJ132" s="14">
        <f>AI132*VLOOKUP('Données projet'!$B$10,Paramètres!$A$1:$I$89,3,0)*VLOOKUP('Données projet'!$B$10,Paramètres!$A$1:$I$89,5,0)</f>
        <v>-1.69961822393816E-13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0" t="e">
        <f t="shared" ref="AM132:AM195" si="113">AL132+(AD132+AE132)*44/12</f>
        <v>#NUM!</v>
      </c>
      <c r="AN132" s="60">
        <f ca="1">AVERAGE(OFFSET($AM$3,0,0,'Données projet'!$E$10+1,1))-AVERAGE(OFFSET($H$3,0,0,'Données projet'!$E$10+1,1))</f>
        <v>189.8516574130017</v>
      </c>
      <c r="AO132" s="60">
        <f t="shared" si="90"/>
        <v>191.91100863555891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2.0005675425616918</v>
      </c>
      <c r="AV132" s="23">
        <f>EXP(-LN(2)/25)*AV131+(1-EXP(-LN(2)/25))/(LN(2)/25)*Calculateur!AQ132*Calculateur!AS132*VLOOKUP('Données projet'!$B$10,Paramètres!$A$1:$I$89,3,0)*0.475*44/12</f>
        <v>1.1602223293101745</v>
      </c>
      <c r="AW132" s="23">
        <f>EXP(-LN(2)/2)*AW131+(1-EXP(-LN(2)/2))/(LN(2)/2)*AQ132*AT132*VLOOKUP('Données projet'!$B$10,Paramètres!$A$1:$I$89,3,0)*0.475*44/12</f>
        <v>7.5915466737332699E-15</v>
      </c>
      <c r="AX132" s="23">
        <f t="shared" ref="AX132:AX153" si="114">SUM(AU132:AW132)</f>
        <v>3.1607898718718741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2.6282051282051269</v>
      </c>
      <c r="BD132" s="13">
        <f>IF('Données projet'!$A$88&gt;35,BD131+BC132-BL131,IF(A132&lt;'Données projet'!$A$88,$BA$205^A132,IF(A132='Données projet'!$A$88,'Données projet'!$B$88,BD131+BC132-BL131)))</f>
        <v>336.47435897435844</v>
      </c>
      <c r="BE132" s="14">
        <f>BD132*VLOOKUP('Données projet'!$B$11,Paramètres!$A$1:$I$89,3,0)*VLOOKUP('Données projet'!$B$11,Paramètres!$A$1:$I$89,5,0)</f>
        <v>351.68299999999948</v>
      </c>
      <c r="BF132" s="14">
        <f t="shared" si="91"/>
        <v>81.908961605684084</v>
      </c>
      <c r="BG132" s="22">
        <f t="shared" ref="BG132:BG153" si="115">(BE132+BF132)*0.475*44/12</f>
        <v>755.17266646323208</v>
      </c>
      <c r="BH132" s="60">
        <f t="shared" ref="BH132:BH195" si="116">BG132+(AY132+AZ132)*44/12</f>
        <v>1048.5059997965654</v>
      </c>
      <c r="BI132" s="60">
        <f ca="1">AVERAGE(OFFSET($BH$3,0,0,'Données projet'!$E$11+1,1))-AVERAGE(OFFSET($H$3,0,0,'Données projet'!$E$11+1,1))</f>
        <v>373.7520752235389</v>
      </c>
      <c r="BJ132" s="60">
        <f t="shared" si="92"/>
        <v>205.19966474305761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-6.2527760746888816E-13</v>
      </c>
      <c r="BZ132" s="14">
        <f>BY132*VLOOKUP('Données projet'!$B$12,Paramètres!$A$1:$I$89,3,0)*VLOOKUP('Données projet'!$B$12,Paramètres!$A$1:$I$89,5,0)</f>
        <v>-2.9262992029543964E-13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0" t="e">
        <f t="shared" ref="CC132:CC195" si="119">CB132+(BT132+BU132)*44/12</f>
        <v>#NUM!</v>
      </c>
      <c r="CD132" s="60">
        <f ca="1">AVERAGE(OFFSET($CC$3,0,0,'Données projet'!$E$12+1,1))-AVERAGE(OFFSET($H$3,0,0,'Données projet'!$E$12+1,1))</f>
        <v>141.31558705818316</v>
      </c>
      <c r="CE132" s="60">
        <f t="shared" si="94"/>
        <v>67.142010893211364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3.2</v>
      </c>
      <c r="CT132" s="13">
        <f>IF('Données projet'!$A$140&gt;35,CT131+CS132-DB131,IF(A132&lt;'Données projet'!$A$140,$CQ$205^A132,IF(A132='Données projet'!$A$140,'Données projet'!$B$140,CT131+CS132-DB131)))</f>
        <v>296.79999999999939</v>
      </c>
      <c r="CU132" s="18">
        <f>CT132*VLOOKUP('Données projet'!$B$13,Paramètres!$A$1:$I$89,3,0)*VLOOKUP('Données projet'!$B$13,Paramètres!$A$1:$I$89,5,0)</f>
        <v>259.28447999999952</v>
      </c>
      <c r="CV132" s="14">
        <f t="shared" si="95"/>
        <v>62.569833553355338</v>
      </c>
      <c r="CW132" s="22">
        <f t="shared" ref="CW132:CW153" si="121">(CU132+CV132)*0.475*44/12</f>
        <v>560.56292943875974</v>
      </c>
      <c r="CX132" s="60">
        <f t="shared" ref="CX132:CX195" si="122">CW132+(CO132+CP132)*44/12</f>
        <v>853.896262772093</v>
      </c>
      <c r="CY132" s="60">
        <f ca="1">AVERAGE(OFFSET($CX$3,0,0,'Données projet'!$E$13+1,1))-AVERAGE(OFFSET($H$3,0,0,'Données projet'!$E$13+1,1))</f>
        <v>281.8501448773884</v>
      </c>
      <c r="CZ132" s="60">
        <f t="shared" si="96"/>
        <v>161.7340631691518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3.2</v>
      </c>
      <c r="DO132" s="13">
        <f>IF('Données projet'!$A$166&gt;35,DO131+DN132-DW131,IF(A132&lt;'Données projet'!$A$166,$DL$205^A132,IF(A132='Données projet'!$A$166,'Données projet'!$B$166,DO131+DN132-DW131)))</f>
        <v>296.79999999999939</v>
      </c>
      <c r="DP132" s="18">
        <f>DO132*VLOOKUP('Données projet'!$B$14,Paramètres!$A$1:$I$89,3,0)*VLOOKUP('Données projet'!$B$14,Paramètres!$A$1:$I$89,5,0)</f>
        <v>268.54463999999945</v>
      </c>
      <c r="DQ132" s="14">
        <f t="shared" si="97"/>
        <v>64.540308076050593</v>
      </c>
      <c r="DR132" s="22">
        <f t="shared" ref="DR132:DR153" si="124">(DP132+DQ132)*0.475*44/12</f>
        <v>580.12295123245383</v>
      </c>
      <c r="DS132" s="60">
        <f t="shared" ref="DS132:DS195" si="125">DR132+(DJ132+DK132)*44/12</f>
        <v>873.4562845657872</v>
      </c>
      <c r="DT132" s="60">
        <f ca="1">AVERAGE(OFFSET($DS$3,0,0,'Données projet'!$E$14+1,1))-AVERAGE(OFFSET($H$3,0,0,'Données projet'!$E$14+1,1))</f>
        <v>295.19398489974265</v>
      </c>
      <c r="DU132" s="60">
        <f t="shared" si="98"/>
        <v>168.80998104712489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4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304.19999999999936</v>
      </c>
      <c r="P133" s="14">
        <f t="shared" ref="P133:P196" si="141">EXP(-1.0587+0.8836*LN(O133)+0.284)</f>
        <v>72.056231093480946</v>
      </c>
      <c r="Q133" s="22">
        <f t="shared" si="108"/>
        <v>655.31293582114483</v>
      </c>
      <c r="R133" s="60">
        <f t="shared" si="109"/>
        <v>948.6462691544782</v>
      </c>
      <c r="S133" s="60">
        <f ca="1">AVERAGE(OFFSET($R$3,0,0,'Données projet'!$E$9+1,1))-AVERAGE(OFFSET($H$3,0,0,'Données projet'!$E$9+1,1))</f>
        <v>341.82426415364569</v>
      </c>
      <c r="T133" s="60">
        <f t="shared" ref="T133:T196" si="142">$T$3</f>
        <v>193.53376539568887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-2.8421709430404007E-13</v>
      </c>
      <c r="AJ133" s="14">
        <f>AI133*VLOOKUP('Données projet'!$B$10,Paramètres!$A$1:$I$89,3,0)*VLOOKUP('Données projet'!$B$10,Paramètres!$A$1:$I$89,5,0)</f>
        <v>-1.69961822393816E-13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0" t="e">
        <f t="shared" si="113"/>
        <v>#NUM!</v>
      </c>
      <c r="AN133" s="60">
        <f ca="1">AVERAGE(OFFSET($AM$3,0,0,'Données projet'!$E$10+1,1))-AVERAGE(OFFSET($H$3,0,0,'Données projet'!$E$10+1,1))</f>
        <v>189.8516574130017</v>
      </c>
      <c r="AO133" s="60">
        <f t="shared" ref="AO133:AO196" si="144">$AO$3</f>
        <v>191.91100863555891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1.9613376332777708</v>
      </c>
      <c r="AV133" s="23">
        <f>EXP(-LN(2)/25)*AV132+(1-EXP(-LN(2)/25))/(LN(2)/25)*Calculateur!AQ133*Calculateur!AS133*VLOOKUP('Données projet'!$B$10,Paramètres!$A$1:$I$89,3,0)*0.475*44/12</f>
        <v>1.1284959887017472</v>
      </c>
      <c r="AW133" s="23">
        <f>EXP(-LN(2)/2)*AW132+(1-EXP(-LN(2)/2))/(LN(2)/2)*AQ133*AT133*VLOOKUP('Données projet'!$B$10,Paramètres!$A$1:$I$89,3,0)*0.475*44/12</f>
        <v>5.368034132690974E-15</v>
      </c>
      <c r="AX133" s="23">
        <f t="shared" si="114"/>
        <v>3.0898336219795235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339.10256410256409</v>
      </c>
      <c r="BB133" s="13">
        <f>VLOOKUP(A133,'Données projet'!$A$87:$I$107,9,0)</f>
        <v>2.6282051282051269</v>
      </c>
      <c r="BC133" s="13">
        <f t="array" ref="BC133">INDEX(BB:BB,MIN(IF(ISNUMBER(BB133:BB329),ROW(BB133:BB329),"")))</f>
        <v>2.6282051282051269</v>
      </c>
      <c r="BD133" s="13">
        <f>IF('Données projet'!$A$88&gt;35,BD132+BC133-BL132,IF(A133&lt;'Données projet'!$A$88,$BA$205^A133,IF(A133='Données projet'!$A$88,'Données projet'!$B$88,BD132+BC133-BL132)))</f>
        <v>339.10256410256358</v>
      </c>
      <c r="BE133" s="14">
        <f>BD133*VLOOKUP('Données projet'!$B$11,Paramètres!$A$1:$I$89,3,0)*VLOOKUP('Données projet'!$B$11,Paramètres!$A$1:$I$89,5,0)</f>
        <v>354.4299999999995</v>
      </c>
      <c r="BF133" s="14">
        <f t="shared" ref="BF133:BF153" si="145">EXP(-1.0587+0.8836*LN(BE133)+0.284)</f>
        <v>82.474025434157767</v>
      </c>
      <c r="BG133" s="22">
        <f t="shared" si="115"/>
        <v>760.94117763115719</v>
      </c>
      <c r="BH133" s="60">
        <f t="shared" si="116"/>
        <v>1054.2745109644904</v>
      </c>
      <c r="BI133" s="60">
        <f ca="1">AVERAGE(OFFSET($BH$3,0,0,'Données projet'!$E$11+1,1))-AVERAGE(OFFSET($H$3,0,0,'Données projet'!$E$11+1,1))</f>
        <v>373.7520752235389</v>
      </c>
      <c r="BJ133" s="60">
        <f t="shared" ref="BJ133:BJ196" si="146">$BJ$3</f>
        <v>205.19966474305761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339.10256410256409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-6.2527760746888816E-13</v>
      </c>
      <c r="BZ133" s="14">
        <f>BY133*VLOOKUP('Données projet'!$B$12,Paramètres!$A$1:$I$89,3,0)*VLOOKUP('Données projet'!$B$12,Paramètres!$A$1:$I$89,5,0)</f>
        <v>-2.9262992029543964E-13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0" t="e">
        <f t="shared" si="119"/>
        <v>#NUM!</v>
      </c>
      <c r="CD133" s="60">
        <f ca="1">AVERAGE(OFFSET($CC$3,0,0,'Données projet'!$E$12+1,1))-AVERAGE(OFFSET($H$3,0,0,'Données projet'!$E$12+1,1))</f>
        <v>141.31558705818316</v>
      </c>
      <c r="CE133" s="60">
        <f t="shared" ref="CE133:CE196" si="148">$CE$3</f>
        <v>67.142010893211364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300</v>
      </c>
      <c r="CR133" s="13">
        <f>VLOOKUP(A133,'Données projet'!$A$139:$I$159,9,0)</f>
        <v>3.2</v>
      </c>
      <c r="CS133" s="13">
        <f t="array" ref="CS133">INDEX(CR:CR,MIN(IF(ISNUMBER(CR133:CR329),ROW(CR133:CR329),"")))</f>
        <v>3.2</v>
      </c>
      <c r="CT133" s="13">
        <f>IF('Données projet'!$A$140&gt;35,CT132+CS133-DB132,IF(A133&lt;'Données projet'!$A$140,$CQ$205^A133,IF(A133='Données projet'!$A$140,'Données projet'!$B$140,CT132+CS133-DB132)))</f>
        <v>299.99999999999937</v>
      </c>
      <c r="CU133" s="18">
        <f>CT133*VLOOKUP('Données projet'!$B$13,Paramètres!$A$1:$I$89,3,0)*VLOOKUP('Données projet'!$B$13,Paramètres!$A$1:$I$89,5,0)</f>
        <v>262.07999999999947</v>
      </c>
      <c r="CV133" s="14">
        <f t="shared" ref="CV133:CV153" si="149">EXP(-1.0587+0.8836*LN(CU133)+0.284)</f>
        <v>63.165544079460595</v>
      </c>
      <c r="CW133" s="22">
        <f t="shared" si="121"/>
        <v>566.46932260505957</v>
      </c>
      <c r="CX133" s="60">
        <f t="shared" si="122"/>
        <v>859.80265593839295</v>
      </c>
      <c r="CY133" s="60">
        <f ca="1">AVERAGE(OFFSET($CX$3,0,0,'Données projet'!$E$13+1,1))-AVERAGE(OFFSET($H$3,0,0,'Données projet'!$E$13+1,1))</f>
        <v>281.8501448773884</v>
      </c>
      <c r="CZ133" s="60">
        <f t="shared" ref="CZ133:CZ196" si="150">$CZ$3</f>
        <v>161.7340631691518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31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300</v>
      </c>
      <c r="DM133" s="13">
        <f>VLOOKUP(A133,'Données projet'!$A$165:$I$185,9,0)</f>
        <v>3.2</v>
      </c>
      <c r="DN133" s="13">
        <f t="array" ref="DN133">INDEX(DM:DM,MIN(IF(ISNUMBER(DM133:DM329),ROW(DM133:DM329),"")))</f>
        <v>3.2</v>
      </c>
      <c r="DO133" s="13">
        <f>IF('Données projet'!$A$166&gt;35,DO132+DN133-DW132,IF(A133&lt;'Données projet'!$A$166,$DL$205^A133,IF(A133='Données projet'!$A$166,'Données projet'!$B$166,DO132+DN133-DW132)))</f>
        <v>299.99999999999937</v>
      </c>
      <c r="DP133" s="18">
        <f>DO133*VLOOKUP('Données projet'!$B$14,Paramètres!$A$1:$I$89,3,0)*VLOOKUP('Données projet'!$B$14,Paramètres!$A$1:$I$89,5,0)</f>
        <v>271.43999999999943</v>
      </c>
      <c r="DQ133" s="14">
        <f t="shared" ref="DQ133:DQ153" si="151">EXP(-1.0587+0.8836*LN(DP133)+0.284)</f>
        <v>65.154778959151116</v>
      </c>
      <c r="DR133" s="22">
        <f t="shared" si="124"/>
        <v>586.23590668718714</v>
      </c>
      <c r="DS133" s="60">
        <f t="shared" si="125"/>
        <v>879.56924002052051</v>
      </c>
      <c r="DT133" s="60">
        <f ca="1">AVERAGE(OFFSET($DS$3,0,0,'Données projet'!$E$14+1,1))-AVERAGE(OFFSET($H$3,0,0,'Données projet'!$E$14+1,1))</f>
        <v>295.19398489974265</v>
      </c>
      <c r="DU133" s="60">
        <f t="shared" ref="DU133:DU196" si="152">$DU$3</f>
        <v>168.80998104712489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31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4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275.50379999999939</v>
      </c>
      <c r="P134" s="14">
        <f t="shared" si="141"/>
        <v>66.015939215007748</v>
      </c>
      <c r="Q134" s="22">
        <f t="shared" si="108"/>
        <v>594.81354579947072</v>
      </c>
      <c r="R134" s="60">
        <f t="shared" si="109"/>
        <v>888.14687913280409</v>
      </c>
      <c r="S134" s="60">
        <f ca="1">AVERAGE(OFFSET($R$3,0,0,'Données projet'!$E$9+1,1))-AVERAGE(OFFSET($H$3,0,0,'Données projet'!$E$9+1,1))</f>
        <v>341.82426415364569</v>
      </c>
      <c r="T134" s="60">
        <f t="shared" si="142"/>
        <v>193.53376539568887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-2.8421709430404007E-13</v>
      </c>
      <c r="AJ134" s="14">
        <f>AI134*VLOOKUP('Données projet'!$B$10,Paramètres!$A$1:$I$89,3,0)*VLOOKUP('Données projet'!$B$10,Paramètres!$A$1:$I$89,5,0)</f>
        <v>-1.69961822393816E-13</v>
      </c>
      <c r="AK134" s="14" t="e">
        <f t="shared" si="143"/>
        <v>#NUM!</v>
      </c>
      <c r="AL134" s="22" t="e">
        <f t="shared" si="112"/>
        <v>#NUM!</v>
      </c>
      <c r="AM134" s="60" t="e">
        <f t="shared" si="113"/>
        <v>#NUM!</v>
      </c>
      <c r="AN134" s="60">
        <f ca="1">AVERAGE(OFFSET($AM$3,0,0,'Données projet'!$E$10+1,1))-AVERAGE(OFFSET($H$3,0,0,'Données projet'!$E$10+1,1))</f>
        <v>189.8516574130017</v>
      </c>
      <c r="AO134" s="60">
        <f t="shared" si="144"/>
        <v>191.91100863555891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1.9228769985870253</v>
      </c>
      <c r="AV134" s="23">
        <f>EXP(-LN(2)/25)*AV133+(1-EXP(-LN(2)/25))/(LN(2)/25)*Calculateur!AQ134*Calculateur!AS134*VLOOKUP('Données projet'!$B$10,Paramètres!$A$1:$I$89,3,0)*0.475*44/12</f>
        <v>1.097637206545673</v>
      </c>
      <c r="AW134" s="23">
        <f>EXP(-LN(2)/2)*AW133+(1-EXP(-LN(2)/2))/(LN(2)/2)*AQ134*AT134*VLOOKUP('Données projet'!$B$10,Paramètres!$A$1:$I$89,3,0)*0.475*44/12</f>
        <v>3.795773336866635E-15</v>
      </c>
      <c r="AX134" s="23">
        <f t="shared" si="114"/>
        <v>3.0205142051327023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-5.1159076974727213E-13</v>
      </c>
      <c r="BE134" s="14">
        <f>BD134*VLOOKUP('Données projet'!$B$11,Paramètres!$A$1:$I$89,3,0)*VLOOKUP('Données projet'!$B$11,Paramètres!$A$1:$I$89,5,0)</f>
        <v>-5.3471467253984886E-13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373.7520752235389</v>
      </c>
      <c r="BJ134" s="60">
        <f t="shared" si="146"/>
        <v>205.19966474305761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-6.2527760746888816E-13</v>
      </c>
      <c r="BZ134" s="14">
        <f>BY134*VLOOKUP('Données projet'!$B$12,Paramètres!$A$1:$I$89,3,0)*VLOOKUP('Données projet'!$B$12,Paramètres!$A$1:$I$89,5,0)</f>
        <v>-2.9262992029543964E-13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141.31558705818316</v>
      </c>
      <c r="CE134" s="60">
        <f t="shared" si="148"/>
        <v>67.142010893211364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2.7</v>
      </c>
      <c r="CT134" s="13">
        <f>IF('Données projet'!$A$140&gt;35,CT133+CS134-DB133,IF(A134&lt;'Données projet'!$A$140,$CQ$205^A134,IF(A134='Données projet'!$A$140,'Données projet'!$B$140,CT133+CS134-DB133)))</f>
        <v>271.69999999999936</v>
      </c>
      <c r="CU134" s="18">
        <f>CT134*VLOOKUP('Données projet'!$B$13,Paramètres!$A$1:$I$89,3,0)*VLOOKUP('Données projet'!$B$13,Paramètres!$A$1:$I$89,5,0)</f>
        <v>237.35711999999947</v>
      </c>
      <c r="CV134" s="14">
        <f t="shared" si="149"/>
        <v>57.870536040426195</v>
      </c>
      <c r="CW134" s="22">
        <f t="shared" si="121"/>
        <v>514.18816760374136</v>
      </c>
      <c r="CX134" s="60">
        <f t="shared" si="122"/>
        <v>807.52150093707473</v>
      </c>
      <c r="CY134" s="60">
        <f ca="1">AVERAGE(OFFSET($CX$3,0,0,'Données projet'!$E$13+1,1))-AVERAGE(OFFSET($H$3,0,0,'Données projet'!$E$13+1,1))</f>
        <v>281.8501448773884</v>
      </c>
      <c r="CZ134" s="60">
        <f t="shared" si="150"/>
        <v>161.7340631691518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2.7</v>
      </c>
      <c r="DO134" s="13">
        <f>IF('Données projet'!$A$166&gt;35,DO133+DN134-DW133,IF(A134&lt;'Données projet'!$A$166,$DL$205^A134,IF(A134='Données projet'!$A$166,'Données projet'!$B$166,DO133+DN134-DW133)))</f>
        <v>271.69999999999936</v>
      </c>
      <c r="DP134" s="18">
        <f>DO134*VLOOKUP('Données projet'!$B$14,Paramètres!$A$1:$I$89,3,0)*VLOOKUP('Données projet'!$B$14,Paramètres!$A$1:$I$89,5,0)</f>
        <v>245.8341599999994</v>
      </c>
      <c r="DQ134" s="14">
        <f t="shared" si="151"/>
        <v>59.693018383856675</v>
      </c>
      <c r="DR134" s="22">
        <f t="shared" si="124"/>
        <v>532.12650235188266</v>
      </c>
      <c r="DS134" s="60">
        <f t="shared" si="125"/>
        <v>825.45983568521592</v>
      </c>
      <c r="DT134" s="60">
        <f ca="1">AVERAGE(OFFSET($DS$3,0,0,'Données projet'!$E$14+1,1))-AVERAGE(OFFSET($H$3,0,0,'Données projet'!$E$14+1,1))</f>
        <v>295.19398489974265</v>
      </c>
      <c r="DU134" s="60">
        <f t="shared" si="152"/>
        <v>168.80998104712489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4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278.24159999999938</v>
      </c>
      <c r="P135" s="14">
        <f t="shared" si="141"/>
        <v>66.595272276139625</v>
      </c>
      <c r="Q135" s="22">
        <f t="shared" si="108"/>
        <v>600.59088588094198</v>
      </c>
      <c r="R135" s="60">
        <f t="shared" si="109"/>
        <v>893.92421921427535</v>
      </c>
      <c r="S135" s="60">
        <f ca="1">AVERAGE(OFFSET($R$3,0,0,'Données projet'!$E$9+1,1))-AVERAGE(OFFSET($H$3,0,0,'Données projet'!$E$9+1,1))</f>
        <v>341.82426415364569</v>
      </c>
      <c r="T135" s="60">
        <f t="shared" si="142"/>
        <v>193.53376539568887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-2.8421709430404007E-13</v>
      </c>
      <c r="AJ135" s="14">
        <f>AI135*VLOOKUP('Données projet'!$B$10,Paramètres!$A$1:$I$89,3,0)*VLOOKUP('Données projet'!$B$10,Paramètres!$A$1:$I$89,5,0)</f>
        <v>-1.69961822393816E-13</v>
      </c>
      <c r="AK135" s="14" t="e">
        <f t="shared" si="143"/>
        <v>#NUM!</v>
      </c>
      <c r="AL135" s="22" t="e">
        <f t="shared" si="112"/>
        <v>#NUM!</v>
      </c>
      <c r="AM135" s="60" t="e">
        <f t="shared" si="113"/>
        <v>#NUM!</v>
      </c>
      <c r="AN135" s="60">
        <f ca="1">AVERAGE(OFFSET($AM$3,0,0,'Données projet'!$E$10+1,1))-AVERAGE(OFFSET($H$3,0,0,'Données projet'!$E$10+1,1))</f>
        <v>189.8516574130017</v>
      </c>
      <c r="AO135" s="60">
        <f t="shared" si="144"/>
        <v>191.91100863555891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1.8851705534838947</v>
      </c>
      <c r="AV135" s="23">
        <f>EXP(-LN(2)/25)*AV134+(1-EXP(-LN(2)/25))/(LN(2)/25)*Calculateur!AQ135*Calculateur!AS135*VLOOKUP('Données projet'!$B$10,Paramètres!$A$1:$I$89,3,0)*0.475*44/12</f>
        <v>1.0676222594104496</v>
      </c>
      <c r="AW135" s="23">
        <f>EXP(-LN(2)/2)*AW134+(1-EXP(-LN(2)/2))/(LN(2)/2)*AQ135*AT135*VLOOKUP('Données projet'!$B$10,Paramètres!$A$1:$I$89,3,0)*0.475*44/12</f>
        <v>2.684017066345487E-15</v>
      </c>
      <c r="AX135" s="23">
        <f t="shared" si="114"/>
        <v>2.952792812894347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-5.1159076974727213E-13</v>
      </c>
      <c r="BE135" s="14">
        <f>BD135*VLOOKUP('Données projet'!$B$11,Paramètres!$A$1:$I$89,3,0)*VLOOKUP('Données projet'!$B$11,Paramètres!$A$1:$I$89,5,0)</f>
        <v>-5.3471467253984886E-13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373.7520752235389</v>
      </c>
      <c r="BJ135" s="60">
        <f t="shared" si="146"/>
        <v>205.19966474305761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-6.2527760746888816E-13</v>
      </c>
      <c r="BZ135" s="14">
        <f>BY135*VLOOKUP('Données projet'!$B$12,Paramètres!$A$1:$I$89,3,0)*VLOOKUP('Données projet'!$B$12,Paramètres!$A$1:$I$89,5,0)</f>
        <v>-2.9262992029543964E-13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141.31558705818316</v>
      </c>
      <c r="CE135" s="60">
        <f t="shared" si="148"/>
        <v>67.142010893211364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2.7</v>
      </c>
      <c r="CT135" s="13">
        <f>IF('Données projet'!$A$140&gt;35,CT134+CS135-DB134,IF(A135&lt;'Données projet'!$A$140,$CQ$205^A135,IF(A135='Données projet'!$A$140,'Données projet'!$B$140,CT134+CS135-DB134)))</f>
        <v>274.39999999999935</v>
      </c>
      <c r="CU135" s="18">
        <f>CT135*VLOOKUP('Données projet'!$B$13,Paramètres!$A$1:$I$89,3,0)*VLOOKUP('Données projet'!$B$13,Paramètres!$A$1:$I$89,5,0)</f>
        <v>239.71583999999945</v>
      </c>
      <c r="CV135" s="14">
        <f t="shared" si="149"/>
        <v>58.378387859127884</v>
      </c>
      <c r="CW135" s="22">
        <f t="shared" si="121"/>
        <v>519.18078018798008</v>
      </c>
      <c r="CX135" s="60">
        <f t="shared" si="122"/>
        <v>812.51411352131345</v>
      </c>
      <c r="CY135" s="60">
        <f ca="1">AVERAGE(OFFSET($CX$3,0,0,'Données projet'!$E$13+1,1))-AVERAGE(OFFSET($H$3,0,0,'Données projet'!$E$13+1,1))</f>
        <v>281.8501448773884</v>
      </c>
      <c r="CZ135" s="60">
        <f t="shared" si="150"/>
        <v>161.7340631691518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2.7</v>
      </c>
      <c r="DO135" s="13">
        <f>IF('Données projet'!$A$166&gt;35,DO134+DN135-DW134,IF(A135&lt;'Données projet'!$A$166,$DL$205^A135,IF(A135='Données projet'!$A$166,'Données projet'!$B$166,DO134+DN135-DW134)))</f>
        <v>274.39999999999935</v>
      </c>
      <c r="DP135" s="18">
        <f>DO135*VLOOKUP('Données projet'!$B$14,Paramètres!$A$1:$I$89,3,0)*VLOOKUP('Données projet'!$B$14,Paramètres!$A$1:$I$89,5,0)</f>
        <v>248.2771199999994</v>
      </c>
      <c r="DQ135" s="14">
        <f t="shared" si="151"/>
        <v>60.216863677580257</v>
      </c>
      <c r="DR135" s="22">
        <f t="shared" si="124"/>
        <v>537.29368823845118</v>
      </c>
      <c r="DS135" s="60">
        <f t="shared" si="125"/>
        <v>830.62702157178455</v>
      </c>
      <c r="DT135" s="60">
        <f ca="1">AVERAGE(OFFSET($DS$3,0,0,'Données projet'!$E$14+1,1))-AVERAGE(OFFSET($H$3,0,0,'Données projet'!$E$14+1,1))</f>
        <v>295.19398489974265</v>
      </c>
      <c r="DU135" s="60">
        <f t="shared" si="152"/>
        <v>168.80998104712489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4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280.97939999999937</v>
      </c>
      <c r="P136" s="14">
        <f t="shared" si="141"/>
        <v>67.173942175199301</v>
      </c>
      <c r="Q136" s="22">
        <f t="shared" si="108"/>
        <v>606.36707095513759</v>
      </c>
      <c r="R136" s="60">
        <f t="shared" si="109"/>
        <v>899.70040428847096</v>
      </c>
      <c r="S136" s="60">
        <f ca="1">AVERAGE(OFFSET($R$3,0,0,'Données projet'!$E$9+1,1))-AVERAGE(OFFSET($H$3,0,0,'Données projet'!$E$9+1,1))</f>
        <v>341.82426415364569</v>
      </c>
      <c r="T136" s="60">
        <f t="shared" si="142"/>
        <v>193.53376539568887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-2.8421709430404007E-13</v>
      </c>
      <c r="AJ136" s="14">
        <f>AI136*VLOOKUP('Données projet'!$B$10,Paramètres!$A$1:$I$89,3,0)*VLOOKUP('Données projet'!$B$10,Paramètres!$A$1:$I$89,5,0)</f>
        <v>-1.69961822393816E-13</v>
      </c>
      <c r="AK136" s="14" t="e">
        <f t="shared" si="143"/>
        <v>#NUM!</v>
      </c>
      <c r="AL136" s="22" t="e">
        <f t="shared" si="112"/>
        <v>#NUM!</v>
      </c>
      <c r="AM136" s="60" t="e">
        <f t="shared" si="113"/>
        <v>#NUM!</v>
      </c>
      <c r="AN136" s="60">
        <f ca="1">AVERAGE(OFFSET($AM$3,0,0,'Données projet'!$E$10+1,1))-AVERAGE(OFFSET($H$3,0,0,'Données projet'!$E$10+1,1))</f>
        <v>189.8516574130017</v>
      </c>
      <c r="AO136" s="60">
        <f t="shared" si="144"/>
        <v>191.91100863555891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1.8482035087705759</v>
      </c>
      <c r="AV136" s="23">
        <f>EXP(-LN(2)/25)*AV135+(1-EXP(-LN(2)/25))/(LN(2)/25)*Calculateur!AQ136*Calculateur!AS136*VLOOKUP('Données projet'!$B$10,Paramètres!$A$1:$I$89,3,0)*0.475*44/12</f>
        <v>1.0384280725830564</v>
      </c>
      <c r="AW136" s="23">
        <f>EXP(-LN(2)/2)*AW135+(1-EXP(-LN(2)/2))/(LN(2)/2)*AQ136*AT136*VLOOKUP('Données projet'!$B$10,Paramètres!$A$1:$I$89,3,0)*0.475*44/12</f>
        <v>1.8978866684333175E-15</v>
      </c>
      <c r="AX136" s="23">
        <f t="shared" si="114"/>
        <v>2.8866315813536341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-5.1159076974727213E-13</v>
      </c>
      <c r="BE136" s="14">
        <f>BD136*VLOOKUP('Données projet'!$B$11,Paramètres!$A$1:$I$89,3,0)*VLOOKUP('Données projet'!$B$11,Paramètres!$A$1:$I$89,5,0)</f>
        <v>-5.3471467253984886E-13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373.7520752235389</v>
      </c>
      <c r="BJ136" s="60">
        <f t="shared" si="146"/>
        <v>205.19966474305761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-6.2527760746888816E-13</v>
      </c>
      <c r="BZ136" s="14">
        <f>BY136*VLOOKUP('Données projet'!$B$12,Paramètres!$A$1:$I$89,3,0)*VLOOKUP('Données projet'!$B$12,Paramètres!$A$1:$I$89,5,0)</f>
        <v>-2.9262992029543964E-13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141.31558705818316</v>
      </c>
      <c r="CE136" s="60">
        <f t="shared" si="148"/>
        <v>67.142010893211364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2.7</v>
      </c>
      <c r="CT136" s="13">
        <f>IF('Données projet'!$A$140&gt;35,CT135+CS136-DB135,IF(A136&lt;'Données projet'!$A$140,$CQ$205^A136,IF(A136='Données projet'!$A$140,'Données projet'!$B$140,CT135+CS136-DB135)))</f>
        <v>277.09999999999934</v>
      </c>
      <c r="CU136" s="18">
        <f>CT136*VLOOKUP('Données projet'!$B$13,Paramètres!$A$1:$I$89,3,0)*VLOOKUP('Données projet'!$B$13,Paramètres!$A$1:$I$89,5,0)</f>
        <v>242.07455999999945</v>
      </c>
      <c r="CV136" s="14">
        <f t="shared" si="149"/>
        <v>58.885658340275974</v>
      </c>
      <c r="CW136" s="22">
        <f t="shared" si="121"/>
        <v>524.17238027597966</v>
      </c>
      <c r="CX136" s="60">
        <f t="shared" si="122"/>
        <v>817.50571360931303</v>
      </c>
      <c r="CY136" s="60">
        <f ca="1">AVERAGE(OFFSET($CX$3,0,0,'Données projet'!$E$13+1,1))-AVERAGE(OFFSET($H$3,0,0,'Données projet'!$E$13+1,1))</f>
        <v>281.8501448773884</v>
      </c>
      <c r="CZ136" s="60">
        <f t="shared" si="150"/>
        <v>161.7340631691518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2.7</v>
      </c>
      <c r="DO136" s="13">
        <f>IF('Données projet'!$A$166&gt;35,DO135+DN136-DW135,IF(A136&lt;'Données projet'!$A$166,$DL$205^A136,IF(A136='Données projet'!$A$166,'Données projet'!$B$166,DO135+DN136-DW135)))</f>
        <v>277.09999999999934</v>
      </c>
      <c r="DP136" s="18">
        <f>DO136*VLOOKUP('Données projet'!$B$14,Paramètres!$A$1:$I$89,3,0)*VLOOKUP('Données projet'!$B$14,Paramètres!$A$1:$I$89,5,0)</f>
        <v>250.72007999999943</v>
      </c>
      <c r="DQ136" s="14">
        <f t="shared" si="151"/>
        <v>60.740109326032709</v>
      </c>
      <c r="DR136" s="22">
        <f t="shared" si="124"/>
        <v>542.45982974283925</v>
      </c>
      <c r="DS136" s="60">
        <f t="shared" si="125"/>
        <v>835.7931630761725</v>
      </c>
      <c r="DT136" s="60">
        <f ca="1">AVERAGE(OFFSET($DS$3,0,0,'Données projet'!$E$14+1,1))-AVERAGE(OFFSET($H$3,0,0,'Données projet'!$E$14+1,1))</f>
        <v>295.19398489974265</v>
      </c>
      <c r="DU136" s="60">
        <f t="shared" si="152"/>
        <v>168.80998104712489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4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283.71719999999937</v>
      </c>
      <c r="P137" s="14">
        <f t="shared" si="141"/>
        <v>67.751956122170526</v>
      </c>
      <c r="Q137" s="22">
        <f t="shared" si="108"/>
        <v>612.14211357944589</v>
      </c>
      <c r="R137" s="60">
        <f t="shared" si="109"/>
        <v>905.47544691277926</v>
      </c>
      <c r="S137" s="60">
        <f ca="1">AVERAGE(OFFSET($R$3,0,0,'Données projet'!$E$9+1,1))-AVERAGE(OFFSET($H$3,0,0,'Données projet'!$E$9+1,1))</f>
        <v>341.82426415364569</v>
      </c>
      <c r="T137" s="60">
        <f t="shared" si="142"/>
        <v>193.53376539568887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-2.8421709430404007E-13</v>
      </c>
      <c r="AJ137" s="14">
        <f>AI137*VLOOKUP('Données projet'!$B$10,Paramètres!$A$1:$I$89,3,0)*VLOOKUP('Données projet'!$B$10,Paramètres!$A$1:$I$89,5,0)</f>
        <v>-1.69961822393816E-13</v>
      </c>
      <c r="AK137" s="14" t="e">
        <f t="shared" si="143"/>
        <v>#NUM!</v>
      </c>
      <c r="AL137" s="22" t="e">
        <f t="shared" si="112"/>
        <v>#NUM!</v>
      </c>
      <c r="AM137" s="60" t="e">
        <f t="shared" si="113"/>
        <v>#NUM!</v>
      </c>
      <c r="AN137" s="60">
        <f ca="1">AVERAGE(OFFSET($AM$3,0,0,'Données projet'!$E$10+1,1))-AVERAGE(OFFSET($H$3,0,0,'Données projet'!$E$10+1,1))</f>
        <v>189.8516574130017</v>
      </c>
      <c r="AO137" s="60">
        <f t="shared" si="144"/>
        <v>191.91100863555891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1.8119613652564144</v>
      </c>
      <c r="AV137" s="23">
        <f>EXP(-LN(2)/25)*AV136+(1-EXP(-LN(2)/25))/(LN(2)/25)*Calculateur!AQ137*Calculateur!AS137*VLOOKUP('Données projet'!$B$10,Paramètres!$A$1:$I$89,3,0)*0.475*44/12</f>
        <v>1.0100322023297137</v>
      </c>
      <c r="AW137" s="23">
        <f>EXP(-LN(2)/2)*AW136+(1-EXP(-LN(2)/2))/(LN(2)/2)*AQ137*AT137*VLOOKUP('Données projet'!$B$10,Paramètres!$A$1:$I$89,3,0)*0.475*44/12</f>
        <v>1.3420085331727435E-15</v>
      </c>
      <c r="AX137" s="23">
        <f t="shared" si="114"/>
        <v>2.8219935675861296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-5.1159076974727213E-13</v>
      </c>
      <c r="BE137" s="14">
        <f>BD137*VLOOKUP('Données projet'!$B$11,Paramètres!$A$1:$I$89,3,0)*VLOOKUP('Données projet'!$B$11,Paramètres!$A$1:$I$89,5,0)</f>
        <v>-5.3471467253984886E-13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373.7520752235389</v>
      </c>
      <c r="BJ137" s="60">
        <f t="shared" si="146"/>
        <v>205.19966474305761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-6.2527760746888816E-13</v>
      </c>
      <c r="BZ137" s="14">
        <f>BY137*VLOOKUP('Données projet'!$B$12,Paramètres!$A$1:$I$89,3,0)*VLOOKUP('Données projet'!$B$12,Paramètres!$A$1:$I$89,5,0)</f>
        <v>-2.9262992029543964E-13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141.31558705818316</v>
      </c>
      <c r="CE137" s="60">
        <f t="shared" si="148"/>
        <v>67.142010893211364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2.7</v>
      </c>
      <c r="CT137" s="13">
        <f>IF('Données projet'!$A$140&gt;35,CT136+CS137-DB136,IF(A137&lt;'Données projet'!$A$140,$CQ$205^A137,IF(A137='Données projet'!$A$140,'Données projet'!$B$140,CT136+CS137-DB136)))</f>
        <v>279.79999999999933</v>
      </c>
      <c r="CU137" s="18">
        <f>CT137*VLOOKUP('Données projet'!$B$13,Paramètres!$A$1:$I$89,3,0)*VLOOKUP('Données projet'!$B$13,Paramètres!$A$1:$I$89,5,0)</f>
        <v>244.43327999999946</v>
      </c>
      <c r="CV137" s="14">
        <f t="shared" si="149"/>
        <v>59.392353804247641</v>
      </c>
      <c r="CW137" s="22">
        <f t="shared" si="121"/>
        <v>529.16297887573035</v>
      </c>
      <c r="CX137" s="60">
        <f t="shared" si="122"/>
        <v>822.49631220906372</v>
      </c>
      <c r="CY137" s="60">
        <f ca="1">AVERAGE(OFFSET($CX$3,0,0,'Données projet'!$E$13+1,1))-AVERAGE(OFFSET($H$3,0,0,'Données projet'!$E$13+1,1))</f>
        <v>281.8501448773884</v>
      </c>
      <c r="CZ137" s="60">
        <f t="shared" si="150"/>
        <v>161.7340631691518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2.7</v>
      </c>
      <c r="DO137" s="13">
        <f>IF('Données projet'!$A$166&gt;35,DO136+DN137-DW136,IF(A137&lt;'Données projet'!$A$166,$DL$205^A137,IF(A137='Données projet'!$A$166,'Données projet'!$B$166,DO136+DN137-DW136)))</f>
        <v>279.79999999999933</v>
      </c>
      <c r="DP137" s="18">
        <f>DO137*VLOOKUP('Données projet'!$B$14,Paramètres!$A$1:$I$89,3,0)*VLOOKUP('Données projet'!$B$14,Paramètres!$A$1:$I$89,5,0)</f>
        <v>253.16303999999937</v>
      </c>
      <c r="DQ137" s="14">
        <f t="shared" si="151"/>
        <v>61.262761848634923</v>
      </c>
      <c r="DR137" s="22">
        <f t="shared" si="124"/>
        <v>547.62493821970475</v>
      </c>
      <c r="DS137" s="60">
        <f t="shared" si="125"/>
        <v>840.958271553038</v>
      </c>
      <c r="DT137" s="60">
        <f ca="1">AVERAGE(OFFSET($DS$3,0,0,'Données projet'!$E$14+1,1))-AVERAGE(OFFSET($H$3,0,0,'Données projet'!$E$14+1,1))</f>
        <v>295.19398489974265</v>
      </c>
      <c r="DU137" s="60">
        <f t="shared" si="152"/>
        <v>168.80998104712489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4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286.45499999999936</v>
      </c>
      <c r="P138" s="14">
        <f t="shared" si="141"/>
        <v>68.329321179865531</v>
      </c>
      <c r="Q138" s="22">
        <f t="shared" si="108"/>
        <v>617.91602605493142</v>
      </c>
      <c r="R138" s="60">
        <f t="shared" si="109"/>
        <v>911.24935938826479</v>
      </c>
      <c r="S138" s="60">
        <f ca="1">AVERAGE(OFFSET($R$3,0,0,'Données projet'!$E$9+1,1))-AVERAGE(OFFSET($H$3,0,0,'Données projet'!$E$9+1,1))</f>
        <v>341.82426415364569</v>
      </c>
      <c r="T138" s="60">
        <f t="shared" si="142"/>
        <v>193.53376539568887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-2.8421709430404007E-13</v>
      </c>
      <c r="AJ138" s="14">
        <f>AI138*VLOOKUP('Données projet'!$B$10,Paramètres!$A$1:$I$89,3,0)*VLOOKUP('Données projet'!$B$10,Paramètres!$A$1:$I$89,5,0)</f>
        <v>-1.69961822393816E-13</v>
      </c>
      <c r="AK138" s="14" t="e">
        <f t="shared" si="143"/>
        <v>#NUM!</v>
      </c>
      <c r="AL138" s="22" t="e">
        <f t="shared" si="112"/>
        <v>#NUM!</v>
      </c>
      <c r="AM138" s="60" t="e">
        <f t="shared" si="113"/>
        <v>#NUM!</v>
      </c>
      <c r="AN138" s="60">
        <f ca="1">AVERAGE(OFFSET($AM$3,0,0,'Données projet'!$E$10+1,1))-AVERAGE(OFFSET($H$3,0,0,'Données projet'!$E$10+1,1))</f>
        <v>189.8516574130017</v>
      </c>
      <c r="AO138" s="60">
        <f t="shared" si="144"/>
        <v>191.91100863555891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1.7764299080710406</v>
      </c>
      <c r="AV138" s="23">
        <f>EXP(-LN(2)/25)*AV137+(1-EXP(-LN(2)/25))/(LN(2)/25)*Calculateur!AQ138*Calculateur!AS138*VLOOKUP('Données projet'!$B$10,Paramètres!$A$1:$I$89,3,0)*0.475*44/12</f>
        <v>0.98241281864172258</v>
      </c>
      <c r="AW138" s="23">
        <f>EXP(-LN(2)/2)*AW137+(1-EXP(-LN(2)/2))/(LN(2)/2)*AQ138*AT138*VLOOKUP('Données projet'!$B$10,Paramètres!$A$1:$I$89,3,0)*0.475*44/12</f>
        <v>9.4894333421665874E-16</v>
      </c>
      <c r="AX138" s="23">
        <f t="shared" si="114"/>
        <v>2.7588427267127642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-5.1159076974727213E-13</v>
      </c>
      <c r="BE138" s="14">
        <f>BD138*VLOOKUP('Données projet'!$B$11,Paramètres!$A$1:$I$89,3,0)*VLOOKUP('Données projet'!$B$11,Paramètres!$A$1:$I$89,5,0)</f>
        <v>-5.3471467253984886E-13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373.7520752235389</v>
      </c>
      <c r="BJ138" s="60">
        <f t="shared" si="146"/>
        <v>205.19966474305761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-6.2527760746888816E-13</v>
      </c>
      <c r="BZ138" s="14">
        <f>BY138*VLOOKUP('Données projet'!$B$12,Paramètres!$A$1:$I$89,3,0)*VLOOKUP('Données projet'!$B$12,Paramètres!$A$1:$I$89,5,0)</f>
        <v>-2.9262992029543964E-13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141.31558705818316</v>
      </c>
      <c r="CE138" s="60">
        <f t="shared" si="148"/>
        <v>67.142010893211364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2.7</v>
      </c>
      <c r="CT138" s="13">
        <f>IF('Données projet'!$A$140&gt;35,CT137+CS138-DB137,IF(A138&lt;'Données projet'!$A$140,$CQ$205^A138,IF(A138='Données projet'!$A$140,'Données projet'!$B$140,CT137+CS138-DB137)))</f>
        <v>282.49999999999932</v>
      </c>
      <c r="CU138" s="18">
        <f>CT138*VLOOKUP('Données projet'!$B$13,Paramètres!$A$1:$I$89,3,0)*VLOOKUP('Données projet'!$B$13,Paramètres!$A$1:$I$89,5,0)</f>
        <v>246.7919999999994</v>
      </c>
      <c r="CV138" s="14">
        <f t="shared" si="149"/>
        <v>59.8984804424069</v>
      </c>
      <c r="CW138" s="22">
        <f t="shared" si="121"/>
        <v>534.15258677052429</v>
      </c>
      <c r="CX138" s="60">
        <f t="shared" si="122"/>
        <v>827.48592010385755</v>
      </c>
      <c r="CY138" s="60">
        <f ca="1">AVERAGE(OFFSET($CX$3,0,0,'Données projet'!$E$13+1,1))-AVERAGE(OFFSET($H$3,0,0,'Données projet'!$E$13+1,1))</f>
        <v>281.8501448773884</v>
      </c>
      <c r="CZ138" s="60">
        <f t="shared" si="150"/>
        <v>161.7340631691518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2.7</v>
      </c>
      <c r="DO138" s="13">
        <f>IF('Données projet'!$A$166&gt;35,DO137+DN138-DW137,IF(A138&lt;'Données projet'!$A$166,$DL$205^A138,IF(A138='Données projet'!$A$166,'Données projet'!$B$166,DO137+DN138-DW137)))</f>
        <v>282.49999999999932</v>
      </c>
      <c r="DP138" s="18">
        <f>DO138*VLOOKUP('Données projet'!$B$14,Paramètres!$A$1:$I$89,3,0)*VLOOKUP('Données projet'!$B$14,Paramètres!$A$1:$I$89,5,0)</f>
        <v>255.60599999999937</v>
      </c>
      <c r="DQ138" s="14">
        <f t="shared" si="151"/>
        <v>61.784827631732192</v>
      </c>
      <c r="DR138" s="22">
        <f t="shared" si="124"/>
        <v>552.78902479193243</v>
      </c>
      <c r="DS138" s="60">
        <f t="shared" si="125"/>
        <v>846.12235812526569</v>
      </c>
      <c r="DT138" s="60">
        <f ca="1">AVERAGE(OFFSET($DS$3,0,0,'Données projet'!$E$14+1,1))-AVERAGE(OFFSET($H$3,0,0,'Données projet'!$E$14+1,1))</f>
        <v>295.19398489974265</v>
      </c>
      <c r="DU138" s="60">
        <f t="shared" si="152"/>
        <v>168.80998104712489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4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289.19279999999935</v>
      </c>
      <c r="P139" s="14">
        <f t="shared" si="141"/>
        <v>68.906044268306161</v>
      </c>
      <c r="Q139" s="22">
        <f t="shared" si="108"/>
        <v>623.68882043396547</v>
      </c>
      <c r="R139" s="60">
        <f t="shared" si="109"/>
        <v>917.02215376729873</v>
      </c>
      <c r="S139" s="60">
        <f ca="1">AVERAGE(OFFSET($R$3,0,0,'Données projet'!$E$9+1,1))-AVERAGE(OFFSET($H$3,0,0,'Données projet'!$E$9+1,1))</f>
        <v>341.82426415364569</v>
      </c>
      <c r="T139" s="60">
        <f t="shared" si="142"/>
        <v>193.53376539568887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-2.8421709430404007E-13</v>
      </c>
      <c r="AJ139" s="14">
        <f>AI139*VLOOKUP('Données projet'!$B$10,Paramètres!$A$1:$I$89,3,0)*VLOOKUP('Données projet'!$B$10,Paramètres!$A$1:$I$89,5,0)</f>
        <v>-1.69961822393816E-13</v>
      </c>
      <c r="AK139" s="14" t="e">
        <f t="shared" si="143"/>
        <v>#NUM!</v>
      </c>
      <c r="AL139" s="22" t="e">
        <f t="shared" si="112"/>
        <v>#NUM!</v>
      </c>
      <c r="AM139" s="60" t="e">
        <f t="shared" si="113"/>
        <v>#NUM!</v>
      </c>
      <c r="AN139" s="60">
        <f ca="1">AVERAGE(OFFSET($AM$3,0,0,'Données projet'!$E$10+1,1))-AVERAGE(OFFSET($H$3,0,0,'Données projet'!$E$10+1,1))</f>
        <v>189.8516574130017</v>
      </c>
      <c r="AO139" s="60">
        <f t="shared" si="144"/>
        <v>191.91100863555891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1.7415952010890232</v>
      </c>
      <c r="AV139" s="23">
        <f>EXP(-LN(2)/25)*AV138+(1-EXP(-LN(2)/25))/(LN(2)/25)*Calculateur!AQ139*Calculateur!AS139*VLOOKUP('Données projet'!$B$10,Paramètres!$A$1:$I$89,3,0)*0.475*44/12</f>
        <v>0.95554868845311991</v>
      </c>
      <c r="AW139" s="23">
        <f>EXP(-LN(2)/2)*AW138+(1-EXP(-LN(2)/2))/(LN(2)/2)*AQ139*AT139*VLOOKUP('Données projet'!$B$10,Paramètres!$A$1:$I$89,3,0)*0.475*44/12</f>
        <v>6.7100426658637175E-16</v>
      </c>
      <c r="AX139" s="23">
        <f t="shared" si="114"/>
        <v>2.697143889542144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-5.1159076974727213E-13</v>
      </c>
      <c r="BE139" s="14">
        <f>BD139*VLOOKUP('Données projet'!$B$11,Paramètres!$A$1:$I$89,3,0)*VLOOKUP('Données projet'!$B$11,Paramètres!$A$1:$I$89,5,0)</f>
        <v>-5.3471467253984886E-13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373.7520752235389</v>
      </c>
      <c r="BJ139" s="60">
        <f t="shared" si="146"/>
        <v>205.19966474305761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-6.2527760746888816E-13</v>
      </c>
      <c r="BZ139" s="14">
        <f>BY139*VLOOKUP('Données projet'!$B$12,Paramètres!$A$1:$I$89,3,0)*VLOOKUP('Données projet'!$B$12,Paramètres!$A$1:$I$89,5,0)</f>
        <v>-2.9262992029543964E-13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141.31558705818316</v>
      </c>
      <c r="CE139" s="60">
        <f t="shared" si="148"/>
        <v>67.142010893211364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2.7</v>
      </c>
      <c r="CT139" s="13">
        <f>IF('Données projet'!$A$140&gt;35,CT138+CS139-DB138,IF(A139&lt;'Données projet'!$A$140,$CQ$205^A139,IF(A139='Données projet'!$A$140,'Données projet'!$B$140,CT138+CS139-DB138)))</f>
        <v>285.19999999999931</v>
      </c>
      <c r="CU139" s="18">
        <f>CT139*VLOOKUP('Données projet'!$B$13,Paramètres!$A$1:$I$89,3,0)*VLOOKUP('Données projet'!$B$13,Paramètres!$A$1:$I$89,5,0)</f>
        <v>249.15071999999941</v>
      </c>
      <c r="CV139" s="14">
        <f t="shared" si="149"/>
        <v>60.404044320946142</v>
      </c>
      <c r="CW139" s="22">
        <f t="shared" si="121"/>
        <v>539.14121452564689</v>
      </c>
      <c r="CX139" s="60">
        <f t="shared" si="122"/>
        <v>832.47454785898026</v>
      </c>
      <c r="CY139" s="60">
        <f ca="1">AVERAGE(OFFSET($CX$3,0,0,'Données projet'!$E$13+1,1))-AVERAGE(OFFSET($H$3,0,0,'Données projet'!$E$13+1,1))</f>
        <v>281.8501448773884</v>
      </c>
      <c r="CZ139" s="60">
        <f t="shared" si="150"/>
        <v>161.7340631691518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2.7</v>
      </c>
      <c r="DO139" s="13">
        <f>IF('Données projet'!$A$166&gt;35,DO138+DN139-DW138,IF(A139&lt;'Données projet'!$A$166,$DL$205^A139,IF(A139='Données projet'!$A$166,'Données projet'!$B$166,DO138+DN139-DW138)))</f>
        <v>285.19999999999931</v>
      </c>
      <c r="DP139" s="18">
        <f>DO139*VLOOKUP('Données projet'!$B$14,Paramètres!$A$1:$I$89,3,0)*VLOOKUP('Données projet'!$B$14,Paramètres!$A$1:$I$89,5,0)</f>
        <v>258.0489599999994</v>
      </c>
      <c r="DQ139" s="14">
        <f t="shared" si="151"/>
        <v>62.306312932555649</v>
      </c>
      <c r="DR139" s="22">
        <f t="shared" si="124"/>
        <v>557.95210035753337</v>
      </c>
      <c r="DS139" s="60">
        <f t="shared" si="125"/>
        <v>851.28543369086674</v>
      </c>
      <c r="DT139" s="60">
        <f ca="1">AVERAGE(OFFSET($DS$3,0,0,'Données projet'!$E$14+1,1))-AVERAGE(OFFSET($H$3,0,0,'Données projet'!$E$14+1,1))</f>
        <v>295.19398489974265</v>
      </c>
      <c r="DU139" s="60">
        <f t="shared" si="152"/>
        <v>168.80998104712489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4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291.93059999999929</v>
      </c>
      <c r="P140" s="14">
        <f t="shared" si="141"/>
        <v>69.482132168934584</v>
      </c>
      <c r="Q140" s="22">
        <f t="shared" si="108"/>
        <v>629.4605085275598</v>
      </c>
      <c r="R140" s="60">
        <f t="shared" si="109"/>
        <v>922.79384186089305</v>
      </c>
      <c r="S140" s="60">
        <f ca="1">AVERAGE(OFFSET($R$3,0,0,'Données projet'!$E$9+1,1))-AVERAGE(OFFSET($H$3,0,0,'Données projet'!$E$9+1,1))</f>
        <v>341.82426415364569</v>
      </c>
      <c r="T140" s="60">
        <f t="shared" si="142"/>
        <v>193.53376539568887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-2.8421709430404007E-13</v>
      </c>
      <c r="AJ140" s="14">
        <f>AI140*VLOOKUP('Données projet'!$B$10,Paramètres!$A$1:$I$89,3,0)*VLOOKUP('Données projet'!$B$10,Paramètres!$A$1:$I$89,5,0)</f>
        <v>-1.69961822393816E-13</v>
      </c>
      <c r="AK140" s="14" t="e">
        <f t="shared" si="143"/>
        <v>#NUM!</v>
      </c>
      <c r="AL140" s="22" t="e">
        <f t="shared" si="112"/>
        <v>#NUM!</v>
      </c>
      <c r="AM140" s="60" t="e">
        <f t="shared" si="113"/>
        <v>#NUM!</v>
      </c>
      <c r="AN140" s="60">
        <f ca="1">AVERAGE(OFFSET($AM$3,0,0,'Données projet'!$E$10+1,1))-AVERAGE(OFFSET($H$3,0,0,'Données projet'!$E$10+1,1))</f>
        <v>189.8516574130017</v>
      </c>
      <c r="AO140" s="60">
        <f t="shared" si="144"/>
        <v>191.91100863555891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1.7074435814638498</v>
      </c>
      <c r="AV140" s="23">
        <f>EXP(-LN(2)/25)*AV139+(1-EXP(-LN(2)/25))/(LN(2)/25)*Calculateur!AQ140*Calculateur!AS140*VLOOKUP('Données projet'!$B$10,Paramètres!$A$1:$I$89,3,0)*0.475*44/12</f>
        <v>0.92941915931724772</v>
      </c>
      <c r="AW140" s="23">
        <f>EXP(-LN(2)/2)*AW139+(1-EXP(-LN(2)/2))/(LN(2)/2)*AQ140*AT140*VLOOKUP('Données projet'!$B$10,Paramètres!$A$1:$I$89,3,0)*0.475*44/12</f>
        <v>4.7447166710832937E-16</v>
      </c>
      <c r="AX140" s="23">
        <f t="shared" si="114"/>
        <v>2.6368627407810981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-5.1159076974727213E-13</v>
      </c>
      <c r="BE140" s="14">
        <f>BD140*VLOOKUP('Données projet'!$B$11,Paramètres!$A$1:$I$89,3,0)*VLOOKUP('Données projet'!$B$11,Paramètres!$A$1:$I$89,5,0)</f>
        <v>-5.3471467253984886E-13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373.7520752235389</v>
      </c>
      <c r="BJ140" s="60">
        <f t="shared" si="146"/>
        <v>205.19966474305761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-6.2527760746888816E-13</v>
      </c>
      <c r="BZ140" s="14">
        <f>BY140*VLOOKUP('Données projet'!$B$12,Paramètres!$A$1:$I$89,3,0)*VLOOKUP('Données projet'!$B$12,Paramètres!$A$1:$I$89,5,0)</f>
        <v>-2.9262992029543964E-13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141.31558705818316</v>
      </c>
      <c r="CE140" s="60">
        <f t="shared" si="148"/>
        <v>67.142010893211364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2.7</v>
      </c>
      <c r="CT140" s="13">
        <f>IF('Données projet'!$A$140&gt;35,CT139+CS140-DB139,IF(A140&lt;'Données projet'!$A$140,$CQ$205^A140,IF(A140='Données projet'!$A$140,'Données projet'!$B$140,CT139+CS140-DB139)))</f>
        <v>287.8999999999993</v>
      </c>
      <c r="CU140" s="18">
        <f>CT140*VLOOKUP('Données projet'!$B$13,Paramètres!$A$1:$I$89,3,0)*VLOOKUP('Données projet'!$B$13,Paramètres!$A$1:$I$89,5,0)</f>
        <v>251.50943999999942</v>
      </c>
      <c r="CV140" s="14">
        <f t="shared" si="149"/>
        <v>60.909051384576422</v>
      </c>
      <c r="CW140" s="22">
        <f t="shared" si="121"/>
        <v>544.12887249480286</v>
      </c>
      <c r="CX140" s="60">
        <f t="shared" si="122"/>
        <v>837.46220582813612</v>
      </c>
      <c r="CY140" s="60">
        <f ca="1">AVERAGE(OFFSET($CX$3,0,0,'Données projet'!$E$13+1,1))-AVERAGE(OFFSET($H$3,0,0,'Données projet'!$E$13+1,1))</f>
        <v>281.8501448773884</v>
      </c>
      <c r="CZ140" s="60">
        <f t="shared" si="150"/>
        <v>161.7340631691518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2.7</v>
      </c>
      <c r="DO140" s="13">
        <f>IF('Données projet'!$A$166&gt;35,DO139+DN140-DW139,IF(A140&lt;'Données projet'!$A$166,$DL$205^A140,IF(A140='Données projet'!$A$166,'Données projet'!$B$166,DO139+DN140-DW139)))</f>
        <v>287.8999999999993</v>
      </c>
      <c r="DP140" s="18">
        <f>DO140*VLOOKUP('Données projet'!$B$14,Paramètres!$A$1:$I$89,3,0)*VLOOKUP('Données projet'!$B$14,Paramètres!$A$1:$I$89,5,0)</f>
        <v>260.49191999999937</v>
      </c>
      <c r="DQ140" s="14">
        <f t="shared" si="151"/>
        <v>62.827223883029681</v>
      </c>
      <c r="DR140" s="22">
        <f t="shared" si="124"/>
        <v>563.11417559627546</v>
      </c>
      <c r="DS140" s="60">
        <f t="shared" si="125"/>
        <v>856.44750892960883</v>
      </c>
      <c r="DT140" s="60">
        <f ca="1">AVERAGE(OFFSET($DS$3,0,0,'Données projet'!$E$14+1,1))-AVERAGE(OFFSET($H$3,0,0,'Données projet'!$E$14+1,1))</f>
        <v>295.19398489974265</v>
      </c>
      <c r="DU140" s="60">
        <f t="shared" si="152"/>
        <v>168.80998104712489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4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294.66839999999928</v>
      </c>
      <c r="P141" s="14">
        <f t="shared" si="141"/>
        <v>70.057591528661433</v>
      </c>
      <c r="Q141" s="22">
        <f t="shared" si="108"/>
        <v>635.23110191241733</v>
      </c>
      <c r="R141" s="60">
        <f t="shared" si="109"/>
        <v>928.5644352457507</v>
      </c>
      <c r="S141" s="60">
        <f ca="1">AVERAGE(OFFSET($R$3,0,0,'Données projet'!$E$9+1,1))-AVERAGE(OFFSET($H$3,0,0,'Données projet'!$E$9+1,1))</f>
        <v>341.82426415364569</v>
      </c>
      <c r="T141" s="60">
        <f t="shared" si="142"/>
        <v>193.53376539568887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-2.8421709430404007E-13</v>
      </c>
      <c r="AJ141" s="14">
        <f>AI141*VLOOKUP('Données projet'!$B$10,Paramètres!$A$1:$I$89,3,0)*VLOOKUP('Données projet'!$B$10,Paramètres!$A$1:$I$89,5,0)</f>
        <v>-1.69961822393816E-13</v>
      </c>
      <c r="AK141" s="14" t="e">
        <f t="shared" si="143"/>
        <v>#NUM!</v>
      </c>
      <c r="AL141" s="22" t="e">
        <f t="shared" si="112"/>
        <v>#NUM!</v>
      </c>
      <c r="AM141" s="60" t="e">
        <f t="shared" si="113"/>
        <v>#NUM!</v>
      </c>
      <c r="AN141" s="60">
        <f ca="1">AVERAGE(OFFSET($AM$3,0,0,'Données projet'!$E$10+1,1))-AVERAGE(OFFSET($H$3,0,0,'Données projet'!$E$10+1,1))</f>
        <v>189.8516574130017</v>
      </c>
      <c r="AO141" s="60">
        <f t="shared" si="144"/>
        <v>191.91100863555891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1.6739616542690949</v>
      </c>
      <c r="AV141" s="23">
        <f>EXP(-LN(2)/25)*AV140+(1-EXP(-LN(2)/25))/(LN(2)/25)*Calculateur!AQ141*Calculateur!AS141*VLOOKUP('Données projet'!$B$10,Paramètres!$A$1:$I$89,3,0)*0.475*44/12</f>
        <v>0.90400414352968816</v>
      </c>
      <c r="AW141" s="23">
        <f>EXP(-LN(2)/2)*AW140+(1-EXP(-LN(2)/2))/(LN(2)/2)*AQ141*AT141*VLOOKUP('Données projet'!$B$10,Paramètres!$A$1:$I$89,3,0)*0.475*44/12</f>
        <v>3.3550213329318587E-16</v>
      </c>
      <c r="AX141" s="23">
        <f t="shared" si="114"/>
        <v>2.5779657977987838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-5.1159076974727213E-13</v>
      </c>
      <c r="BE141" s="14">
        <f>BD141*VLOOKUP('Données projet'!$B$11,Paramètres!$A$1:$I$89,3,0)*VLOOKUP('Données projet'!$B$11,Paramètres!$A$1:$I$89,5,0)</f>
        <v>-5.3471467253984886E-13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373.7520752235389</v>
      </c>
      <c r="BJ141" s="60">
        <f t="shared" si="146"/>
        <v>205.19966474305761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-6.2527760746888816E-13</v>
      </c>
      <c r="BZ141" s="14">
        <f>BY141*VLOOKUP('Données projet'!$B$12,Paramètres!$A$1:$I$89,3,0)*VLOOKUP('Données projet'!$B$12,Paramètres!$A$1:$I$89,5,0)</f>
        <v>-2.9262992029543964E-13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141.31558705818316</v>
      </c>
      <c r="CE141" s="60">
        <f t="shared" si="148"/>
        <v>67.142010893211364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2.7</v>
      </c>
      <c r="CT141" s="13">
        <f>IF('Données projet'!$A$140&gt;35,CT140+CS141-DB140,IF(A141&lt;'Données projet'!$A$140,$CQ$205^A141,IF(A141='Données projet'!$A$140,'Données projet'!$B$140,CT140+CS141-DB140)))</f>
        <v>290.59999999999928</v>
      </c>
      <c r="CU141" s="18">
        <f>CT141*VLOOKUP('Données projet'!$B$13,Paramètres!$A$1:$I$89,3,0)*VLOOKUP('Données projet'!$B$13,Paramètres!$A$1:$I$89,5,0)</f>
        <v>253.86815999999942</v>
      </c>
      <c r="CV141" s="14">
        <f t="shared" si="149"/>
        <v>61.413507460076787</v>
      </c>
      <c r="CW141" s="22">
        <f t="shared" si="121"/>
        <v>549.1155708262994</v>
      </c>
      <c r="CX141" s="60">
        <f t="shared" si="122"/>
        <v>842.44890415963278</v>
      </c>
      <c r="CY141" s="60">
        <f ca="1">AVERAGE(OFFSET($CX$3,0,0,'Données projet'!$E$13+1,1))-AVERAGE(OFFSET($H$3,0,0,'Données projet'!$E$13+1,1))</f>
        <v>281.8501448773884</v>
      </c>
      <c r="CZ141" s="60">
        <f t="shared" si="150"/>
        <v>161.7340631691518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2.7</v>
      </c>
      <c r="DO141" s="13">
        <f>IF('Données projet'!$A$166&gt;35,DO140+DN141-DW140,IF(A141&lt;'Données projet'!$A$166,$DL$205^A141,IF(A141='Données projet'!$A$166,'Données projet'!$B$166,DO140+DN141-DW140)))</f>
        <v>290.59999999999928</v>
      </c>
      <c r="DP141" s="18">
        <f>DO141*VLOOKUP('Données projet'!$B$14,Paramètres!$A$1:$I$89,3,0)*VLOOKUP('Données projet'!$B$14,Paramètres!$A$1:$I$89,5,0)</f>
        <v>262.93487999999934</v>
      </c>
      <c r="DQ141" s="14">
        <f t="shared" si="151"/>
        <v>63.347566493432652</v>
      </c>
      <c r="DR141" s="22">
        <f t="shared" si="124"/>
        <v>568.27526097606062</v>
      </c>
      <c r="DS141" s="60">
        <f t="shared" si="125"/>
        <v>861.60859430939399</v>
      </c>
      <c r="DT141" s="60">
        <f ca="1">AVERAGE(OFFSET($DS$3,0,0,'Données projet'!$E$14+1,1))-AVERAGE(OFFSET($H$3,0,0,'Données projet'!$E$14+1,1))</f>
        <v>295.19398489974265</v>
      </c>
      <c r="DU141" s="60">
        <f t="shared" si="152"/>
        <v>168.80998104712489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4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297.40619999999927</v>
      </c>
      <c r="P142" s="14">
        <f t="shared" si="141"/>
        <v>70.632428863759543</v>
      </c>
      <c r="Q142" s="22">
        <f t="shared" si="108"/>
        <v>641.0006119377133</v>
      </c>
      <c r="R142" s="60">
        <f t="shared" si="109"/>
        <v>934.33394527104656</v>
      </c>
      <c r="S142" s="60">
        <f ca="1">AVERAGE(OFFSET($R$3,0,0,'Données projet'!$E$9+1,1))-AVERAGE(OFFSET($H$3,0,0,'Données projet'!$E$9+1,1))</f>
        <v>341.82426415364569</v>
      </c>
      <c r="T142" s="60">
        <f t="shared" si="142"/>
        <v>193.53376539568887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-2.8421709430404007E-13</v>
      </c>
      <c r="AJ142" s="14">
        <f>AI142*VLOOKUP('Données projet'!$B$10,Paramètres!$A$1:$I$89,3,0)*VLOOKUP('Données projet'!$B$10,Paramètres!$A$1:$I$89,5,0)</f>
        <v>-1.69961822393816E-13</v>
      </c>
      <c r="AK142" s="14" t="e">
        <f t="shared" si="143"/>
        <v>#NUM!</v>
      </c>
      <c r="AL142" s="22" t="e">
        <f t="shared" si="112"/>
        <v>#NUM!</v>
      </c>
      <c r="AM142" s="60" t="e">
        <f t="shared" si="113"/>
        <v>#NUM!</v>
      </c>
      <c r="AN142" s="60">
        <f ca="1">AVERAGE(OFFSET($AM$3,0,0,'Données projet'!$E$10+1,1))-AVERAGE(OFFSET($H$3,0,0,'Données projet'!$E$10+1,1))</f>
        <v>189.8516574130017</v>
      </c>
      <c r="AO142" s="60">
        <f t="shared" si="144"/>
        <v>191.91100863555891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1.6411362872446702</v>
      </c>
      <c r="AV142" s="23">
        <f>EXP(-LN(2)/25)*AV141+(1-EXP(-LN(2)/25))/(LN(2)/25)*Calculateur!AQ142*Calculateur!AS142*VLOOKUP('Données projet'!$B$10,Paramètres!$A$1:$I$89,3,0)*0.475*44/12</f>
        <v>0.87928410268535706</v>
      </c>
      <c r="AW142" s="23">
        <f>EXP(-LN(2)/2)*AW141+(1-EXP(-LN(2)/2))/(LN(2)/2)*AQ142*AT142*VLOOKUP('Données projet'!$B$10,Paramètres!$A$1:$I$89,3,0)*0.475*44/12</f>
        <v>2.3723583355416468E-16</v>
      </c>
      <c r="AX142" s="23">
        <f t="shared" si="114"/>
        <v>2.5204203899300279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-5.1159076974727213E-13</v>
      </c>
      <c r="BE142" s="14">
        <f>BD142*VLOOKUP('Données projet'!$B$11,Paramètres!$A$1:$I$89,3,0)*VLOOKUP('Données projet'!$B$11,Paramètres!$A$1:$I$89,5,0)</f>
        <v>-5.3471467253984886E-13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373.7520752235389</v>
      </c>
      <c r="BJ142" s="60">
        <f t="shared" si="146"/>
        <v>205.19966474305761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-6.2527760746888816E-13</v>
      </c>
      <c r="BZ142" s="14">
        <f>BY142*VLOOKUP('Données projet'!$B$12,Paramètres!$A$1:$I$89,3,0)*VLOOKUP('Données projet'!$B$12,Paramètres!$A$1:$I$89,5,0)</f>
        <v>-2.9262992029543964E-13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141.31558705818316</v>
      </c>
      <c r="CE142" s="60">
        <f t="shared" si="148"/>
        <v>67.142010893211364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2.7</v>
      </c>
      <c r="CT142" s="13">
        <f>IF('Données projet'!$A$140&gt;35,CT141+CS142-DB141,IF(A142&lt;'Données projet'!$A$140,$CQ$205^A142,IF(A142='Données projet'!$A$140,'Données projet'!$B$140,CT141+CS142-DB141)))</f>
        <v>293.29999999999927</v>
      </c>
      <c r="CU142" s="18">
        <f>CT142*VLOOKUP('Données projet'!$B$13,Paramètres!$A$1:$I$89,3,0)*VLOOKUP('Données projet'!$B$13,Paramètres!$A$1:$I$89,5,0)</f>
        <v>256.22687999999943</v>
      </c>
      <c r="CV142" s="14">
        <f t="shared" si="149"/>
        <v>61.917418259707119</v>
      </c>
      <c r="CW142" s="22">
        <f t="shared" si="121"/>
        <v>554.10131946898889</v>
      </c>
      <c r="CX142" s="60">
        <f t="shared" si="122"/>
        <v>847.43465280232226</v>
      </c>
      <c r="CY142" s="60">
        <f ca="1">AVERAGE(OFFSET($CX$3,0,0,'Données projet'!$E$13+1,1))-AVERAGE(OFFSET($H$3,0,0,'Données projet'!$E$13+1,1))</f>
        <v>281.8501448773884</v>
      </c>
      <c r="CZ142" s="60">
        <f t="shared" si="150"/>
        <v>161.7340631691518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2.7</v>
      </c>
      <c r="DO142" s="13">
        <f>IF('Données projet'!$A$166&gt;35,DO141+DN142-DW141,IF(A142&lt;'Données projet'!$A$166,$DL$205^A142,IF(A142='Données projet'!$A$166,'Données projet'!$B$166,DO141+DN142-DW141)))</f>
        <v>293.29999999999927</v>
      </c>
      <c r="DP142" s="18">
        <f>DO142*VLOOKUP('Données projet'!$B$14,Paramètres!$A$1:$I$89,3,0)*VLOOKUP('Données projet'!$B$14,Paramètres!$A$1:$I$89,5,0)</f>
        <v>265.37783999999937</v>
      </c>
      <c r="DQ142" s="14">
        <f t="shared" si="151"/>
        <v>63.867346655917089</v>
      </c>
      <c r="DR142" s="22">
        <f t="shared" si="124"/>
        <v>573.43536675905443</v>
      </c>
      <c r="DS142" s="60">
        <f t="shared" si="125"/>
        <v>866.76870009238769</v>
      </c>
      <c r="DT142" s="60">
        <f ca="1">AVERAGE(OFFSET($DS$3,0,0,'Données projet'!$E$14+1,1))-AVERAGE(OFFSET($H$3,0,0,'Données projet'!$E$14+1,1))</f>
        <v>295.19398489974265</v>
      </c>
      <c r="DU142" s="60">
        <f t="shared" si="152"/>
        <v>168.80998104712489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4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300.14399999999927</v>
      </c>
      <c r="P143" s="14">
        <f t="shared" si="141"/>
        <v>71.206650563609728</v>
      </c>
      <c r="Q143" s="22">
        <f t="shared" si="108"/>
        <v>646.76904973161891</v>
      </c>
      <c r="R143" s="60">
        <f t="shared" si="109"/>
        <v>940.10238306495216</v>
      </c>
      <c r="S143" s="60">
        <f ca="1">AVERAGE(OFFSET($R$3,0,0,'Données projet'!$E$9+1,1))-AVERAGE(OFFSET($H$3,0,0,'Données projet'!$E$9+1,1))</f>
        <v>341.82426415364569</v>
      </c>
      <c r="T143" s="60">
        <f t="shared" si="142"/>
        <v>193.53376539568887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-2.8421709430404007E-13</v>
      </c>
      <c r="AJ143" s="14">
        <f>AI143*VLOOKUP('Données projet'!$B$10,Paramètres!$A$1:$I$89,3,0)*VLOOKUP('Données projet'!$B$10,Paramètres!$A$1:$I$89,5,0)</f>
        <v>-1.69961822393816E-13</v>
      </c>
      <c r="AK143" s="14" t="e">
        <f t="shared" si="143"/>
        <v>#NUM!</v>
      </c>
      <c r="AL143" s="22" t="e">
        <f t="shared" si="112"/>
        <v>#NUM!</v>
      </c>
      <c r="AM143" s="60" t="e">
        <f t="shared" si="113"/>
        <v>#NUM!</v>
      </c>
      <c r="AN143" s="60">
        <f ca="1">AVERAGE(OFFSET($AM$3,0,0,'Données projet'!$E$10+1,1))-AVERAGE(OFFSET($H$3,0,0,'Données projet'!$E$10+1,1))</f>
        <v>189.8516574130017</v>
      </c>
      <c r="AO143" s="60">
        <f t="shared" si="144"/>
        <v>191.91100863555891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1.6089546056460975</v>
      </c>
      <c r="AV143" s="23">
        <f>EXP(-LN(2)/25)*AV142+(1-EXP(-LN(2)/25))/(LN(2)/25)*Calculateur!AQ143*Calculateur!AS143*VLOOKUP('Données projet'!$B$10,Paramètres!$A$1:$I$89,3,0)*0.475*44/12</f>
        <v>0.85524003265788462</v>
      </c>
      <c r="AW143" s="23">
        <f>EXP(-LN(2)/2)*AW142+(1-EXP(-LN(2)/2))/(LN(2)/2)*AQ143*AT143*VLOOKUP('Données projet'!$B$10,Paramètres!$A$1:$I$89,3,0)*0.475*44/12</f>
        <v>1.6775106664659294E-16</v>
      </c>
      <c r="AX143" s="23">
        <f t="shared" si="114"/>
        <v>2.4641946383039821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-5.1159076974727213E-13</v>
      </c>
      <c r="BE143" s="14">
        <f>BD143*VLOOKUP('Données projet'!$B$11,Paramètres!$A$1:$I$89,3,0)*VLOOKUP('Données projet'!$B$11,Paramètres!$A$1:$I$89,5,0)</f>
        <v>-5.3471467253984886E-13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373.7520752235389</v>
      </c>
      <c r="BJ143" s="60">
        <f t="shared" si="146"/>
        <v>205.19966474305761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-6.2527760746888816E-13</v>
      </c>
      <c r="BZ143" s="14">
        <f>BY143*VLOOKUP('Données projet'!$B$12,Paramètres!$A$1:$I$89,3,0)*VLOOKUP('Données projet'!$B$12,Paramètres!$A$1:$I$89,5,0)</f>
        <v>-2.9262992029543964E-13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141.31558705818316</v>
      </c>
      <c r="CE143" s="60">
        <f t="shared" si="148"/>
        <v>67.142010893211364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296</v>
      </c>
      <c r="CR143" s="13">
        <f>VLOOKUP(A143,'Données projet'!$A$139:$I$159,9,0)</f>
        <v>2.7</v>
      </c>
      <c r="CS143" s="13">
        <f t="array" ref="CS143">INDEX(CR:CR,MIN(IF(ISNUMBER(CR143:CR339),ROW(CR143:CR339),"")))</f>
        <v>2.7</v>
      </c>
      <c r="CT143" s="13">
        <f>IF('Données projet'!$A$140&gt;35,CT142+CS143-DB142,IF(A143&lt;'Données projet'!$A$140,$CQ$205^A143,IF(A143='Données projet'!$A$140,'Données projet'!$B$140,CT142+CS143-DB142)))</f>
        <v>295.99999999999926</v>
      </c>
      <c r="CU143" s="18">
        <f>CT143*VLOOKUP('Données projet'!$B$13,Paramètres!$A$1:$I$89,3,0)*VLOOKUP('Données projet'!$B$13,Paramètres!$A$1:$I$89,5,0)</f>
        <v>258.58559999999937</v>
      </c>
      <c r="CV143" s="14">
        <f t="shared" si="149"/>
        <v>62.420789384491734</v>
      </c>
      <c r="CW143" s="22">
        <f t="shared" si="121"/>
        <v>559.0861281779886</v>
      </c>
      <c r="CX143" s="60">
        <f t="shared" si="122"/>
        <v>852.41946151132197</v>
      </c>
      <c r="CY143" s="60">
        <f ca="1">AVERAGE(OFFSET($CX$3,0,0,'Données projet'!$E$13+1,1))-AVERAGE(OFFSET($H$3,0,0,'Données projet'!$E$13+1,1))</f>
        <v>281.8501448773884</v>
      </c>
      <c r="CZ143" s="60">
        <f t="shared" si="150"/>
        <v>161.7340631691518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27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296</v>
      </c>
      <c r="DM143" s="13">
        <f>VLOOKUP(A143,'Données projet'!$A$165:$I$185,9,0)</f>
        <v>2.7</v>
      </c>
      <c r="DN143" s="13">
        <f t="array" ref="DN143">INDEX(DM:DM,MIN(IF(ISNUMBER(DM143:DM339),ROW(DM143:DM339),"")))</f>
        <v>2.7</v>
      </c>
      <c r="DO143" s="13">
        <f>IF('Données projet'!$A$166&gt;35,DO142+DN143-DW142,IF(A143&lt;'Données projet'!$A$166,$DL$205^A143,IF(A143='Données projet'!$A$166,'Données projet'!$B$166,DO142+DN143-DW142)))</f>
        <v>295.99999999999926</v>
      </c>
      <c r="DP143" s="18">
        <f>DO143*VLOOKUP('Données projet'!$B$14,Paramètres!$A$1:$I$89,3,0)*VLOOKUP('Données projet'!$B$14,Paramètres!$A$1:$I$89,5,0)</f>
        <v>267.82079999999934</v>
      </c>
      <c r="DQ143" s="14">
        <f t="shared" si="151"/>
        <v>64.386570147897245</v>
      </c>
      <c r="DR143" s="22">
        <f t="shared" si="124"/>
        <v>578.59450300758647</v>
      </c>
      <c r="DS143" s="60">
        <f t="shared" si="125"/>
        <v>871.92783634091984</v>
      </c>
      <c r="DT143" s="60">
        <f ca="1">AVERAGE(OFFSET($DS$3,0,0,'Données projet'!$E$14+1,1))-AVERAGE(OFFSET($H$3,0,0,'Données projet'!$E$14+1,1))</f>
        <v>295.19398489974265</v>
      </c>
      <c r="DU143" s="60">
        <f t="shared" si="152"/>
        <v>168.80998104712489</v>
      </c>
      <c r="DV143" s="16">
        <f>IF(ISNA(VLOOKUP(A143,'Données projet'!$A$165:$I$185,3,0)),0,VLOOKUP(A143,'Données projet'!$A$165:$I$185,3,0))</f>
        <v>12</v>
      </c>
      <c r="DW143" s="16">
        <f>IF(ISNA(VLOOKUP(A143,'Données projet'!$A$165:$I$185,4,0)),0,VLOOKUP(A143,'Données projet'!$A$165:$I$185,4,0))</f>
        <v>27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4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275.19959999999924</v>
      </c>
      <c r="P144" s="14">
        <f t="shared" si="141"/>
        <v>65.951527620662489</v>
      </c>
      <c r="Q144" s="22">
        <f t="shared" si="108"/>
        <v>594.17154727265245</v>
      </c>
      <c r="R144" s="60">
        <f t="shared" si="109"/>
        <v>887.50488060598582</v>
      </c>
      <c r="S144" s="60">
        <f ca="1">AVERAGE(OFFSET($R$3,0,0,'Données projet'!$E$9+1,1))-AVERAGE(OFFSET($H$3,0,0,'Données projet'!$E$9+1,1))</f>
        <v>341.82426415364569</v>
      </c>
      <c r="T144" s="60">
        <f t="shared" si="142"/>
        <v>193.53376539568887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-2.8421709430404007E-13</v>
      </c>
      <c r="AJ144" s="14">
        <f>AI144*VLOOKUP('Données projet'!$B$10,Paramètres!$A$1:$I$89,3,0)*VLOOKUP('Données projet'!$B$10,Paramètres!$A$1:$I$89,5,0)</f>
        <v>-1.69961822393816E-13</v>
      </c>
      <c r="AK144" s="14" t="e">
        <f t="shared" si="143"/>
        <v>#NUM!</v>
      </c>
      <c r="AL144" s="22" t="e">
        <f t="shared" si="112"/>
        <v>#NUM!</v>
      </c>
      <c r="AM144" s="60" t="e">
        <f t="shared" si="113"/>
        <v>#NUM!</v>
      </c>
      <c r="AN144" s="60">
        <f ca="1">AVERAGE(OFFSET($AM$3,0,0,'Données projet'!$E$10+1,1))-AVERAGE(OFFSET($H$3,0,0,'Données projet'!$E$10+1,1))</f>
        <v>189.8516574130017</v>
      </c>
      <c r="AO144" s="60">
        <f t="shared" si="144"/>
        <v>191.91100863555891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1.5774039871947851</v>
      </c>
      <c r="AV144" s="23">
        <f>EXP(-LN(2)/25)*AV143+(1-EXP(-LN(2)/25))/(LN(2)/25)*Calculateur!AQ144*Calculateur!AS144*VLOOKUP('Données projet'!$B$10,Paramètres!$A$1:$I$89,3,0)*0.475*44/12</f>
        <v>0.83185344898973612</v>
      </c>
      <c r="AW144" s="23">
        <f>EXP(-LN(2)/2)*AW143+(1-EXP(-LN(2)/2))/(LN(2)/2)*AQ144*AT144*VLOOKUP('Données projet'!$B$10,Paramètres!$A$1:$I$89,3,0)*0.475*44/12</f>
        <v>1.1861791677708234E-16</v>
      </c>
      <c r="AX144" s="23">
        <f t="shared" si="114"/>
        <v>2.4092574361845212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-5.1159076974727213E-13</v>
      </c>
      <c r="BE144" s="14">
        <f>BD144*VLOOKUP('Données projet'!$B$11,Paramètres!$A$1:$I$89,3,0)*VLOOKUP('Données projet'!$B$11,Paramètres!$A$1:$I$89,5,0)</f>
        <v>-5.3471467253984886E-13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373.7520752235389</v>
      </c>
      <c r="BJ144" s="60">
        <f t="shared" si="146"/>
        <v>205.19966474305761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-6.2527760746888816E-13</v>
      </c>
      <c r="BZ144" s="14">
        <f>BY144*VLOOKUP('Données projet'!$B$12,Paramètres!$A$1:$I$89,3,0)*VLOOKUP('Données projet'!$B$12,Paramètres!$A$1:$I$89,5,0)</f>
        <v>-2.9262992029543964E-13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141.31558705818316</v>
      </c>
      <c r="CE144" s="60">
        <f t="shared" si="148"/>
        <v>67.142010893211364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</v>
      </c>
      <c r="CT144" s="13">
        <f>IF('Données projet'!$A$140&gt;35,CT143+CS144-DB143,IF(A144&lt;'Données projet'!$A$140,$CQ$205^A144,IF(A144='Données projet'!$A$140,'Données projet'!$B$140,CT143+CS144-DB143)))</f>
        <v>271.39999999999924</v>
      </c>
      <c r="CU144" s="18">
        <f>CT144*VLOOKUP('Données projet'!$B$13,Paramètres!$A$1:$I$89,3,0)*VLOOKUP('Données projet'!$B$13,Paramètres!$A$1:$I$89,5,0)</f>
        <v>237.09503999999936</v>
      </c>
      <c r="CV144" s="14">
        <f t="shared" si="149"/>
        <v>57.814071896519344</v>
      </c>
      <c r="CW144" s="22">
        <f t="shared" si="121"/>
        <v>513.63336988643675</v>
      </c>
      <c r="CX144" s="60">
        <f t="shared" si="122"/>
        <v>806.96670321977012</v>
      </c>
      <c r="CY144" s="60">
        <f ca="1">AVERAGE(OFFSET($CX$3,0,0,'Données projet'!$E$13+1,1))-AVERAGE(OFFSET($H$3,0,0,'Données projet'!$E$13+1,1))</f>
        <v>281.8501448773884</v>
      </c>
      <c r="CZ144" s="60">
        <f t="shared" si="150"/>
        <v>161.7340631691518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2.4</v>
      </c>
      <c r="DO144" s="13">
        <f>IF('Données projet'!$A$166&gt;35,DO143+DN144-DW143,IF(A144&lt;'Données projet'!$A$166,$DL$205^A144,IF(A144='Données projet'!$A$166,'Données projet'!$B$166,DO143+DN144-DW143)))</f>
        <v>271.39999999999924</v>
      </c>
      <c r="DP144" s="18">
        <f>DO144*VLOOKUP('Données projet'!$B$14,Paramètres!$A$1:$I$89,3,0)*VLOOKUP('Données projet'!$B$14,Paramètres!$A$1:$I$89,5,0)</f>
        <v>245.5627199999993</v>
      </c>
      <c r="DQ144" s="14">
        <f t="shared" si="151"/>
        <v>59.634776048276741</v>
      </c>
      <c r="DR144" s="22">
        <f t="shared" si="124"/>
        <v>531.55230561741405</v>
      </c>
      <c r="DS144" s="60">
        <f t="shared" si="125"/>
        <v>824.88563895074731</v>
      </c>
      <c r="DT144" s="60">
        <f ca="1">AVERAGE(OFFSET($DS$3,0,0,'Données projet'!$E$14+1,1))-AVERAGE(OFFSET($H$3,0,0,'Données projet'!$E$14+1,1))</f>
        <v>295.19398489974265</v>
      </c>
      <c r="DU144" s="60">
        <f t="shared" si="152"/>
        <v>168.80998104712489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4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277.63319999999919</v>
      </c>
      <c r="P145" s="14">
        <f t="shared" si="141"/>
        <v>66.466589162975524</v>
      </c>
      <c r="Q145" s="22">
        <f t="shared" si="108"/>
        <v>599.30713279218094</v>
      </c>
      <c r="R145" s="60">
        <f t="shared" si="109"/>
        <v>892.64046612551419</v>
      </c>
      <c r="S145" s="60">
        <f ca="1">AVERAGE(OFFSET($R$3,0,0,'Données projet'!$E$9+1,1))-AVERAGE(OFFSET($H$3,0,0,'Données projet'!$E$9+1,1))</f>
        <v>341.82426415364569</v>
      </c>
      <c r="T145" s="60">
        <f t="shared" si="142"/>
        <v>193.53376539568887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-2.8421709430404007E-13</v>
      </c>
      <c r="AJ145" s="14">
        <f>AI145*VLOOKUP('Données projet'!$B$10,Paramètres!$A$1:$I$89,3,0)*VLOOKUP('Données projet'!$B$10,Paramètres!$A$1:$I$89,5,0)</f>
        <v>-1.69961822393816E-13</v>
      </c>
      <c r="AK145" s="14" t="e">
        <f t="shared" si="143"/>
        <v>#NUM!</v>
      </c>
      <c r="AL145" s="22" t="e">
        <f t="shared" si="112"/>
        <v>#NUM!</v>
      </c>
      <c r="AM145" s="60" t="e">
        <f t="shared" si="113"/>
        <v>#NUM!</v>
      </c>
      <c r="AN145" s="60">
        <f ca="1">AVERAGE(OFFSET($AM$3,0,0,'Données projet'!$E$10+1,1))-AVERAGE(OFFSET($H$3,0,0,'Données projet'!$E$10+1,1))</f>
        <v>189.8516574130017</v>
      </c>
      <c r="AO145" s="60">
        <f t="shared" si="144"/>
        <v>191.91100863555891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1.546472057127326</v>
      </c>
      <c r="AV145" s="23">
        <f>EXP(-LN(2)/25)*AV144+(1-EXP(-LN(2)/25))/(LN(2)/25)*Calculateur!AQ145*Calculateur!AS145*VLOOKUP('Données projet'!$B$10,Paramètres!$A$1:$I$89,3,0)*0.475*44/12</f>
        <v>0.80910637268184016</v>
      </c>
      <c r="AW145" s="23">
        <f>EXP(-LN(2)/2)*AW144+(1-EXP(-LN(2)/2))/(LN(2)/2)*AQ145*AT145*VLOOKUP('Données projet'!$B$10,Paramètres!$A$1:$I$89,3,0)*0.475*44/12</f>
        <v>8.3875533323296468E-17</v>
      </c>
      <c r="AX145" s="23">
        <f t="shared" si="114"/>
        <v>2.3555784298091664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-5.1159076974727213E-13</v>
      </c>
      <c r="BE145" s="14">
        <f>BD145*VLOOKUP('Données projet'!$B$11,Paramètres!$A$1:$I$89,3,0)*VLOOKUP('Données projet'!$B$11,Paramètres!$A$1:$I$89,5,0)</f>
        <v>-5.3471467253984886E-13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373.7520752235389</v>
      </c>
      <c r="BJ145" s="60">
        <f t="shared" si="146"/>
        <v>205.19966474305761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-6.2527760746888816E-13</v>
      </c>
      <c r="BZ145" s="14">
        <f>BY145*VLOOKUP('Données projet'!$B$12,Paramètres!$A$1:$I$89,3,0)*VLOOKUP('Données projet'!$B$12,Paramètres!$A$1:$I$89,5,0)</f>
        <v>-2.9262992029543964E-13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141.31558705818316</v>
      </c>
      <c r="CE145" s="60">
        <f t="shared" si="148"/>
        <v>67.142010893211364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</v>
      </c>
      <c r="CT145" s="13">
        <f>IF('Données projet'!$A$140&gt;35,CT144+CS145-DB144,IF(A145&lt;'Données projet'!$A$140,$CQ$205^A145,IF(A145='Données projet'!$A$140,'Données projet'!$B$140,CT144+CS145-DB144)))</f>
        <v>273.79999999999922</v>
      </c>
      <c r="CU145" s="18">
        <f>CT145*VLOOKUP('Données projet'!$B$13,Paramètres!$A$1:$I$89,3,0)*VLOOKUP('Données projet'!$B$13,Paramètres!$A$1:$I$89,5,0)</f>
        <v>239.19167999999934</v>
      </c>
      <c r="CV145" s="14">
        <f t="shared" si="149"/>
        <v>58.265582363565628</v>
      </c>
      <c r="CW145" s="22">
        <f t="shared" si="121"/>
        <v>518.0713986165423</v>
      </c>
      <c r="CX145" s="60">
        <f t="shared" si="122"/>
        <v>811.40473194987567</v>
      </c>
      <c r="CY145" s="60">
        <f ca="1">AVERAGE(OFFSET($CX$3,0,0,'Données projet'!$E$13+1,1))-AVERAGE(OFFSET($H$3,0,0,'Données projet'!$E$13+1,1))</f>
        <v>281.8501448773884</v>
      </c>
      <c r="CZ145" s="60">
        <f t="shared" si="150"/>
        <v>161.7340631691518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2.4</v>
      </c>
      <c r="DO145" s="13">
        <f>IF('Données projet'!$A$166&gt;35,DO144+DN145-DW144,IF(A145&lt;'Données projet'!$A$166,$DL$205^A145,IF(A145='Données projet'!$A$166,'Données projet'!$B$166,DO144+DN145-DW144)))</f>
        <v>273.79999999999922</v>
      </c>
      <c r="DP145" s="18">
        <f>DO145*VLOOKUP('Données projet'!$B$14,Paramètres!$A$1:$I$89,3,0)*VLOOKUP('Données projet'!$B$14,Paramètres!$A$1:$I$89,5,0)</f>
        <v>247.73423999999929</v>
      </c>
      <c r="DQ145" s="14">
        <f t="shared" si="151"/>
        <v>60.100505665694953</v>
      </c>
      <c r="DR145" s="22">
        <f t="shared" si="124"/>
        <v>536.14551536775082</v>
      </c>
      <c r="DS145" s="60">
        <f t="shared" si="125"/>
        <v>829.47884870108419</v>
      </c>
      <c r="DT145" s="60">
        <f ca="1">AVERAGE(OFFSET($DS$3,0,0,'Données projet'!$E$14+1,1))-AVERAGE(OFFSET($H$3,0,0,'Données projet'!$E$14+1,1))</f>
        <v>295.19398489974265</v>
      </c>
      <c r="DU145" s="60">
        <f t="shared" si="152"/>
        <v>168.80998104712489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4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280.0667999999992</v>
      </c>
      <c r="P146" s="14">
        <f t="shared" si="141"/>
        <v>66.981125445388756</v>
      </c>
      <c r="Q146" s="22">
        <f t="shared" si="108"/>
        <v>604.44180348405064</v>
      </c>
      <c r="R146" s="60">
        <f t="shared" si="109"/>
        <v>897.77513681738401</v>
      </c>
      <c r="S146" s="60">
        <f ca="1">AVERAGE(OFFSET($R$3,0,0,'Données projet'!$E$9+1,1))-AVERAGE(OFFSET($H$3,0,0,'Données projet'!$E$9+1,1))</f>
        <v>341.82426415364569</v>
      </c>
      <c r="T146" s="60">
        <f t="shared" si="142"/>
        <v>193.53376539568887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-2.8421709430404007E-13</v>
      </c>
      <c r="AJ146" s="14">
        <f>AI146*VLOOKUP('Données projet'!$B$10,Paramètres!$A$1:$I$89,3,0)*VLOOKUP('Données projet'!$B$10,Paramètres!$A$1:$I$89,5,0)</f>
        <v>-1.69961822393816E-13</v>
      </c>
      <c r="AK146" s="14" t="e">
        <f t="shared" si="143"/>
        <v>#NUM!</v>
      </c>
      <c r="AL146" s="22" t="e">
        <f t="shared" si="112"/>
        <v>#NUM!</v>
      </c>
      <c r="AM146" s="60" t="e">
        <f t="shared" si="113"/>
        <v>#NUM!</v>
      </c>
      <c r="AN146" s="60">
        <f ca="1">AVERAGE(OFFSET($AM$3,0,0,'Données projet'!$E$10+1,1))-AVERAGE(OFFSET($H$3,0,0,'Données projet'!$E$10+1,1))</f>
        <v>189.8516574130017</v>
      </c>
      <c r="AO146" s="60">
        <f t="shared" si="144"/>
        <v>191.91100863555891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1.5161466833418753</v>
      </c>
      <c r="AV146" s="23">
        <f>EXP(-LN(2)/25)*AV145+(1-EXP(-LN(2)/25))/(LN(2)/25)*Calculateur!AQ146*Calculateur!AS146*VLOOKUP('Données projet'!$B$10,Paramètres!$A$1:$I$89,3,0)*0.475*44/12</f>
        <v>0.78698131637180035</v>
      </c>
      <c r="AW146" s="23">
        <f>EXP(-LN(2)/2)*AW145+(1-EXP(-LN(2)/2))/(LN(2)/2)*AQ146*AT146*VLOOKUP('Données projet'!$B$10,Paramètres!$A$1:$I$89,3,0)*0.475*44/12</f>
        <v>5.9308958388541171E-17</v>
      </c>
      <c r="AX146" s="23">
        <f t="shared" si="114"/>
        <v>2.3031279997136758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-5.1159076974727213E-13</v>
      </c>
      <c r="BE146" s="14">
        <f>BD146*VLOOKUP('Données projet'!$B$11,Paramètres!$A$1:$I$89,3,0)*VLOOKUP('Données projet'!$B$11,Paramètres!$A$1:$I$89,5,0)</f>
        <v>-5.3471467253984886E-13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373.7520752235389</v>
      </c>
      <c r="BJ146" s="60">
        <f t="shared" si="146"/>
        <v>205.19966474305761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-6.2527760746888816E-13</v>
      </c>
      <c r="BZ146" s="14">
        <f>BY146*VLOOKUP('Données projet'!$B$12,Paramètres!$A$1:$I$89,3,0)*VLOOKUP('Données projet'!$B$12,Paramètres!$A$1:$I$89,5,0)</f>
        <v>-2.9262992029543964E-13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141.31558705818316</v>
      </c>
      <c r="CE146" s="60">
        <f t="shared" si="148"/>
        <v>67.142010893211364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</v>
      </c>
      <c r="CT146" s="13">
        <f>IF('Données projet'!$A$140&gt;35,CT145+CS146-DB145,IF(A146&lt;'Données projet'!$A$140,$CQ$205^A146,IF(A146='Données projet'!$A$140,'Données projet'!$B$140,CT145+CS146-DB145)))</f>
        <v>276.19999999999919</v>
      </c>
      <c r="CU146" s="18">
        <f>CT146*VLOOKUP('Données projet'!$B$13,Paramètres!$A$1:$I$89,3,0)*VLOOKUP('Données projet'!$B$13,Paramètres!$A$1:$I$89,5,0)</f>
        <v>241.28831999999935</v>
      </c>
      <c r="CV146" s="14">
        <f t="shared" si="149"/>
        <v>58.716632380115755</v>
      </c>
      <c r="CW146" s="22">
        <f t="shared" si="121"/>
        <v>522.50862539536718</v>
      </c>
      <c r="CX146" s="60">
        <f t="shared" si="122"/>
        <v>815.84195872870055</v>
      </c>
      <c r="CY146" s="60">
        <f ca="1">AVERAGE(OFFSET($CX$3,0,0,'Données projet'!$E$13+1,1))-AVERAGE(OFFSET($H$3,0,0,'Données projet'!$E$13+1,1))</f>
        <v>281.8501448773884</v>
      </c>
      <c r="CZ146" s="60">
        <f t="shared" si="150"/>
        <v>161.7340631691518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2.4</v>
      </c>
      <c r="DO146" s="13">
        <f>IF('Données projet'!$A$166&gt;35,DO145+DN146-DW145,IF(A146&lt;'Données projet'!$A$166,$DL$205^A146,IF(A146='Données projet'!$A$166,'Données projet'!$B$166,DO145+DN146-DW145)))</f>
        <v>276.19999999999919</v>
      </c>
      <c r="DP146" s="18">
        <f>DO146*VLOOKUP('Données projet'!$B$14,Paramètres!$A$1:$I$89,3,0)*VLOOKUP('Données projet'!$B$14,Paramètres!$A$1:$I$89,5,0)</f>
        <v>249.90575999999925</v>
      </c>
      <c r="DQ146" s="14">
        <f t="shared" si="151"/>
        <v>60.565760331923727</v>
      </c>
      <c r="DR146" s="22">
        <f t="shared" si="124"/>
        <v>540.73789791143247</v>
      </c>
      <c r="DS146" s="60">
        <f t="shared" si="125"/>
        <v>834.07123124476584</v>
      </c>
      <c r="DT146" s="60">
        <f ca="1">AVERAGE(OFFSET($DS$3,0,0,'Données projet'!$E$14+1,1))-AVERAGE(OFFSET($H$3,0,0,'Données projet'!$E$14+1,1))</f>
        <v>295.19398489974265</v>
      </c>
      <c r="DU146" s="60">
        <f t="shared" si="152"/>
        <v>168.80998104712489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4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282.50039999999916</v>
      </c>
      <c r="P147" s="14">
        <f t="shared" si="141"/>
        <v>67.495141560894254</v>
      </c>
      <c r="Q147" s="22">
        <f t="shared" si="108"/>
        <v>609.57556821855599</v>
      </c>
      <c r="R147" s="60">
        <f t="shared" si="109"/>
        <v>902.90890155188936</v>
      </c>
      <c r="S147" s="60">
        <f ca="1">AVERAGE(OFFSET($R$3,0,0,'Données projet'!$E$9+1,1))-AVERAGE(OFFSET($H$3,0,0,'Données projet'!$E$9+1,1))</f>
        <v>341.82426415364569</v>
      </c>
      <c r="T147" s="60">
        <f t="shared" si="142"/>
        <v>193.53376539568887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-2.8421709430404007E-13</v>
      </c>
      <c r="AJ147" s="14">
        <f>AI147*VLOOKUP('Données projet'!$B$10,Paramètres!$A$1:$I$89,3,0)*VLOOKUP('Données projet'!$B$10,Paramètres!$A$1:$I$89,5,0)</f>
        <v>-1.69961822393816E-13</v>
      </c>
      <c r="AK147" s="14" t="e">
        <f t="shared" si="143"/>
        <v>#NUM!</v>
      </c>
      <c r="AL147" s="22" t="e">
        <f t="shared" si="112"/>
        <v>#NUM!</v>
      </c>
      <c r="AM147" s="60" t="e">
        <f t="shared" si="113"/>
        <v>#NUM!</v>
      </c>
      <c r="AN147" s="60">
        <f ca="1">AVERAGE(OFFSET($AM$3,0,0,'Données projet'!$E$10+1,1))-AVERAGE(OFFSET($H$3,0,0,'Données projet'!$E$10+1,1))</f>
        <v>189.8516574130017</v>
      </c>
      <c r="AO147" s="60">
        <f t="shared" si="144"/>
        <v>191.91100863555891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1.4864159716397056</v>
      </c>
      <c r="AV147" s="23">
        <f>EXP(-LN(2)/25)*AV146+(1-EXP(-LN(2)/25))/(LN(2)/25)*Calculateur!AQ147*Calculateur!AS147*VLOOKUP('Données projet'!$B$10,Paramètres!$A$1:$I$89,3,0)*0.475*44/12</f>
        <v>0.76546127089006477</v>
      </c>
      <c r="AW147" s="23">
        <f>EXP(-LN(2)/2)*AW146+(1-EXP(-LN(2)/2))/(LN(2)/2)*AQ147*AT147*VLOOKUP('Données projet'!$B$10,Paramètres!$A$1:$I$89,3,0)*0.475*44/12</f>
        <v>4.1937766661648234E-17</v>
      </c>
      <c r="AX147" s="23">
        <f t="shared" si="114"/>
        <v>2.2518772425297704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-5.1159076974727213E-13</v>
      </c>
      <c r="BE147" s="14">
        <f>BD147*VLOOKUP('Données projet'!$B$11,Paramètres!$A$1:$I$89,3,0)*VLOOKUP('Données projet'!$B$11,Paramètres!$A$1:$I$89,5,0)</f>
        <v>-5.3471467253984886E-13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373.7520752235389</v>
      </c>
      <c r="BJ147" s="60">
        <f t="shared" si="146"/>
        <v>205.19966474305761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-6.2527760746888816E-13</v>
      </c>
      <c r="BZ147" s="14">
        <f>BY147*VLOOKUP('Données projet'!$B$12,Paramètres!$A$1:$I$89,3,0)*VLOOKUP('Données projet'!$B$12,Paramètres!$A$1:$I$89,5,0)</f>
        <v>-2.9262992029543964E-13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141.31558705818316</v>
      </c>
      <c r="CE147" s="60">
        <f t="shared" si="148"/>
        <v>67.142010893211364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</v>
      </c>
      <c r="CT147" s="13">
        <f>IF('Données projet'!$A$140&gt;35,CT146+CS147-DB146,IF(A147&lt;'Données projet'!$A$140,$CQ$205^A147,IF(A147='Données projet'!$A$140,'Données projet'!$B$140,CT146+CS147-DB146)))</f>
        <v>278.59999999999917</v>
      </c>
      <c r="CU147" s="18">
        <f>CT147*VLOOKUP('Données projet'!$B$13,Paramètres!$A$1:$I$89,3,0)*VLOOKUP('Données projet'!$B$13,Paramètres!$A$1:$I$89,5,0)</f>
        <v>243.3849599999993</v>
      </c>
      <c r="CV147" s="14">
        <f t="shared" si="149"/>
        <v>59.167226410760932</v>
      </c>
      <c r="CW147" s="22">
        <f t="shared" si="121"/>
        <v>526.94505799874071</v>
      </c>
      <c r="CX147" s="60">
        <f t="shared" si="122"/>
        <v>820.27839133207408</v>
      </c>
      <c r="CY147" s="60">
        <f ca="1">AVERAGE(OFFSET($CX$3,0,0,'Données projet'!$E$13+1,1))-AVERAGE(OFFSET($H$3,0,0,'Données projet'!$E$13+1,1))</f>
        <v>281.8501448773884</v>
      </c>
      <c r="CZ147" s="60">
        <f t="shared" si="150"/>
        <v>161.7340631691518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2.4</v>
      </c>
      <c r="DO147" s="13">
        <f>IF('Données projet'!$A$166&gt;35,DO146+DN147-DW146,IF(A147&lt;'Données projet'!$A$166,$DL$205^A147,IF(A147='Données projet'!$A$166,'Données projet'!$B$166,DO146+DN147-DW146)))</f>
        <v>278.59999999999917</v>
      </c>
      <c r="DP147" s="18">
        <f>DO147*VLOOKUP('Données projet'!$B$14,Paramètres!$A$1:$I$89,3,0)*VLOOKUP('Données projet'!$B$14,Paramètres!$A$1:$I$89,5,0)</f>
        <v>252.07727999999923</v>
      </c>
      <c r="DQ147" s="14">
        <f t="shared" si="151"/>
        <v>61.030544652154823</v>
      </c>
      <c r="DR147" s="22">
        <f t="shared" si="124"/>
        <v>545.32946126916829</v>
      </c>
      <c r="DS147" s="60">
        <f t="shared" si="125"/>
        <v>838.66279460250166</v>
      </c>
      <c r="DT147" s="60">
        <f ca="1">AVERAGE(OFFSET($DS$3,0,0,'Données projet'!$E$14+1,1))-AVERAGE(OFFSET($H$3,0,0,'Données projet'!$E$14+1,1))</f>
        <v>295.19398489974265</v>
      </c>
      <c r="DU147" s="60">
        <f t="shared" si="152"/>
        <v>168.80998104712489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4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284.93399999999917</v>
      </c>
      <c r="P148" s="14">
        <f t="shared" si="141"/>
        <v>68.008642509673109</v>
      </c>
      <c r="Q148" s="22">
        <f t="shared" si="108"/>
        <v>614.7084357043459</v>
      </c>
      <c r="R148" s="60">
        <f t="shared" si="109"/>
        <v>908.04176903767916</v>
      </c>
      <c r="S148" s="60">
        <f ca="1">AVERAGE(OFFSET($R$3,0,0,'Données projet'!$E$9+1,1))-AVERAGE(OFFSET($H$3,0,0,'Données projet'!$E$9+1,1))</f>
        <v>341.82426415364569</v>
      </c>
      <c r="T148" s="60">
        <f t="shared" si="142"/>
        <v>193.53376539568887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-2.8421709430404007E-13</v>
      </c>
      <c r="AJ148" s="14">
        <f>AI148*VLOOKUP('Données projet'!$B$10,Paramètres!$A$1:$I$89,3,0)*VLOOKUP('Données projet'!$B$10,Paramètres!$A$1:$I$89,5,0)</f>
        <v>-1.69961822393816E-13</v>
      </c>
      <c r="AK148" s="14" t="e">
        <f t="shared" si="143"/>
        <v>#NUM!</v>
      </c>
      <c r="AL148" s="22" t="e">
        <f t="shared" si="112"/>
        <v>#NUM!</v>
      </c>
      <c r="AM148" s="60" t="e">
        <f t="shared" si="113"/>
        <v>#NUM!</v>
      </c>
      <c r="AN148" s="60">
        <f ca="1">AVERAGE(OFFSET($AM$3,0,0,'Données projet'!$E$10+1,1))-AVERAGE(OFFSET($H$3,0,0,'Données projet'!$E$10+1,1))</f>
        <v>189.8516574130017</v>
      </c>
      <c r="AO148" s="60">
        <f t="shared" si="144"/>
        <v>191.91100863555891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1.457268261060072</v>
      </c>
      <c r="AV148" s="23">
        <f>EXP(-LN(2)/25)*AV147+(1-EXP(-LN(2)/25))/(LN(2)/25)*Calculateur!AQ148*Calculateur!AS148*VLOOKUP('Données projet'!$B$10,Paramètres!$A$1:$I$89,3,0)*0.475*44/12</f>
        <v>0.74452969218371723</v>
      </c>
      <c r="AW148" s="23">
        <f>EXP(-LN(2)/2)*AW147+(1-EXP(-LN(2)/2))/(LN(2)/2)*AQ148*AT148*VLOOKUP('Données projet'!$B$10,Paramètres!$A$1:$I$89,3,0)*0.475*44/12</f>
        <v>2.9654479194270586E-17</v>
      </c>
      <c r="AX148" s="23">
        <f t="shared" si="114"/>
        <v>2.2017979532437892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-5.1159076974727213E-13</v>
      </c>
      <c r="BE148" s="14">
        <f>BD148*VLOOKUP('Données projet'!$B$11,Paramètres!$A$1:$I$89,3,0)*VLOOKUP('Données projet'!$B$11,Paramètres!$A$1:$I$89,5,0)</f>
        <v>-5.3471467253984886E-13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373.7520752235389</v>
      </c>
      <c r="BJ148" s="60">
        <f t="shared" si="146"/>
        <v>205.19966474305761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-6.2527760746888816E-13</v>
      </c>
      <c r="BZ148" s="14">
        <f>BY148*VLOOKUP('Données projet'!$B$12,Paramètres!$A$1:$I$89,3,0)*VLOOKUP('Données projet'!$B$12,Paramètres!$A$1:$I$89,5,0)</f>
        <v>-2.9262992029543964E-13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141.31558705818316</v>
      </c>
      <c r="CE148" s="60">
        <f t="shared" si="148"/>
        <v>67.142010893211364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</v>
      </c>
      <c r="CT148" s="13">
        <f>IF('Données projet'!$A$140&gt;35,CT147+CS148-DB147,IF(A148&lt;'Données projet'!$A$140,$CQ$205^A148,IF(A148='Données projet'!$A$140,'Données projet'!$B$140,CT147+CS148-DB147)))</f>
        <v>280.99999999999915</v>
      </c>
      <c r="CU148" s="18">
        <f>CT148*VLOOKUP('Données projet'!$B$13,Paramètres!$A$1:$I$89,3,0)*VLOOKUP('Données projet'!$B$13,Paramètres!$A$1:$I$89,5,0)</f>
        <v>245.48159999999928</v>
      </c>
      <c r="CV148" s="14">
        <f t="shared" si="149"/>
        <v>59.6173688387331</v>
      </c>
      <c r="CW148" s="22">
        <f t="shared" si="121"/>
        <v>531.38070406079225</v>
      </c>
      <c r="CX148" s="60">
        <f t="shared" si="122"/>
        <v>824.71403739412563</v>
      </c>
      <c r="CY148" s="60">
        <f ca="1">AVERAGE(OFFSET($CX$3,0,0,'Données projet'!$E$13+1,1))-AVERAGE(OFFSET($H$3,0,0,'Données projet'!$E$13+1,1))</f>
        <v>281.8501448773884</v>
      </c>
      <c r="CZ148" s="60">
        <f t="shared" si="150"/>
        <v>161.7340631691518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2.4</v>
      </c>
      <c r="DO148" s="13">
        <f>IF('Données projet'!$A$166&gt;35,DO147+DN148-DW147,IF(A148&lt;'Données projet'!$A$166,$DL$205^A148,IF(A148='Données projet'!$A$166,'Données projet'!$B$166,DO147+DN148-DW147)))</f>
        <v>280.99999999999915</v>
      </c>
      <c r="DP148" s="18">
        <f>DO148*VLOOKUP('Données projet'!$B$14,Paramètres!$A$1:$I$89,3,0)*VLOOKUP('Données projet'!$B$14,Paramètres!$A$1:$I$89,5,0)</f>
        <v>254.24879999999925</v>
      </c>
      <c r="DQ148" s="14">
        <f t="shared" si="151"/>
        <v>61.494863147658698</v>
      </c>
      <c r="DR148" s="22">
        <f t="shared" si="124"/>
        <v>549.92021331550427</v>
      </c>
      <c r="DS148" s="60">
        <f t="shared" si="125"/>
        <v>843.25354664883753</v>
      </c>
      <c r="DT148" s="60">
        <f ca="1">AVERAGE(OFFSET($DS$3,0,0,'Données projet'!$E$14+1,1))-AVERAGE(OFFSET($H$3,0,0,'Données projet'!$E$14+1,1))</f>
        <v>295.19398489974265</v>
      </c>
      <c r="DU148" s="60">
        <f t="shared" si="152"/>
        <v>168.80998104712489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4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287.36759999999913</v>
      </c>
      <c r="P149" s="14">
        <f t="shared" si="141"/>
        <v>68.521633201564995</v>
      </c>
      <c r="Q149" s="22">
        <f t="shared" si="108"/>
        <v>619.84041449272411</v>
      </c>
      <c r="R149" s="60">
        <f t="shared" si="109"/>
        <v>913.17374782605748</v>
      </c>
      <c r="S149" s="60">
        <f ca="1">AVERAGE(OFFSET($R$3,0,0,'Données projet'!$E$9+1,1))-AVERAGE(OFFSET($H$3,0,0,'Données projet'!$E$9+1,1))</f>
        <v>341.82426415364569</v>
      </c>
      <c r="T149" s="60">
        <f t="shared" si="142"/>
        <v>193.53376539568887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-2.8421709430404007E-13</v>
      </c>
      <c r="AJ149" s="14">
        <f>AI149*VLOOKUP('Données projet'!$B$10,Paramètres!$A$1:$I$89,3,0)*VLOOKUP('Données projet'!$B$10,Paramètres!$A$1:$I$89,5,0)</f>
        <v>-1.69961822393816E-13</v>
      </c>
      <c r="AK149" s="14" t="e">
        <f t="shared" si="143"/>
        <v>#NUM!</v>
      </c>
      <c r="AL149" s="22" t="e">
        <f t="shared" si="112"/>
        <v>#NUM!</v>
      </c>
      <c r="AM149" s="60" t="e">
        <f t="shared" si="113"/>
        <v>#NUM!</v>
      </c>
      <c r="AN149" s="60">
        <f ca="1">AVERAGE(OFFSET($AM$3,0,0,'Données projet'!$E$10+1,1))-AVERAGE(OFFSET($H$3,0,0,'Données projet'!$E$10+1,1))</f>
        <v>189.8516574130017</v>
      </c>
      <c r="AO149" s="60">
        <f t="shared" si="144"/>
        <v>191.91100863555891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1.4286921193065569</v>
      </c>
      <c r="AV149" s="23">
        <f>EXP(-LN(2)/25)*AV148+(1-EXP(-LN(2)/25))/(LN(2)/25)*Calculateur!AQ149*Calculateur!AS149*VLOOKUP('Données projet'!$B$10,Paramètres!$A$1:$I$89,3,0)*0.475*44/12</f>
        <v>0.72417048859783861</v>
      </c>
      <c r="AW149" s="23">
        <f>EXP(-LN(2)/2)*AW148+(1-EXP(-LN(2)/2))/(LN(2)/2)*AQ149*AT149*VLOOKUP('Données projet'!$B$10,Paramètres!$A$1:$I$89,3,0)*0.475*44/12</f>
        <v>2.0968883330824117E-17</v>
      </c>
      <c r="AX149" s="23">
        <f t="shared" si="114"/>
        <v>2.1528626079043955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-5.1159076974727213E-13</v>
      </c>
      <c r="BE149" s="14">
        <f>BD149*VLOOKUP('Données projet'!$B$11,Paramètres!$A$1:$I$89,3,0)*VLOOKUP('Données projet'!$B$11,Paramètres!$A$1:$I$89,5,0)</f>
        <v>-5.3471467253984886E-13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373.7520752235389</v>
      </c>
      <c r="BJ149" s="60">
        <f t="shared" si="146"/>
        <v>205.19966474305761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-6.2527760746888816E-13</v>
      </c>
      <c r="BZ149" s="14">
        <f>BY149*VLOOKUP('Données projet'!$B$12,Paramètres!$A$1:$I$89,3,0)*VLOOKUP('Données projet'!$B$12,Paramètres!$A$1:$I$89,5,0)</f>
        <v>-2.9262992029543964E-13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141.31558705818316</v>
      </c>
      <c r="CE149" s="60">
        <f t="shared" si="148"/>
        <v>67.142010893211364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</v>
      </c>
      <c r="CT149" s="13">
        <f>IF('Données projet'!$A$140&gt;35,CT148+CS149-DB148,IF(A149&lt;'Données projet'!$A$140,$CQ$205^A149,IF(A149='Données projet'!$A$140,'Données projet'!$B$140,CT148+CS149-DB148)))</f>
        <v>283.39999999999912</v>
      </c>
      <c r="CU149" s="18">
        <f>CT149*VLOOKUP('Données projet'!$B$13,Paramètres!$A$1:$I$89,3,0)*VLOOKUP('Données projet'!$B$13,Paramètres!$A$1:$I$89,5,0)</f>
        <v>247.57823999999925</v>
      </c>
      <c r="CV149" s="14">
        <f t="shared" si="149"/>
        <v>60.067063968069036</v>
      </c>
      <c r="CW149" s="22">
        <f t="shared" si="121"/>
        <v>535.8155710777188</v>
      </c>
      <c r="CX149" s="60">
        <f t="shared" si="122"/>
        <v>829.14890441105217</v>
      </c>
      <c r="CY149" s="60">
        <f ca="1">AVERAGE(OFFSET($CX$3,0,0,'Données projet'!$E$13+1,1))-AVERAGE(OFFSET($H$3,0,0,'Données projet'!$E$13+1,1))</f>
        <v>281.8501448773884</v>
      </c>
      <c r="CZ149" s="60">
        <f t="shared" si="150"/>
        <v>161.7340631691518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2.4</v>
      </c>
      <c r="DO149" s="13">
        <f>IF('Données projet'!$A$166&gt;35,DO148+DN149-DW148,IF(A149&lt;'Données projet'!$A$166,$DL$205^A149,IF(A149='Données projet'!$A$166,'Données projet'!$B$166,DO148+DN149-DW148)))</f>
        <v>283.39999999999912</v>
      </c>
      <c r="DP149" s="18">
        <f>DO149*VLOOKUP('Données projet'!$B$14,Paramètres!$A$1:$I$89,3,0)*VLOOKUP('Données projet'!$B$14,Paramètres!$A$1:$I$89,5,0)</f>
        <v>256.42031999999921</v>
      </c>
      <c r="DQ149" s="14">
        <f t="shared" si="151"/>
        <v>61.958720258016747</v>
      </c>
      <c r="DR149" s="22">
        <f t="shared" si="124"/>
        <v>554.51016178271107</v>
      </c>
      <c r="DS149" s="60">
        <f t="shared" si="125"/>
        <v>847.84349511604432</v>
      </c>
      <c r="DT149" s="60">
        <f ca="1">AVERAGE(OFFSET($DS$3,0,0,'Données projet'!$E$14+1,1))-AVERAGE(OFFSET($H$3,0,0,'Données projet'!$E$14+1,1))</f>
        <v>295.19398489974265</v>
      </c>
      <c r="DU149" s="60">
        <f t="shared" si="152"/>
        <v>168.80998104712489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4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289.80119999999908</v>
      </c>
      <c r="P150" s="14">
        <f t="shared" si="141"/>
        <v>69.034118458450664</v>
      </c>
      <c r="Q150" s="22">
        <f t="shared" si="108"/>
        <v>624.97151298179995</v>
      </c>
      <c r="R150" s="60">
        <f t="shared" si="109"/>
        <v>918.30484631513332</v>
      </c>
      <c r="S150" s="60">
        <f ca="1">AVERAGE(OFFSET($R$3,0,0,'Données projet'!$E$9+1,1))-AVERAGE(OFFSET($H$3,0,0,'Données projet'!$E$9+1,1))</f>
        <v>341.82426415364569</v>
      </c>
      <c r="T150" s="60">
        <f t="shared" si="142"/>
        <v>193.53376539568887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-2.8421709430404007E-13</v>
      </c>
      <c r="AJ150" s="14">
        <f>AI150*VLOOKUP('Données projet'!$B$10,Paramètres!$A$1:$I$89,3,0)*VLOOKUP('Données projet'!$B$10,Paramètres!$A$1:$I$89,5,0)</f>
        <v>-1.69961822393816E-13</v>
      </c>
      <c r="AK150" s="14" t="e">
        <f t="shared" si="143"/>
        <v>#NUM!</v>
      </c>
      <c r="AL150" s="22" t="e">
        <f t="shared" si="112"/>
        <v>#NUM!</v>
      </c>
      <c r="AM150" s="60" t="e">
        <f t="shared" si="113"/>
        <v>#NUM!</v>
      </c>
      <c r="AN150" s="60">
        <f ca="1">AVERAGE(OFFSET($AM$3,0,0,'Données projet'!$E$10+1,1))-AVERAGE(OFFSET($H$3,0,0,'Données projet'!$E$10+1,1))</f>
        <v>189.8516574130017</v>
      </c>
      <c r="AO150" s="60">
        <f t="shared" si="144"/>
        <v>191.91100863555891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1.4006763382631029</v>
      </c>
      <c r="AV150" s="23">
        <f>EXP(-LN(2)/25)*AV149+(1-EXP(-LN(2)/25))/(LN(2)/25)*Calculateur!AQ150*Calculateur!AS150*VLOOKUP('Données projet'!$B$10,Paramètres!$A$1:$I$89,3,0)*0.475*44/12</f>
        <v>0.70436800850465986</v>
      </c>
      <c r="AW150" s="23">
        <f>EXP(-LN(2)/2)*AW149+(1-EXP(-LN(2)/2))/(LN(2)/2)*AQ150*AT150*VLOOKUP('Données projet'!$B$10,Paramètres!$A$1:$I$89,3,0)*0.475*44/12</f>
        <v>1.4827239597135293E-17</v>
      </c>
      <c r="AX150" s="23">
        <f t="shared" si="114"/>
        <v>2.1050443467677629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-5.1159076974727213E-13</v>
      </c>
      <c r="BE150" s="14">
        <f>BD150*VLOOKUP('Données projet'!$B$11,Paramètres!$A$1:$I$89,3,0)*VLOOKUP('Données projet'!$B$11,Paramètres!$A$1:$I$89,5,0)</f>
        <v>-5.3471467253984886E-13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373.7520752235389</v>
      </c>
      <c r="BJ150" s="60">
        <f t="shared" si="146"/>
        <v>205.19966474305761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-6.2527760746888816E-13</v>
      </c>
      <c r="BZ150" s="14">
        <f>BY150*VLOOKUP('Données projet'!$B$12,Paramètres!$A$1:$I$89,3,0)*VLOOKUP('Données projet'!$B$12,Paramètres!$A$1:$I$89,5,0)</f>
        <v>-2.9262992029543964E-13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141.31558705818316</v>
      </c>
      <c r="CE150" s="60">
        <f t="shared" si="148"/>
        <v>67.142010893211364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</v>
      </c>
      <c r="CT150" s="13">
        <f>IF('Données projet'!$A$140&gt;35,CT149+CS150-DB149,IF(A150&lt;'Données projet'!$A$140,$CQ$205^A150,IF(A150='Données projet'!$A$140,'Données projet'!$B$140,CT149+CS150-DB149)))</f>
        <v>285.7999999999991</v>
      </c>
      <c r="CU150" s="18">
        <f>CT150*VLOOKUP('Données projet'!$B$13,Paramètres!$A$1:$I$89,3,0)*VLOOKUP('Données projet'!$B$13,Paramètres!$A$1:$I$89,5,0)</f>
        <v>249.67487999999926</v>
      </c>
      <c r="CV150" s="14">
        <f t="shared" si="149"/>
        <v>60.516316025700149</v>
      </c>
      <c r="CW150" s="22">
        <f t="shared" si="121"/>
        <v>540.24966641142646</v>
      </c>
      <c r="CX150" s="60">
        <f t="shared" si="122"/>
        <v>833.58299974475972</v>
      </c>
      <c r="CY150" s="60">
        <f ca="1">AVERAGE(OFFSET($CX$3,0,0,'Données projet'!$E$13+1,1))-AVERAGE(OFFSET($H$3,0,0,'Données projet'!$E$13+1,1))</f>
        <v>281.8501448773884</v>
      </c>
      <c r="CZ150" s="60">
        <f t="shared" si="150"/>
        <v>161.7340631691518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2.4</v>
      </c>
      <c r="DO150" s="13">
        <f>IF('Données projet'!$A$166&gt;35,DO149+DN150-DW149,IF(A150&lt;'Données projet'!$A$166,$DL$205^A150,IF(A150='Données projet'!$A$166,'Données projet'!$B$166,DO149+DN150-DW149)))</f>
        <v>285.7999999999991</v>
      </c>
      <c r="DP150" s="18">
        <f>DO150*VLOOKUP('Données projet'!$B$14,Paramètres!$A$1:$I$89,3,0)*VLOOKUP('Données projet'!$B$14,Paramètres!$A$1:$I$89,5,0)</f>
        <v>258.59183999999919</v>
      </c>
      <c r="DQ150" s="14">
        <f t="shared" si="151"/>
        <v>62.422120343276475</v>
      </c>
      <c r="DR150" s="22">
        <f t="shared" si="124"/>
        <v>559.09931426453841</v>
      </c>
      <c r="DS150" s="60">
        <f t="shared" si="125"/>
        <v>852.43264759787166</v>
      </c>
      <c r="DT150" s="60">
        <f ca="1">AVERAGE(OFFSET($DS$3,0,0,'Données projet'!$E$14+1,1))-AVERAGE(OFFSET($H$3,0,0,'Données projet'!$E$14+1,1))</f>
        <v>295.19398489974265</v>
      </c>
      <c r="DU150" s="60">
        <f t="shared" si="152"/>
        <v>168.80998104712489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4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292.2347999999991</v>
      </c>
      <c r="P151" s="14">
        <f t="shared" si="141"/>
        <v>69.546103016553573</v>
      </c>
      <c r="Q151" s="22">
        <f t="shared" si="108"/>
        <v>630.10173942049585</v>
      </c>
      <c r="R151" s="60">
        <f t="shared" si="109"/>
        <v>923.43507275382922</v>
      </c>
      <c r="S151" s="60">
        <f ca="1">AVERAGE(OFFSET($R$3,0,0,'Données projet'!$E$9+1,1))-AVERAGE(OFFSET($H$3,0,0,'Données projet'!$E$9+1,1))</f>
        <v>341.82426415364569</v>
      </c>
      <c r="T151" s="60">
        <f t="shared" si="142"/>
        <v>193.53376539568887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-2.8421709430404007E-13</v>
      </c>
      <c r="AJ151" s="14">
        <f>AI151*VLOOKUP('Données projet'!$B$10,Paramètres!$A$1:$I$89,3,0)*VLOOKUP('Données projet'!$B$10,Paramètres!$A$1:$I$89,5,0)</f>
        <v>-1.69961822393816E-13</v>
      </c>
      <c r="AK151" s="14" t="e">
        <f t="shared" si="143"/>
        <v>#NUM!</v>
      </c>
      <c r="AL151" s="22" t="e">
        <f t="shared" si="112"/>
        <v>#NUM!</v>
      </c>
      <c r="AM151" s="60" t="e">
        <f t="shared" si="113"/>
        <v>#NUM!</v>
      </c>
      <c r="AN151" s="60">
        <f ca="1">AVERAGE(OFFSET($AM$3,0,0,'Données projet'!$E$10+1,1))-AVERAGE(OFFSET($H$3,0,0,'Données projet'!$E$10+1,1))</f>
        <v>189.8516574130017</v>
      </c>
      <c r="AO151" s="60">
        <f t="shared" si="144"/>
        <v>191.91100863555891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1.3732099295979718</v>
      </c>
      <c r="AV151" s="23">
        <f>EXP(-LN(2)/25)*AV150+(1-EXP(-LN(2)/25))/(LN(2)/25)*Calculateur!AQ151*Calculateur!AS151*VLOOKUP('Données projet'!$B$10,Paramètres!$A$1:$I$89,3,0)*0.475*44/12</f>
        <v>0.68510702827099623</v>
      </c>
      <c r="AW151" s="23">
        <f>EXP(-LN(2)/2)*AW150+(1-EXP(-LN(2)/2))/(LN(2)/2)*AQ151*AT151*VLOOKUP('Données projet'!$B$10,Paramètres!$A$1:$I$89,3,0)*0.475*44/12</f>
        <v>1.0484441665412059E-17</v>
      </c>
      <c r="AX151" s="23">
        <f t="shared" si="114"/>
        <v>2.0583169578689682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-5.1159076974727213E-13</v>
      </c>
      <c r="BE151" s="14">
        <f>BD151*VLOOKUP('Données projet'!$B$11,Paramètres!$A$1:$I$89,3,0)*VLOOKUP('Données projet'!$B$11,Paramètres!$A$1:$I$89,5,0)</f>
        <v>-5.3471467253984886E-13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373.7520752235389</v>
      </c>
      <c r="BJ151" s="60">
        <f t="shared" si="146"/>
        <v>205.19966474305761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-6.2527760746888816E-13</v>
      </c>
      <c r="BZ151" s="14">
        <f>BY151*VLOOKUP('Données projet'!$B$12,Paramètres!$A$1:$I$89,3,0)*VLOOKUP('Données projet'!$B$12,Paramètres!$A$1:$I$89,5,0)</f>
        <v>-2.9262992029543964E-13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141.31558705818316</v>
      </c>
      <c r="CE151" s="60">
        <f t="shared" si="148"/>
        <v>67.142010893211364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</v>
      </c>
      <c r="CT151" s="13">
        <f>IF('Données projet'!$A$140&gt;35,CT150+CS151-DB150,IF(A151&lt;'Données projet'!$A$140,$CQ$205^A151,IF(A151='Données projet'!$A$140,'Données projet'!$B$140,CT150+CS151-DB150)))</f>
        <v>288.19999999999908</v>
      </c>
      <c r="CU151" s="18">
        <f>CT151*VLOOKUP('Données projet'!$B$13,Paramètres!$A$1:$I$89,3,0)*VLOOKUP('Données projet'!$B$13,Paramètres!$A$1:$I$89,5,0)</f>
        <v>251.77151999999924</v>
      </c>
      <c r="CV151" s="14">
        <f t="shared" si="149"/>
        <v>60.965129163468802</v>
      </c>
      <c r="CW151" s="22">
        <f t="shared" si="121"/>
        <v>544.6829972930401</v>
      </c>
      <c r="CX151" s="60">
        <f t="shared" si="122"/>
        <v>838.01633062637347</v>
      </c>
      <c r="CY151" s="60">
        <f ca="1">AVERAGE(OFFSET($CX$3,0,0,'Données projet'!$E$13+1,1))-AVERAGE(OFFSET($H$3,0,0,'Données projet'!$E$13+1,1))</f>
        <v>281.8501448773884</v>
      </c>
      <c r="CZ151" s="60">
        <f t="shared" si="150"/>
        <v>161.7340631691518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2.4</v>
      </c>
      <c r="DO151" s="13">
        <f>IF('Données projet'!$A$166&gt;35,DO150+DN151-DW150,IF(A151&lt;'Données projet'!$A$166,$DL$205^A151,IF(A151='Données projet'!$A$166,'Données projet'!$B$166,DO150+DN151-DW150)))</f>
        <v>288.19999999999908</v>
      </c>
      <c r="DP151" s="18">
        <f>DO151*VLOOKUP('Données projet'!$B$14,Paramètres!$A$1:$I$89,3,0)*VLOOKUP('Données projet'!$B$14,Paramètres!$A$1:$I$89,5,0)</f>
        <v>260.76335999999918</v>
      </c>
      <c r="DQ151" s="14">
        <f t="shared" si="151"/>
        <v>62.885067686031789</v>
      </c>
      <c r="DR151" s="22">
        <f t="shared" si="124"/>
        <v>563.68767821983727</v>
      </c>
      <c r="DS151" s="60">
        <f t="shared" si="125"/>
        <v>857.02101155317064</v>
      </c>
      <c r="DT151" s="60">
        <f ca="1">AVERAGE(OFFSET($DS$3,0,0,'Données projet'!$E$14+1,1))-AVERAGE(OFFSET($H$3,0,0,'Données projet'!$E$14+1,1))</f>
        <v>295.19398489974265</v>
      </c>
      <c r="DU151" s="60">
        <f t="shared" si="152"/>
        <v>168.80998104712489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4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294.66839999999905</v>
      </c>
      <c r="P152" s="14">
        <f t="shared" si="141"/>
        <v>70.057591528661362</v>
      </c>
      <c r="Q152" s="22">
        <f t="shared" si="108"/>
        <v>635.23110191241688</v>
      </c>
      <c r="R152" s="60">
        <f t="shared" si="109"/>
        <v>928.56443524575025</v>
      </c>
      <c r="S152" s="60">
        <f ca="1">AVERAGE(OFFSET($R$3,0,0,'Données projet'!$E$9+1,1))-AVERAGE(OFFSET($H$3,0,0,'Données projet'!$E$9+1,1))</f>
        <v>341.82426415364569</v>
      </c>
      <c r="T152" s="60">
        <f t="shared" si="142"/>
        <v>193.53376539568887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-2.8421709430404007E-13</v>
      </c>
      <c r="AJ152" s="14">
        <f>AI152*VLOOKUP('Données projet'!$B$10,Paramètres!$A$1:$I$89,3,0)*VLOOKUP('Données projet'!$B$10,Paramètres!$A$1:$I$89,5,0)</f>
        <v>-1.69961822393816E-13</v>
      </c>
      <c r="AK152" s="14" t="e">
        <f t="shared" si="143"/>
        <v>#NUM!</v>
      </c>
      <c r="AL152" s="22" t="e">
        <f t="shared" si="112"/>
        <v>#NUM!</v>
      </c>
      <c r="AM152" s="60" t="e">
        <f t="shared" si="113"/>
        <v>#NUM!</v>
      </c>
      <c r="AN152" s="60">
        <f ca="1">AVERAGE(OFFSET($AM$3,0,0,'Données projet'!$E$10+1,1))-AVERAGE(OFFSET($H$3,0,0,'Données projet'!$E$10+1,1))</f>
        <v>189.8516574130017</v>
      </c>
      <c r="AO152" s="60">
        <f t="shared" si="144"/>
        <v>191.91100863555891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1.346282120453909</v>
      </c>
      <c r="AV152" s="23">
        <f>EXP(-LN(2)/25)*AV151+(1-EXP(-LN(2)/25))/(LN(2)/25)*Calculateur!AQ152*Calculateur!AS152*VLOOKUP('Données projet'!$B$10,Paramètres!$A$1:$I$89,3,0)*0.475*44/12</f>
        <v>0.66637274055471307</v>
      </c>
      <c r="AW152" s="23">
        <f>EXP(-LN(2)/2)*AW151+(1-EXP(-LN(2)/2))/(LN(2)/2)*AQ152*AT152*VLOOKUP('Données projet'!$B$10,Paramètres!$A$1:$I$89,3,0)*0.475*44/12</f>
        <v>7.4136197985676464E-18</v>
      </c>
      <c r="AX152" s="23">
        <f t="shared" si="114"/>
        <v>2.0126548610086221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-5.1159076974727213E-13</v>
      </c>
      <c r="BE152" s="14">
        <f>BD152*VLOOKUP('Données projet'!$B$11,Paramètres!$A$1:$I$89,3,0)*VLOOKUP('Données projet'!$B$11,Paramètres!$A$1:$I$89,5,0)</f>
        <v>-5.3471467253984886E-13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373.7520752235389</v>
      </c>
      <c r="BJ152" s="60">
        <f t="shared" si="146"/>
        <v>205.19966474305761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-6.2527760746888816E-13</v>
      </c>
      <c r="BZ152" s="14">
        <f>BY152*VLOOKUP('Données projet'!$B$12,Paramètres!$A$1:$I$89,3,0)*VLOOKUP('Données projet'!$B$12,Paramètres!$A$1:$I$89,5,0)</f>
        <v>-2.9262992029543964E-13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141.31558705818316</v>
      </c>
      <c r="CE152" s="60">
        <f t="shared" si="148"/>
        <v>67.142010893211364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</v>
      </c>
      <c r="CT152" s="13">
        <f>IF('Données projet'!$A$140&gt;35,CT151+CS152-DB151,IF(A152&lt;'Données projet'!$A$140,$CQ$205^A152,IF(A152='Données projet'!$A$140,'Données projet'!$B$140,CT151+CS152-DB151)))</f>
        <v>290.59999999999906</v>
      </c>
      <c r="CU152" s="18">
        <f>CT152*VLOOKUP('Données projet'!$B$13,Paramètres!$A$1:$I$89,3,0)*VLOOKUP('Données projet'!$B$13,Paramètres!$A$1:$I$89,5,0)</f>
        <v>253.86815999999919</v>
      </c>
      <c r="CV152" s="14">
        <f t="shared" si="149"/>
        <v>61.413507460076787</v>
      </c>
      <c r="CW152" s="22">
        <f t="shared" si="121"/>
        <v>549.11557082629895</v>
      </c>
      <c r="CX152" s="60">
        <f t="shared" si="122"/>
        <v>842.44890415963232</v>
      </c>
      <c r="CY152" s="60">
        <f ca="1">AVERAGE(OFFSET($CX$3,0,0,'Données projet'!$E$13+1,1))-AVERAGE(OFFSET($H$3,0,0,'Données projet'!$E$13+1,1))</f>
        <v>281.8501448773884</v>
      </c>
      <c r="CZ152" s="60">
        <f t="shared" si="150"/>
        <v>161.7340631691518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2.4</v>
      </c>
      <c r="DO152" s="13">
        <f>IF('Données projet'!$A$166&gt;35,DO151+DN152-DW151,IF(A152&lt;'Données projet'!$A$166,$DL$205^A152,IF(A152='Données projet'!$A$166,'Données projet'!$B$166,DO151+DN152-DW151)))</f>
        <v>290.59999999999906</v>
      </c>
      <c r="DP152" s="18">
        <f>DO152*VLOOKUP('Données projet'!$B$14,Paramètres!$A$1:$I$89,3,0)*VLOOKUP('Données projet'!$B$14,Paramètres!$A$1:$I$89,5,0)</f>
        <v>262.93487999999911</v>
      </c>
      <c r="DQ152" s="14">
        <f t="shared" si="151"/>
        <v>63.347566493432595</v>
      </c>
      <c r="DR152" s="22">
        <f t="shared" si="124"/>
        <v>568.27526097606028</v>
      </c>
      <c r="DS152" s="60">
        <f t="shared" si="125"/>
        <v>861.60859430939354</v>
      </c>
      <c r="DT152" s="60">
        <f ca="1">AVERAGE(OFFSET($DS$3,0,0,'Données projet'!$E$14+1,1))-AVERAGE(OFFSET($H$3,0,0,'Données projet'!$E$14+1,1))</f>
        <v>295.19398489974265</v>
      </c>
      <c r="DU152" s="60">
        <f t="shared" si="152"/>
        <v>168.80998104712489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4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297.10199999999907</v>
      </c>
      <c r="P153" s="14">
        <f t="shared" si="141"/>
        <v>70.568588566272624</v>
      </c>
      <c r="Q153" s="22">
        <f t="shared" si="108"/>
        <v>640.3596084195899</v>
      </c>
      <c r="R153" s="60">
        <f t="shared" si="109"/>
        <v>933.69294175292316</v>
      </c>
      <c r="S153" s="60">
        <f ca="1">AVERAGE(OFFSET($R$3,0,0,'Données projet'!$E$9+1,1))-AVERAGE(OFFSET($H$3,0,0,'Données projet'!$E$9+1,1))</f>
        <v>341.82426415364569</v>
      </c>
      <c r="T153" s="60">
        <f t="shared" si="142"/>
        <v>193.53376539568887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-2.8421709430404007E-13</v>
      </c>
      <c r="AJ153" s="14">
        <f>AI153*VLOOKUP('Données projet'!$B$10,Paramètres!$A$1:$I$89,3,0)*VLOOKUP('Données projet'!$B$10,Paramètres!$A$1:$I$89,5,0)</f>
        <v>-1.69961822393816E-13</v>
      </c>
      <c r="AK153" s="14" t="e">
        <f t="shared" si="143"/>
        <v>#NUM!</v>
      </c>
      <c r="AL153" s="22" t="e">
        <f t="shared" si="112"/>
        <v>#NUM!</v>
      </c>
      <c r="AM153" s="60" t="e">
        <f t="shared" si="113"/>
        <v>#NUM!</v>
      </c>
      <c r="AN153" s="60">
        <f ca="1">AVERAGE(OFFSET($AM$3,0,0,'Données projet'!$E$10+1,1))-AVERAGE(OFFSET($H$3,0,0,'Données projet'!$E$10+1,1))</f>
        <v>189.8516574130017</v>
      </c>
      <c r="AO153" s="60">
        <f t="shared" si="144"/>
        <v>191.91100863555891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1.3198823492228196</v>
      </c>
      <c r="AV153" s="23">
        <f>EXP(-LN(2)/25)*AV152+(1-EXP(-LN(2)/25))/(LN(2)/25)*Calculateur!AQ153*Calculateur!AS153*VLOOKUP('Données projet'!$B$10,Paramètres!$A$1:$I$89,3,0)*0.475*44/12</f>
        <v>0.64815074292122499</v>
      </c>
      <c r="AW153" s="23">
        <f>EXP(-LN(2)/2)*AW152+(1-EXP(-LN(2)/2))/(LN(2)/2)*AQ153*AT153*VLOOKUP('Données projet'!$B$10,Paramètres!$A$1:$I$89,3,0)*0.475*44/12</f>
        <v>5.2422208327060293E-18</v>
      </c>
      <c r="AX153" s="23">
        <f t="shared" si="114"/>
        <v>1.9680330921440445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-5.1159076974727213E-13</v>
      </c>
      <c r="BE153" s="14">
        <f>BD153*VLOOKUP('Données projet'!$B$11,Paramètres!$A$1:$I$89,3,0)*VLOOKUP('Données projet'!$B$11,Paramètres!$A$1:$I$89,5,0)</f>
        <v>-5.3471467253984886E-13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373.7520752235389</v>
      </c>
      <c r="BJ153" s="60">
        <f t="shared" si="146"/>
        <v>205.19966474305761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-6.2527760746888816E-13</v>
      </c>
      <c r="BZ153" s="14">
        <f>BY153*VLOOKUP('Données projet'!$B$12,Paramètres!$A$1:$I$89,3,0)*VLOOKUP('Données projet'!$B$12,Paramètres!$A$1:$I$89,5,0)</f>
        <v>-2.9262992029543964E-13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141.31558705818316</v>
      </c>
      <c r="CE153" s="60">
        <f t="shared" si="148"/>
        <v>67.142010893211364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293</v>
      </c>
      <c r="CR153" s="13">
        <f>VLOOKUP(A153,'Données projet'!$A$139:$I$159,9,0)</f>
        <v>2.4</v>
      </c>
      <c r="CS153" s="13">
        <f t="array" ref="CS153">INDEX(CR:CR,MIN(IF(ISNUMBER(CR153:CR349),ROW(CR153:CR349),"")))</f>
        <v>2.4</v>
      </c>
      <c r="CT153" s="13">
        <f>IF('Données projet'!$A$140&gt;35,CT152+CS153-DB152,IF(A153&lt;'Données projet'!$A$140,$CQ$205^A153,IF(A153='Données projet'!$A$140,'Données projet'!$B$140,CT152+CS153-DB152)))</f>
        <v>292.99999999999903</v>
      </c>
      <c r="CU153" s="18">
        <f>CT153*VLOOKUP('Données projet'!$B$13,Paramètres!$A$1:$I$89,3,0)*VLOOKUP('Données projet'!$B$13,Paramètres!$A$1:$I$89,5,0)</f>
        <v>255.96479999999917</v>
      </c>
      <c r="CV153" s="14">
        <f t="shared" si="149"/>
        <v>61.861454922966338</v>
      </c>
      <c r="CW153" s="22">
        <f t="shared" si="121"/>
        <v>553.54739399083155</v>
      </c>
      <c r="CX153" s="60">
        <f t="shared" si="122"/>
        <v>846.88072732416481</v>
      </c>
      <c r="CY153" s="60">
        <f ca="1">AVERAGE(OFFSET($CX$3,0,0,'Données projet'!$E$13+1,1))-AVERAGE(OFFSET($H$3,0,0,'Données projet'!$E$13+1,1))</f>
        <v>281.8501448773884</v>
      </c>
      <c r="CZ153" s="60">
        <f t="shared" si="150"/>
        <v>161.7340631691518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293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293</v>
      </c>
      <c r="DM153" s="13">
        <f>VLOOKUP(A153,'Données projet'!$A$165:$I$185,9,0)</f>
        <v>2.4</v>
      </c>
      <c r="DN153" s="13">
        <f t="array" ref="DN153">INDEX(DM:DM,MIN(IF(ISNUMBER(DM153:DM349),ROW(DM153:DM349),"")))</f>
        <v>2.4</v>
      </c>
      <c r="DO153" s="13">
        <f>IF('Données projet'!$A$166&gt;35,DO152+DN153-DW152,IF(A153&lt;'Données projet'!$A$166,$DL$205^A153,IF(A153='Données projet'!$A$166,'Données projet'!$B$166,DO152+DN153-DW152)))</f>
        <v>292.99999999999903</v>
      </c>
      <c r="DP153" s="18">
        <f>DO153*VLOOKUP('Données projet'!$B$14,Paramètres!$A$1:$I$89,3,0)*VLOOKUP('Données projet'!$B$14,Paramètres!$A$1:$I$89,5,0)</f>
        <v>265.1063999999991</v>
      </c>
      <c r="DQ153" s="14">
        <f t="shared" si="151"/>
        <v>63.809620899125136</v>
      </c>
      <c r="DR153" s="22">
        <f t="shared" si="124"/>
        <v>572.86206973264132</v>
      </c>
      <c r="DS153" s="60">
        <f t="shared" si="125"/>
        <v>866.19540306597469</v>
      </c>
      <c r="DT153" s="60">
        <f ca="1">AVERAGE(OFFSET($DS$3,0,0,'Données projet'!$E$14+1,1))-AVERAGE(OFFSET($H$3,0,0,'Données projet'!$E$14+1,1))</f>
        <v>295.19398489974265</v>
      </c>
      <c r="DU153" s="60">
        <f t="shared" si="152"/>
        <v>168.80998104712489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293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4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-9.7986685432260874E-13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341.82426415364569</v>
      </c>
      <c r="T154" s="60">
        <f t="shared" si="142"/>
        <v>193.53376539568887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-2.8421709430404007E-13</v>
      </c>
      <c r="AJ154" s="14">
        <f>AI154*VLOOKUP('Données projet'!$B$10,Paramètres!$A$1:$I$89,3,0)*VLOOKUP('Données projet'!$B$10,Paramètres!$A$1:$I$89,5,0)</f>
        <v>-1.69961822393816E-13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189.8516574130017</v>
      </c>
      <c r="AO154" s="60">
        <f t="shared" si="144"/>
        <v>191.91100863555891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1.294000261403301</v>
      </c>
      <c r="AV154" s="23">
        <f>EXP(-LN(2)/25)*AV153+(1-EXP(-LN(2)/25))/(LN(2)/25)*Calculateur!AQ154*Calculateur!AS154*VLOOKUP('Données projet'!$B$10,Paramètres!$A$1:$I$89,3,0)*0.475*44/12</f>
        <v>0.63042702677127793</v>
      </c>
      <c r="AW154" s="23">
        <f>EXP(-LN(2)/2)*AW153+(1-EXP(-LN(2)/2))/(LN(2)/2)*AQ154*AT154*VLOOKUP('Données projet'!$B$10,Paramètres!$A$1:$I$89,3,0)*0.475*44/12</f>
        <v>3.7068098992838232E-18</v>
      </c>
      <c r="AX154" s="23">
        <f t="shared" ref="AX154:AX203" si="166">SUM(AU154:AW154)</f>
        <v>1.924427288174579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-5.1159076974727213E-13</v>
      </c>
      <c r="BE154" s="14">
        <f>BD154*VLOOKUP('Données projet'!$B$11,Paramètres!$A$1:$I$89,3,0)*VLOOKUP('Données projet'!$B$11,Paramètres!$A$1:$I$89,5,0)</f>
        <v>-5.3471467253984886E-13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373.7520752235389</v>
      </c>
      <c r="BJ154" s="60">
        <f t="shared" si="146"/>
        <v>205.19966474305761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-6.2527760746888816E-13</v>
      </c>
      <c r="BZ154" s="14">
        <f>BY154*VLOOKUP('Données projet'!$B$12,Paramètres!$A$1:$I$89,3,0)*VLOOKUP('Données projet'!$B$12,Paramètres!$A$1:$I$89,5,0)</f>
        <v>-2.9262992029543964E-13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141.31558705818316</v>
      </c>
      <c r="CE154" s="60">
        <f t="shared" si="148"/>
        <v>67.142010893211364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-9.6633812063373625E-13</v>
      </c>
      <c r="CU154" s="18">
        <f>CT154*VLOOKUP('Données projet'!$B$13,Paramètres!$A$1:$I$89,3,0)*VLOOKUP('Données projet'!$B$13,Paramètres!$A$1:$I$89,5,0)</f>
        <v>-8.4419298218563211E-13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281.8501448773884</v>
      </c>
      <c r="CZ154" s="60">
        <f t="shared" si="150"/>
        <v>161.7340631691518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-9.6633812063373625E-13</v>
      </c>
      <c r="DP154" s="18">
        <f>DO154*VLOOKUP('Données projet'!$B$14,Paramètres!$A$1:$I$89,3,0)*VLOOKUP('Données projet'!$B$14,Paramètres!$A$1:$I$89,5,0)</f>
        <v>-8.7434273154940449E-13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295.19398489974265</v>
      </c>
      <c r="DU154" s="60">
        <f t="shared" si="152"/>
        <v>168.80998104712489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4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-9.7986685432260874E-13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341.82426415364569</v>
      </c>
      <c r="T155" s="60">
        <f t="shared" si="142"/>
        <v>193.53376539568887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-2.8421709430404007E-13</v>
      </c>
      <c r="AJ155" s="14">
        <f>AI155*VLOOKUP('Données projet'!$B$10,Paramètres!$A$1:$I$89,3,0)*VLOOKUP('Données projet'!$B$10,Paramètres!$A$1:$I$89,5,0)</f>
        <v>-1.69961822393816E-13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189.8516574130017</v>
      </c>
      <c r="AO155" s="60">
        <f t="shared" si="144"/>
        <v>191.91100863555891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1.2686257055394086</v>
      </c>
      <c r="AV155" s="23">
        <f>EXP(-LN(2)/25)*AV154+(1-EXP(-LN(2)/25))/(LN(2)/25)*Calculateur!AQ155*Calculateur!AS155*VLOOKUP('Données projet'!$B$10,Paramètres!$A$1:$I$89,3,0)*0.475*44/12</f>
        <v>0.61318796657150088</v>
      </c>
      <c r="AW155" s="23">
        <f>EXP(-LN(2)/2)*AW154+(1-EXP(-LN(2)/2))/(LN(2)/2)*AQ155*AT155*VLOOKUP('Données projet'!$B$10,Paramètres!$A$1:$I$89,3,0)*0.475*44/12</f>
        <v>2.6211104163530146E-18</v>
      </c>
      <c r="AX155" s="23">
        <f t="shared" si="166"/>
        <v>1.8818136721109093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-5.1159076974727213E-13</v>
      </c>
      <c r="BE155" s="14">
        <f>BD155*VLOOKUP('Données projet'!$B$11,Paramètres!$A$1:$I$89,3,0)*VLOOKUP('Données projet'!$B$11,Paramètres!$A$1:$I$89,5,0)</f>
        <v>-5.3471467253984886E-13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373.7520752235389</v>
      </c>
      <c r="BJ155" s="60">
        <f t="shared" si="146"/>
        <v>205.19966474305761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-6.2527760746888816E-13</v>
      </c>
      <c r="BZ155" s="14">
        <f>BY155*VLOOKUP('Données projet'!$B$12,Paramètres!$A$1:$I$89,3,0)*VLOOKUP('Données projet'!$B$12,Paramètres!$A$1:$I$89,5,0)</f>
        <v>-2.9262992029543964E-13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141.31558705818316</v>
      </c>
      <c r="CE155" s="60">
        <f t="shared" si="148"/>
        <v>67.142010893211364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-9.6633812063373625E-13</v>
      </c>
      <c r="CU155" s="18">
        <f>CT155*VLOOKUP('Données projet'!$B$13,Paramètres!$A$1:$I$89,3,0)*VLOOKUP('Données projet'!$B$13,Paramètres!$A$1:$I$89,5,0)</f>
        <v>-8.4419298218563211E-13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281.8501448773884</v>
      </c>
      <c r="CZ155" s="60">
        <f t="shared" si="150"/>
        <v>161.7340631691518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-9.6633812063373625E-13</v>
      </c>
      <c r="DP155" s="18">
        <f>DO155*VLOOKUP('Données projet'!$B$14,Paramètres!$A$1:$I$89,3,0)*VLOOKUP('Données projet'!$B$14,Paramètres!$A$1:$I$89,5,0)</f>
        <v>-8.7434273154940449E-13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295.19398489974265</v>
      </c>
      <c r="DU155" s="60">
        <f t="shared" si="152"/>
        <v>168.80998104712489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4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-9.7986685432260874E-13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341.82426415364569</v>
      </c>
      <c r="T156" s="60">
        <f t="shared" si="142"/>
        <v>193.53376539568887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-2.8421709430404007E-13</v>
      </c>
      <c r="AJ156" s="14">
        <f>AI156*VLOOKUP('Données projet'!$B$10,Paramètres!$A$1:$I$89,3,0)*VLOOKUP('Données projet'!$B$10,Paramètres!$A$1:$I$89,5,0)</f>
        <v>-1.69961822393816E-13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189.8516574130017</v>
      </c>
      <c r="AO156" s="60">
        <f t="shared" si="144"/>
        <v>191.91100863555891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1.2437487292390561</v>
      </c>
      <c r="AV156" s="23">
        <f>EXP(-LN(2)/25)*AV155+(1-EXP(-LN(2)/25))/(LN(2)/25)*Calculateur!AQ156*Calculateur!AS156*VLOOKUP('Données projet'!$B$10,Paramètres!$A$1:$I$89,3,0)*0.475*44/12</f>
        <v>0.59642030937944945</v>
      </c>
      <c r="AW156" s="23">
        <f>EXP(-LN(2)/2)*AW155+(1-EXP(-LN(2)/2))/(LN(2)/2)*AQ156*AT156*VLOOKUP('Données projet'!$B$10,Paramètres!$A$1:$I$89,3,0)*0.475*44/12</f>
        <v>1.8534049496419116E-18</v>
      </c>
      <c r="AX156" s="23">
        <f t="shared" si="166"/>
        <v>1.8401690386185057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-5.1159076974727213E-13</v>
      </c>
      <c r="BE156" s="14">
        <f>BD156*VLOOKUP('Données projet'!$B$11,Paramètres!$A$1:$I$89,3,0)*VLOOKUP('Données projet'!$B$11,Paramètres!$A$1:$I$89,5,0)</f>
        <v>-5.3471467253984886E-13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373.7520752235389</v>
      </c>
      <c r="BJ156" s="60">
        <f t="shared" si="146"/>
        <v>205.19966474305761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-6.2527760746888816E-13</v>
      </c>
      <c r="BZ156" s="14">
        <f>BY156*VLOOKUP('Données projet'!$B$12,Paramètres!$A$1:$I$89,3,0)*VLOOKUP('Données projet'!$B$12,Paramètres!$A$1:$I$89,5,0)</f>
        <v>-2.9262992029543964E-13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141.31558705818316</v>
      </c>
      <c r="CE156" s="60">
        <f t="shared" si="148"/>
        <v>67.142010893211364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-9.6633812063373625E-13</v>
      </c>
      <c r="CU156" s="18">
        <f>CT156*VLOOKUP('Données projet'!$B$13,Paramètres!$A$1:$I$89,3,0)*VLOOKUP('Données projet'!$B$13,Paramètres!$A$1:$I$89,5,0)</f>
        <v>-8.4419298218563211E-13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281.8501448773884</v>
      </c>
      <c r="CZ156" s="60">
        <f t="shared" si="150"/>
        <v>161.7340631691518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-9.6633812063373625E-13</v>
      </c>
      <c r="DP156" s="18">
        <f>DO156*VLOOKUP('Données projet'!$B$14,Paramètres!$A$1:$I$89,3,0)*VLOOKUP('Données projet'!$B$14,Paramètres!$A$1:$I$89,5,0)</f>
        <v>-8.7434273154940449E-13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295.19398489974265</v>
      </c>
      <c r="DU156" s="60">
        <f t="shared" si="152"/>
        <v>168.80998104712489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4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-9.7986685432260874E-13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341.82426415364569</v>
      </c>
      <c r="T157" s="60">
        <f t="shared" si="142"/>
        <v>193.53376539568887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-2.8421709430404007E-13</v>
      </c>
      <c r="AJ157" s="14">
        <f>AI157*VLOOKUP('Données projet'!$B$10,Paramètres!$A$1:$I$89,3,0)*VLOOKUP('Données projet'!$B$10,Paramètres!$A$1:$I$89,5,0)</f>
        <v>-1.69961822393816E-13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189.8516574130017</v>
      </c>
      <c r="AO157" s="60">
        <f t="shared" si="144"/>
        <v>191.91100863555891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1.2193595752704964</v>
      </c>
      <c r="AV157" s="23">
        <f>EXP(-LN(2)/25)*AV156+(1-EXP(-LN(2)/25))/(LN(2)/25)*Calculateur!AQ157*Calculateur!AS157*VLOOKUP('Données projet'!$B$10,Paramètres!$A$1:$I$89,3,0)*0.475*44/12</f>
        <v>0.5801111646550875</v>
      </c>
      <c r="AW157" s="23">
        <f>EXP(-LN(2)/2)*AW156+(1-EXP(-LN(2)/2))/(LN(2)/2)*AQ157*AT157*VLOOKUP('Données projet'!$B$10,Paramètres!$A$1:$I$89,3,0)*0.475*44/12</f>
        <v>1.3105552081765073E-18</v>
      </c>
      <c r="AX157" s="23">
        <f t="shared" si="166"/>
        <v>1.7994707399255838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-5.1159076974727213E-13</v>
      </c>
      <c r="BE157" s="14">
        <f>BD157*VLOOKUP('Données projet'!$B$11,Paramètres!$A$1:$I$89,3,0)*VLOOKUP('Données projet'!$B$11,Paramètres!$A$1:$I$89,5,0)</f>
        <v>-5.3471467253984886E-13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373.7520752235389</v>
      </c>
      <c r="BJ157" s="60">
        <f t="shared" si="146"/>
        <v>205.19966474305761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-6.2527760746888816E-13</v>
      </c>
      <c r="BZ157" s="14">
        <f>BY157*VLOOKUP('Données projet'!$B$12,Paramètres!$A$1:$I$89,3,0)*VLOOKUP('Données projet'!$B$12,Paramètres!$A$1:$I$89,5,0)</f>
        <v>-2.9262992029543964E-13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141.31558705818316</v>
      </c>
      <c r="CE157" s="60">
        <f t="shared" si="148"/>
        <v>67.142010893211364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-9.6633812063373625E-13</v>
      </c>
      <c r="CU157" s="18">
        <f>CT157*VLOOKUP('Données projet'!$B$13,Paramètres!$A$1:$I$89,3,0)*VLOOKUP('Données projet'!$B$13,Paramètres!$A$1:$I$89,5,0)</f>
        <v>-8.4419298218563211E-13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281.8501448773884</v>
      </c>
      <c r="CZ157" s="60">
        <f t="shared" si="150"/>
        <v>161.7340631691518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-9.6633812063373625E-13</v>
      </c>
      <c r="DP157" s="18">
        <f>DO157*VLOOKUP('Données projet'!$B$14,Paramètres!$A$1:$I$89,3,0)*VLOOKUP('Données projet'!$B$14,Paramètres!$A$1:$I$89,5,0)</f>
        <v>-8.7434273154940449E-13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295.19398489974265</v>
      </c>
      <c r="DU157" s="60">
        <f t="shared" si="152"/>
        <v>168.80998104712489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4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-9.7986685432260874E-13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341.82426415364569</v>
      </c>
      <c r="T158" s="60">
        <f t="shared" si="142"/>
        <v>193.53376539568887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-2.8421709430404007E-13</v>
      </c>
      <c r="AJ158" s="14">
        <f>AI158*VLOOKUP('Données projet'!$B$10,Paramètres!$A$1:$I$89,3,0)*VLOOKUP('Données projet'!$B$10,Paramètres!$A$1:$I$89,5,0)</f>
        <v>-1.69961822393816E-13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189.8516574130017</v>
      </c>
      <c r="AO158" s="60">
        <f t="shared" si="144"/>
        <v>191.91100863555891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1.195448677735345</v>
      </c>
      <c r="AV158" s="23">
        <f>EXP(-LN(2)/25)*AV157+(1-EXP(-LN(2)/25))/(LN(2)/25)*Calculateur!AQ158*Calculateur!AS158*VLOOKUP('Données projet'!$B$10,Paramètres!$A$1:$I$89,3,0)*0.475*44/12</f>
        <v>0.5642479943508738</v>
      </c>
      <c r="AW158" s="23">
        <f>EXP(-LN(2)/2)*AW157+(1-EXP(-LN(2)/2))/(LN(2)/2)*AQ158*AT158*VLOOKUP('Données projet'!$B$10,Paramètres!$A$1:$I$89,3,0)*0.475*44/12</f>
        <v>9.267024748209558E-19</v>
      </c>
      <c r="AX158" s="23">
        <f t="shared" si="166"/>
        <v>1.7596966720862188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-5.1159076974727213E-13</v>
      </c>
      <c r="BE158" s="14">
        <f>BD158*VLOOKUP('Données projet'!$B$11,Paramètres!$A$1:$I$89,3,0)*VLOOKUP('Données projet'!$B$11,Paramètres!$A$1:$I$89,5,0)</f>
        <v>-5.3471467253984886E-13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373.7520752235389</v>
      </c>
      <c r="BJ158" s="60">
        <f t="shared" si="146"/>
        <v>205.19966474305761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-6.2527760746888816E-13</v>
      </c>
      <c r="BZ158" s="14">
        <f>BY158*VLOOKUP('Données projet'!$B$12,Paramètres!$A$1:$I$89,3,0)*VLOOKUP('Données projet'!$B$12,Paramètres!$A$1:$I$89,5,0)</f>
        <v>-2.9262992029543964E-13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141.31558705818316</v>
      </c>
      <c r="CE158" s="60">
        <f t="shared" si="148"/>
        <v>67.142010893211364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-9.6633812063373625E-13</v>
      </c>
      <c r="CU158" s="18">
        <f>CT158*VLOOKUP('Données projet'!$B$13,Paramètres!$A$1:$I$89,3,0)*VLOOKUP('Données projet'!$B$13,Paramètres!$A$1:$I$89,5,0)</f>
        <v>-8.4419298218563211E-13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281.8501448773884</v>
      </c>
      <c r="CZ158" s="60">
        <f t="shared" si="150"/>
        <v>161.7340631691518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-9.6633812063373625E-13</v>
      </c>
      <c r="DP158" s="18">
        <f>DO158*VLOOKUP('Données projet'!$B$14,Paramètres!$A$1:$I$89,3,0)*VLOOKUP('Données projet'!$B$14,Paramètres!$A$1:$I$89,5,0)</f>
        <v>-8.7434273154940449E-13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295.19398489974265</v>
      </c>
      <c r="DU158" s="60">
        <f t="shared" si="152"/>
        <v>168.80998104712489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4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-9.7986685432260874E-13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341.82426415364569</v>
      </c>
      <c r="T159" s="60">
        <f t="shared" si="142"/>
        <v>193.53376539568887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-2.8421709430404007E-13</v>
      </c>
      <c r="AJ159" s="14">
        <f>AI159*VLOOKUP('Données projet'!$B$10,Paramètres!$A$1:$I$89,3,0)*VLOOKUP('Données projet'!$B$10,Paramètres!$A$1:$I$89,5,0)</f>
        <v>-1.69961822393816E-13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189.8516574130017</v>
      </c>
      <c r="AO159" s="60">
        <f t="shared" si="144"/>
        <v>191.91100863555891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1.1720066583166506</v>
      </c>
      <c r="AV159" s="23">
        <f>EXP(-LN(2)/25)*AV158+(1-EXP(-LN(2)/25))/(LN(2)/25)*Calculateur!AQ159*Calculateur!AS159*VLOOKUP('Données projet'!$B$10,Paramètres!$A$1:$I$89,3,0)*0.475*44/12</f>
        <v>0.54881860327283671</v>
      </c>
      <c r="AW159" s="23">
        <f>EXP(-LN(2)/2)*AW158+(1-EXP(-LN(2)/2))/(LN(2)/2)*AQ159*AT159*VLOOKUP('Données projet'!$B$10,Paramètres!$A$1:$I$89,3,0)*0.475*44/12</f>
        <v>6.5527760408825366E-19</v>
      </c>
      <c r="AX159" s="23">
        <f t="shared" si="166"/>
        <v>1.7208252615894875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-5.1159076974727213E-13</v>
      </c>
      <c r="BE159" s="14">
        <f>BD159*VLOOKUP('Données projet'!$B$11,Paramètres!$A$1:$I$89,3,0)*VLOOKUP('Données projet'!$B$11,Paramètres!$A$1:$I$89,5,0)</f>
        <v>-5.3471467253984886E-13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373.7520752235389</v>
      </c>
      <c r="BJ159" s="60">
        <f t="shared" si="146"/>
        <v>205.19966474305761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-6.2527760746888816E-13</v>
      </c>
      <c r="BZ159" s="14">
        <f>BY159*VLOOKUP('Données projet'!$B$12,Paramètres!$A$1:$I$89,3,0)*VLOOKUP('Données projet'!$B$12,Paramètres!$A$1:$I$89,5,0)</f>
        <v>-2.9262992029543964E-13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141.31558705818316</v>
      </c>
      <c r="CE159" s="60">
        <f t="shared" si="148"/>
        <v>67.142010893211364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-9.6633812063373625E-13</v>
      </c>
      <c r="CU159" s="18">
        <f>CT159*VLOOKUP('Données projet'!$B$13,Paramètres!$A$1:$I$89,3,0)*VLOOKUP('Données projet'!$B$13,Paramètres!$A$1:$I$89,5,0)</f>
        <v>-8.4419298218563211E-13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281.8501448773884</v>
      </c>
      <c r="CZ159" s="60">
        <f t="shared" si="150"/>
        <v>161.7340631691518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-9.6633812063373625E-13</v>
      </c>
      <c r="DP159" s="18">
        <f>DO159*VLOOKUP('Données projet'!$B$14,Paramètres!$A$1:$I$89,3,0)*VLOOKUP('Données projet'!$B$14,Paramètres!$A$1:$I$89,5,0)</f>
        <v>-8.7434273154940449E-13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295.19398489974265</v>
      </c>
      <c r="DU159" s="60">
        <f t="shared" si="152"/>
        <v>168.80998104712489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4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-9.7986685432260874E-13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341.82426415364569</v>
      </c>
      <c r="T160" s="60">
        <f t="shared" si="142"/>
        <v>193.53376539568887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-2.8421709430404007E-13</v>
      </c>
      <c r="AJ160" s="14">
        <f>AI160*VLOOKUP('Données projet'!$B$10,Paramètres!$A$1:$I$89,3,0)*VLOOKUP('Données projet'!$B$10,Paramètres!$A$1:$I$89,5,0)</f>
        <v>-1.69961822393816E-13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189.8516574130017</v>
      </c>
      <c r="AO160" s="60">
        <f t="shared" si="144"/>
        <v>191.91100863555891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1.1490243226005368</v>
      </c>
      <c r="AV160" s="23">
        <f>EXP(-LN(2)/25)*AV159+(1-EXP(-LN(2)/25))/(LN(2)/25)*Calculateur!AQ160*Calculateur!AS160*VLOOKUP('Données projet'!$B$10,Paramètres!$A$1:$I$89,3,0)*0.475*44/12</f>
        <v>0.53381112970522504</v>
      </c>
      <c r="AW160" s="23">
        <f>EXP(-LN(2)/2)*AW159+(1-EXP(-LN(2)/2))/(LN(2)/2)*AQ160*AT160*VLOOKUP('Données projet'!$B$10,Paramètres!$A$1:$I$89,3,0)*0.475*44/12</f>
        <v>4.633512374104779E-19</v>
      </c>
      <c r="AX160" s="23">
        <f t="shared" si="166"/>
        <v>1.6828354523057618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-5.1159076974727213E-13</v>
      </c>
      <c r="BE160" s="14">
        <f>BD160*VLOOKUP('Données projet'!$B$11,Paramètres!$A$1:$I$89,3,0)*VLOOKUP('Données projet'!$B$11,Paramètres!$A$1:$I$89,5,0)</f>
        <v>-5.3471467253984886E-13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373.7520752235389</v>
      </c>
      <c r="BJ160" s="60">
        <f t="shared" si="146"/>
        <v>205.19966474305761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-6.2527760746888816E-13</v>
      </c>
      <c r="BZ160" s="14">
        <f>BY160*VLOOKUP('Données projet'!$B$12,Paramètres!$A$1:$I$89,3,0)*VLOOKUP('Données projet'!$B$12,Paramètres!$A$1:$I$89,5,0)</f>
        <v>-2.9262992029543964E-13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141.31558705818316</v>
      </c>
      <c r="CE160" s="60">
        <f t="shared" si="148"/>
        <v>67.142010893211364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-9.6633812063373625E-13</v>
      </c>
      <c r="CU160" s="18">
        <f>CT160*VLOOKUP('Données projet'!$B$13,Paramètres!$A$1:$I$89,3,0)*VLOOKUP('Données projet'!$B$13,Paramètres!$A$1:$I$89,5,0)</f>
        <v>-8.4419298218563211E-13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281.8501448773884</v>
      </c>
      <c r="CZ160" s="60">
        <f t="shared" si="150"/>
        <v>161.7340631691518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-9.6633812063373625E-13</v>
      </c>
      <c r="DP160" s="18">
        <f>DO160*VLOOKUP('Données projet'!$B$14,Paramètres!$A$1:$I$89,3,0)*VLOOKUP('Données projet'!$B$14,Paramètres!$A$1:$I$89,5,0)</f>
        <v>-8.7434273154940449E-13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295.19398489974265</v>
      </c>
      <c r="DU160" s="60">
        <f t="shared" si="152"/>
        <v>168.80998104712489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4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-9.7986685432260874E-13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341.82426415364569</v>
      </c>
      <c r="T161" s="60">
        <f t="shared" si="142"/>
        <v>193.53376539568887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-2.8421709430404007E-13</v>
      </c>
      <c r="AJ161" s="14">
        <f>AI161*VLOOKUP('Données projet'!$B$10,Paramètres!$A$1:$I$89,3,0)*VLOOKUP('Données projet'!$B$10,Paramètres!$A$1:$I$89,5,0)</f>
        <v>-1.69961822393816E-13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189.8516574130017</v>
      </c>
      <c r="AO161" s="60">
        <f t="shared" si="144"/>
        <v>191.91100863555891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1.1264926564699753</v>
      </c>
      <c r="AV161" s="23">
        <f>EXP(-LN(2)/25)*AV160+(1-EXP(-LN(2)/25))/(LN(2)/25)*Calculateur!AQ161*Calculateur!AS161*VLOOKUP('Données projet'!$B$10,Paramètres!$A$1:$I$89,3,0)*0.475*44/12</f>
        <v>0.5192140362915284</v>
      </c>
      <c r="AW161" s="23">
        <f>EXP(-LN(2)/2)*AW160+(1-EXP(-LN(2)/2))/(LN(2)/2)*AQ161*AT161*VLOOKUP('Données projet'!$B$10,Paramètres!$A$1:$I$89,3,0)*0.475*44/12</f>
        <v>3.2763880204412683E-19</v>
      </c>
      <c r="AX161" s="23">
        <f t="shared" si="166"/>
        <v>1.6457066927615038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-5.1159076974727213E-13</v>
      </c>
      <c r="BE161" s="14">
        <f>BD161*VLOOKUP('Données projet'!$B$11,Paramètres!$A$1:$I$89,3,0)*VLOOKUP('Données projet'!$B$11,Paramètres!$A$1:$I$89,5,0)</f>
        <v>-5.3471467253984886E-13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373.7520752235389</v>
      </c>
      <c r="BJ161" s="60">
        <f t="shared" si="146"/>
        <v>205.19966474305761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-6.2527760746888816E-13</v>
      </c>
      <c r="BZ161" s="14">
        <f>BY161*VLOOKUP('Données projet'!$B$12,Paramètres!$A$1:$I$89,3,0)*VLOOKUP('Données projet'!$B$12,Paramètres!$A$1:$I$89,5,0)</f>
        <v>-2.9262992029543964E-13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141.31558705818316</v>
      </c>
      <c r="CE161" s="60">
        <f t="shared" si="148"/>
        <v>67.142010893211364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-9.6633812063373625E-13</v>
      </c>
      <c r="CU161" s="18">
        <f>CT161*VLOOKUP('Données projet'!$B$13,Paramètres!$A$1:$I$89,3,0)*VLOOKUP('Données projet'!$B$13,Paramètres!$A$1:$I$89,5,0)</f>
        <v>-8.4419298218563211E-13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281.8501448773884</v>
      </c>
      <c r="CZ161" s="60">
        <f t="shared" si="150"/>
        <v>161.7340631691518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-9.6633812063373625E-13</v>
      </c>
      <c r="DP161" s="18">
        <f>DO161*VLOOKUP('Données projet'!$B$14,Paramètres!$A$1:$I$89,3,0)*VLOOKUP('Données projet'!$B$14,Paramètres!$A$1:$I$89,5,0)</f>
        <v>-8.7434273154940449E-13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295.19398489974265</v>
      </c>
      <c r="DU161" s="60">
        <f t="shared" si="152"/>
        <v>168.80998104712489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4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-9.7986685432260874E-13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341.82426415364569</v>
      </c>
      <c r="T162" s="60">
        <f t="shared" si="142"/>
        <v>193.53376539568887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-2.8421709430404007E-13</v>
      </c>
      <c r="AJ162" s="14">
        <f>AI162*VLOOKUP('Données projet'!$B$10,Paramètres!$A$1:$I$89,3,0)*VLOOKUP('Données projet'!$B$10,Paramètres!$A$1:$I$89,5,0)</f>
        <v>-1.69961822393816E-13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189.8516574130017</v>
      </c>
      <c r="AO162" s="60">
        <f t="shared" si="144"/>
        <v>191.91100863555891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1.1044028225692748</v>
      </c>
      <c r="AV162" s="23">
        <f>EXP(-LN(2)/25)*AV161+(1-EXP(-LN(2)/25))/(LN(2)/25)*Calculateur!AQ162*Calculateur!AS162*VLOOKUP('Données projet'!$B$10,Paramètres!$A$1:$I$89,3,0)*0.475*44/12</f>
        <v>0.50501610116485707</v>
      </c>
      <c r="AW162" s="23">
        <f>EXP(-LN(2)/2)*AW161+(1-EXP(-LN(2)/2))/(LN(2)/2)*AQ162*AT162*VLOOKUP('Données projet'!$B$10,Paramètres!$A$1:$I$89,3,0)*0.475*44/12</f>
        <v>2.3167561870523895E-19</v>
      </c>
      <c r="AX162" s="23">
        <f t="shared" si="166"/>
        <v>1.6094189237341319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-5.1159076974727213E-13</v>
      </c>
      <c r="BE162" s="14">
        <f>BD162*VLOOKUP('Données projet'!$B$11,Paramètres!$A$1:$I$89,3,0)*VLOOKUP('Données projet'!$B$11,Paramètres!$A$1:$I$89,5,0)</f>
        <v>-5.3471467253984886E-13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373.7520752235389</v>
      </c>
      <c r="BJ162" s="60">
        <f t="shared" si="146"/>
        <v>205.19966474305761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-6.2527760746888816E-13</v>
      </c>
      <c r="BZ162" s="14">
        <f>BY162*VLOOKUP('Données projet'!$B$12,Paramètres!$A$1:$I$89,3,0)*VLOOKUP('Données projet'!$B$12,Paramètres!$A$1:$I$89,5,0)</f>
        <v>-2.9262992029543964E-13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141.31558705818316</v>
      </c>
      <c r="CE162" s="60">
        <f t="shared" si="148"/>
        <v>67.142010893211364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-9.6633812063373625E-13</v>
      </c>
      <c r="CU162" s="18">
        <f>CT162*VLOOKUP('Données projet'!$B$13,Paramètres!$A$1:$I$89,3,0)*VLOOKUP('Données projet'!$B$13,Paramètres!$A$1:$I$89,5,0)</f>
        <v>-8.4419298218563211E-13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281.8501448773884</v>
      </c>
      <c r="CZ162" s="60">
        <f t="shared" si="150"/>
        <v>161.7340631691518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-9.6633812063373625E-13</v>
      </c>
      <c r="DP162" s="18">
        <f>DO162*VLOOKUP('Données projet'!$B$14,Paramètres!$A$1:$I$89,3,0)*VLOOKUP('Données projet'!$B$14,Paramètres!$A$1:$I$89,5,0)</f>
        <v>-8.7434273154940449E-13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295.19398489974265</v>
      </c>
      <c r="DU162" s="60">
        <f t="shared" si="152"/>
        <v>168.80998104712489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4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-9.7986685432260874E-13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341.82426415364569</v>
      </c>
      <c r="T163" s="60">
        <f t="shared" si="142"/>
        <v>193.53376539568887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-2.8421709430404007E-13</v>
      </c>
      <c r="AJ163" s="14">
        <f>AI163*VLOOKUP('Données projet'!$B$10,Paramètres!$A$1:$I$89,3,0)*VLOOKUP('Données projet'!$B$10,Paramètres!$A$1:$I$89,5,0)</f>
        <v>-1.69961822393816E-13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189.8516574130017</v>
      </c>
      <c r="AO163" s="60">
        <f t="shared" si="144"/>
        <v>191.91100863555891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1.0827461568378987</v>
      </c>
      <c r="AV163" s="23">
        <f>EXP(-LN(2)/25)*AV162+(1-EXP(-LN(2)/25))/(LN(2)/25)*Calculateur!AQ163*Calculateur!AS163*VLOOKUP('Données projet'!$B$10,Paramètres!$A$1:$I$89,3,0)*0.475*44/12</f>
        <v>0.49120640932086151</v>
      </c>
      <c r="AW163" s="23">
        <f>EXP(-LN(2)/2)*AW162+(1-EXP(-LN(2)/2))/(LN(2)/2)*AQ163*AT163*VLOOKUP('Données projet'!$B$10,Paramètres!$A$1:$I$89,3,0)*0.475*44/12</f>
        <v>1.6381940102206341E-19</v>
      </c>
      <c r="AX163" s="23">
        <f t="shared" si="166"/>
        <v>1.5739525661587601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-5.1159076974727213E-13</v>
      </c>
      <c r="BE163" s="14">
        <f>BD163*VLOOKUP('Données projet'!$B$11,Paramètres!$A$1:$I$89,3,0)*VLOOKUP('Données projet'!$B$11,Paramètres!$A$1:$I$89,5,0)</f>
        <v>-5.3471467253984886E-13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373.7520752235389</v>
      </c>
      <c r="BJ163" s="60">
        <f t="shared" si="146"/>
        <v>205.19966474305761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-6.2527760746888816E-13</v>
      </c>
      <c r="BZ163" s="14">
        <f>BY163*VLOOKUP('Données projet'!$B$12,Paramètres!$A$1:$I$89,3,0)*VLOOKUP('Données projet'!$B$12,Paramètres!$A$1:$I$89,5,0)</f>
        <v>-2.9262992029543964E-13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141.31558705818316</v>
      </c>
      <c r="CE163" s="60">
        <f t="shared" si="148"/>
        <v>67.142010893211364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-9.6633812063373625E-13</v>
      </c>
      <c r="CU163" s="18">
        <f>CT163*VLOOKUP('Données projet'!$B$13,Paramètres!$A$1:$I$89,3,0)*VLOOKUP('Données projet'!$B$13,Paramètres!$A$1:$I$89,5,0)</f>
        <v>-8.4419298218563211E-13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281.8501448773884</v>
      </c>
      <c r="CZ163" s="60">
        <f t="shared" si="150"/>
        <v>161.7340631691518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-9.6633812063373625E-13</v>
      </c>
      <c r="DP163" s="18">
        <f>DO163*VLOOKUP('Données projet'!$B$14,Paramètres!$A$1:$I$89,3,0)*VLOOKUP('Données projet'!$B$14,Paramètres!$A$1:$I$89,5,0)</f>
        <v>-8.7434273154940449E-13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295.19398489974265</v>
      </c>
      <c r="DU163" s="60">
        <f t="shared" si="152"/>
        <v>168.80998104712489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4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-9.7986685432260874E-13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341.82426415364569</v>
      </c>
      <c r="T164" s="60">
        <f t="shared" si="142"/>
        <v>193.53376539568887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-2.8421709430404007E-13</v>
      </c>
      <c r="AJ164" s="14">
        <f>AI164*VLOOKUP('Données projet'!$B$10,Paramètres!$A$1:$I$89,3,0)*VLOOKUP('Données projet'!$B$10,Paramètres!$A$1:$I$89,5,0)</f>
        <v>-1.69961822393816E-13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189.8516574130017</v>
      </c>
      <c r="AO164" s="60">
        <f t="shared" si="144"/>
        <v>191.91100863555891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1.061514165112253</v>
      </c>
      <c r="AV164" s="23">
        <f>EXP(-LN(2)/25)*AV163+(1-EXP(-LN(2)/25))/(LN(2)/25)*Calculateur!AQ164*Calculateur!AS164*VLOOKUP('Données projet'!$B$10,Paramètres!$A$1:$I$89,3,0)*0.475*44/12</f>
        <v>0.47777434422656018</v>
      </c>
      <c r="AW164" s="23">
        <f>EXP(-LN(2)/2)*AW163+(1-EXP(-LN(2)/2))/(LN(2)/2)*AQ164*AT164*VLOOKUP('Données projet'!$B$10,Paramètres!$A$1:$I$89,3,0)*0.475*44/12</f>
        <v>1.1583780935261948E-19</v>
      </c>
      <c r="AX164" s="23">
        <f t="shared" si="166"/>
        <v>1.5392885093388133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-5.1159076974727213E-13</v>
      </c>
      <c r="BE164" s="14">
        <f>BD164*VLOOKUP('Données projet'!$B$11,Paramètres!$A$1:$I$89,3,0)*VLOOKUP('Données projet'!$B$11,Paramètres!$A$1:$I$89,5,0)</f>
        <v>-5.3471467253984886E-13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373.7520752235389</v>
      </c>
      <c r="BJ164" s="60">
        <f t="shared" si="146"/>
        <v>205.19966474305761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-6.2527760746888816E-13</v>
      </c>
      <c r="BZ164" s="14">
        <f>BY164*VLOOKUP('Données projet'!$B$12,Paramètres!$A$1:$I$89,3,0)*VLOOKUP('Données projet'!$B$12,Paramètres!$A$1:$I$89,5,0)</f>
        <v>-2.9262992029543964E-13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141.31558705818316</v>
      </c>
      <c r="CE164" s="60">
        <f t="shared" si="148"/>
        <v>67.142010893211364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-9.6633812063373625E-13</v>
      </c>
      <c r="CU164" s="18">
        <f>CT164*VLOOKUP('Données projet'!$B$13,Paramètres!$A$1:$I$89,3,0)*VLOOKUP('Données projet'!$B$13,Paramètres!$A$1:$I$89,5,0)</f>
        <v>-8.4419298218563211E-13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281.8501448773884</v>
      </c>
      <c r="CZ164" s="60">
        <f t="shared" si="150"/>
        <v>161.7340631691518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-9.6633812063373625E-13</v>
      </c>
      <c r="DP164" s="18">
        <f>DO164*VLOOKUP('Données projet'!$B$14,Paramètres!$A$1:$I$89,3,0)*VLOOKUP('Données projet'!$B$14,Paramètres!$A$1:$I$89,5,0)</f>
        <v>-8.7434273154940449E-13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295.19398489974265</v>
      </c>
      <c r="DU164" s="60">
        <f t="shared" si="152"/>
        <v>168.80998104712489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4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-9.7986685432260874E-13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341.82426415364569</v>
      </c>
      <c r="T165" s="60">
        <f t="shared" si="142"/>
        <v>193.53376539568887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-2.8421709430404007E-13</v>
      </c>
      <c r="AJ165" s="14">
        <f>AI165*VLOOKUP('Données projet'!$B$10,Paramètres!$A$1:$I$89,3,0)*VLOOKUP('Données projet'!$B$10,Paramètres!$A$1:$I$89,5,0)</f>
        <v>-1.69961822393816E-13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189.8516574130017</v>
      </c>
      <c r="AO165" s="60">
        <f t="shared" si="144"/>
        <v>191.91100863555891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1.0406985197941112</v>
      </c>
      <c r="AV165" s="23">
        <f>EXP(-LN(2)/25)*AV164+(1-EXP(-LN(2)/25))/(LN(2)/25)*Calculateur!AQ165*Calculateur!AS165*VLOOKUP('Données projet'!$B$10,Paramètres!$A$1:$I$89,3,0)*0.475*44/12</f>
        <v>0.46470957965862408</v>
      </c>
      <c r="AW165" s="23">
        <f>EXP(-LN(2)/2)*AW164+(1-EXP(-LN(2)/2))/(LN(2)/2)*AQ165*AT165*VLOOKUP('Données projet'!$B$10,Paramètres!$A$1:$I$89,3,0)*0.475*44/12</f>
        <v>8.1909700511031707E-20</v>
      </c>
      <c r="AX165" s="23">
        <f t="shared" si="166"/>
        <v>1.5054080994527352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-5.1159076974727213E-13</v>
      </c>
      <c r="BE165" s="14">
        <f>BD165*VLOOKUP('Données projet'!$B$11,Paramètres!$A$1:$I$89,3,0)*VLOOKUP('Données projet'!$B$11,Paramètres!$A$1:$I$89,5,0)</f>
        <v>-5.3471467253984886E-13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373.7520752235389</v>
      </c>
      <c r="BJ165" s="60">
        <f t="shared" si="146"/>
        <v>205.19966474305761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-6.2527760746888816E-13</v>
      </c>
      <c r="BZ165" s="14">
        <f>BY165*VLOOKUP('Données projet'!$B$12,Paramètres!$A$1:$I$89,3,0)*VLOOKUP('Données projet'!$B$12,Paramètres!$A$1:$I$89,5,0)</f>
        <v>-2.9262992029543964E-13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141.31558705818316</v>
      </c>
      <c r="CE165" s="60">
        <f t="shared" si="148"/>
        <v>67.142010893211364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-9.6633812063373625E-13</v>
      </c>
      <c r="CU165" s="18">
        <f>CT165*VLOOKUP('Données projet'!$B$13,Paramètres!$A$1:$I$89,3,0)*VLOOKUP('Données projet'!$B$13,Paramètres!$A$1:$I$89,5,0)</f>
        <v>-8.4419298218563211E-13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281.8501448773884</v>
      </c>
      <c r="CZ165" s="60">
        <f t="shared" si="150"/>
        <v>161.7340631691518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-9.6633812063373625E-13</v>
      </c>
      <c r="DP165" s="18">
        <f>DO165*VLOOKUP('Données projet'!$B$14,Paramètres!$A$1:$I$89,3,0)*VLOOKUP('Données projet'!$B$14,Paramètres!$A$1:$I$89,5,0)</f>
        <v>-8.7434273154940449E-13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295.19398489974265</v>
      </c>
      <c r="DU165" s="60">
        <f t="shared" si="152"/>
        <v>168.80998104712489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4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-9.7986685432260874E-13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341.82426415364569</v>
      </c>
      <c r="T166" s="60">
        <f t="shared" si="142"/>
        <v>193.53376539568887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-2.8421709430404007E-13</v>
      </c>
      <c r="AJ166" s="14">
        <f>AI166*VLOOKUP('Données projet'!$B$10,Paramètres!$A$1:$I$89,3,0)*VLOOKUP('Données projet'!$B$10,Paramètres!$A$1:$I$89,5,0)</f>
        <v>-1.69961822393816E-13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189.8516574130017</v>
      </c>
      <c r="AO166" s="60">
        <f t="shared" si="144"/>
        <v>191.91100863555891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1.0202910565843681</v>
      </c>
      <c r="AV166" s="23">
        <f>EXP(-LN(2)/25)*AV165+(1-EXP(-LN(2)/25))/(LN(2)/25)*Calculateur!AQ166*Calculateur!AS166*VLOOKUP('Données projet'!$B$10,Paramètres!$A$1:$I$89,3,0)*0.475*44/12</f>
        <v>0.4520020717648443</v>
      </c>
      <c r="AW166" s="23">
        <f>EXP(-LN(2)/2)*AW165+(1-EXP(-LN(2)/2))/(LN(2)/2)*AQ166*AT166*VLOOKUP('Données projet'!$B$10,Paramètres!$A$1:$I$89,3,0)*0.475*44/12</f>
        <v>5.7918904676309738E-20</v>
      </c>
      <c r="AX166" s="23">
        <f t="shared" si="166"/>
        <v>1.4722931283492124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-5.1159076974727213E-13</v>
      </c>
      <c r="BE166" s="14">
        <f>BD166*VLOOKUP('Données projet'!$B$11,Paramètres!$A$1:$I$89,3,0)*VLOOKUP('Données projet'!$B$11,Paramètres!$A$1:$I$89,5,0)</f>
        <v>-5.3471467253984886E-13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373.7520752235389</v>
      </c>
      <c r="BJ166" s="60">
        <f t="shared" si="146"/>
        <v>205.19966474305761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-6.2527760746888816E-13</v>
      </c>
      <c r="BZ166" s="14">
        <f>BY166*VLOOKUP('Données projet'!$B$12,Paramètres!$A$1:$I$89,3,0)*VLOOKUP('Données projet'!$B$12,Paramètres!$A$1:$I$89,5,0)</f>
        <v>-2.9262992029543964E-13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141.31558705818316</v>
      </c>
      <c r="CE166" s="60">
        <f t="shared" si="148"/>
        <v>67.142010893211364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-9.6633812063373625E-13</v>
      </c>
      <c r="CU166" s="18">
        <f>CT166*VLOOKUP('Données projet'!$B$13,Paramètres!$A$1:$I$89,3,0)*VLOOKUP('Données projet'!$B$13,Paramètres!$A$1:$I$89,5,0)</f>
        <v>-8.4419298218563211E-13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281.8501448773884</v>
      </c>
      <c r="CZ166" s="60">
        <f t="shared" si="150"/>
        <v>161.7340631691518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-9.6633812063373625E-13</v>
      </c>
      <c r="DP166" s="18">
        <f>DO166*VLOOKUP('Données projet'!$B$14,Paramètres!$A$1:$I$89,3,0)*VLOOKUP('Données projet'!$B$14,Paramètres!$A$1:$I$89,5,0)</f>
        <v>-8.7434273154940449E-13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295.19398489974265</v>
      </c>
      <c r="DU166" s="60">
        <f t="shared" si="152"/>
        <v>168.80998104712489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4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-9.7986685432260874E-13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341.82426415364569</v>
      </c>
      <c r="T167" s="60">
        <f t="shared" si="142"/>
        <v>193.53376539568887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-2.8421709430404007E-13</v>
      </c>
      <c r="AJ167" s="14">
        <f>AI167*VLOOKUP('Données projet'!$B$10,Paramètres!$A$1:$I$89,3,0)*VLOOKUP('Données projet'!$B$10,Paramètres!$A$1:$I$89,5,0)</f>
        <v>-1.69961822393816E-13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189.8516574130017</v>
      </c>
      <c r="AO167" s="60">
        <f t="shared" si="144"/>
        <v>191.91100863555891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1.0002837712808446</v>
      </c>
      <c r="AV167" s="23">
        <f>EXP(-LN(2)/25)*AV166+(1-EXP(-LN(2)/25))/(LN(2)/25)*Calculateur!AQ167*Calculateur!AS167*VLOOKUP('Données projet'!$B$10,Paramètres!$A$1:$I$89,3,0)*0.475*44/12</f>
        <v>0.43964205134267875</v>
      </c>
      <c r="AW167" s="23">
        <f>EXP(-LN(2)/2)*AW166+(1-EXP(-LN(2)/2))/(LN(2)/2)*AQ167*AT167*VLOOKUP('Données projet'!$B$10,Paramètres!$A$1:$I$89,3,0)*0.475*44/12</f>
        <v>4.0954850255515854E-20</v>
      </c>
      <c r="AX167" s="23">
        <f t="shared" si="166"/>
        <v>1.4399258226235232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-5.1159076974727213E-13</v>
      </c>
      <c r="BE167" s="14">
        <f>BD167*VLOOKUP('Données projet'!$B$11,Paramètres!$A$1:$I$89,3,0)*VLOOKUP('Données projet'!$B$11,Paramètres!$A$1:$I$89,5,0)</f>
        <v>-5.3471467253984886E-13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373.7520752235389</v>
      </c>
      <c r="BJ167" s="60">
        <f t="shared" si="146"/>
        <v>205.19966474305761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-6.2527760746888816E-13</v>
      </c>
      <c r="BZ167" s="14">
        <f>BY167*VLOOKUP('Données projet'!$B$12,Paramètres!$A$1:$I$89,3,0)*VLOOKUP('Données projet'!$B$12,Paramètres!$A$1:$I$89,5,0)</f>
        <v>-2.9262992029543964E-13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141.31558705818316</v>
      </c>
      <c r="CE167" s="60">
        <f t="shared" si="148"/>
        <v>67.142010893211364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-9.6633812063373625E-13</v>
      </c>
      <c r="CU167" s="18">
        <f>CT167*VLOOKUP('Données projet'!$B$13,Paramètres!$A$1:$I$89,3,0)*VLOOKUP('Données projet'!$B$13,Paramètres!$A$1:$I$89,5,0)</f>
        <v>-8.4419298218563211E-13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281.8501448773884</v>
      </c>
      <c r="CZ167" s="60">
        <f t="shared" si="150"/>
        <v>161.7340631691518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-9.6633812063373625E-13</v>
      </c>
      <c r="DP167" s="18">
        <f>DO167*VLOOKUP('Données projet'!$B$14,Paramètres!$A$1:$I$89,3,0)*VLOOKUP('Données projet'!$B$14,Paramètres!$A$1:$I$89,5,0)</f>
        <v>-8.7434273154940449E-13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295.19398489974265</v>
      </c>
      <c r="DU167" s="60">
        <f t="shared" si="152"/>
        <v>168.80998104712489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4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-9.7986685432260874E-13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341.82426415364569</v>
      </c>
      <c r="T168" s="60">
        <f t="shared" si="142"/>
        <v>193.53376539568887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-2.8421709430404007E-13</v>
      </c>
      <c r="AJ168" s="14">
        <f>AI168*VLOOKUP('Données projet'!$B$10,Paramètres!$A$1:$I$89,3,0)*VLOOKUP('Données projet'!$B$10,Paramètres!$A$1:$I$89,5,0)</f>
        <v>-1.69961822393816E-13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189.8516574130017</v>
      </c>
      <c r="AO168" s="60">
        <f t="shared" si="144"/>
        <v>191.91100863555891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0.98066881663888406</v>
      </c>
      <c r="AV168" s="23">
        <f>EXP(-LN(2)/25)*AV167+(1-EXP(-LN(2)/25))/(LN(2)/25)*Calculateur!AQ168*Calculateur!AS168*VLOOKUP('Données projet'!$B$10,Paramètres!$A$1:$I$89,3,0)*0.475*44/12</f>
        <v>0.42762001632894253</v>
      </c>
      <c r="AW168" s="23">
        <f>EXP(-LN(2)/2)*AW167+(1-EXP(-LN(2)/2))/(LN(2)/2)*AQ168*AT168*VLOOKUP('Données projet'!$B$10,Paramètres!$A$1:$I$89,3,0)*0.475*44/12</f>
        <v>2.8959452338154869E-20</v>
      </c>
      <c r="AX168" s="23">
        <f t="shared" si="166"/>
        <v>1.4082888329678265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-5.1159076974727213E-13</v>
      </c>
      <c r="BE168" s="14">
        <f>BD168*VLOOKUP('Données projet'!$B$11,Paramètres!$A$1:$I$89,3,0)*VLOOKUP('Données projet'!$B$11,Paramètres!$A$1:$I$89,5,0)</f>
        <v>-5.3471467253984886E-13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373.7520752235389</v>
      </c>
      <c r="BJ168" s="60">
        <f t="shared" si="146"/>
        <v>205.19966474305761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-6.2527760746888816E-13</v>
      </c>
      <c r="BZ168" s="14">
        <f>BY168*VLOOKUP('Données projet'!$B$12,Paramètres!$A$1:$I$89,3,0)*VLOOKUP('Données projet'!$B$12,Paramètres!$A$1:$I$89,5,0)</f>
        <v>-2.9262992029543964E-13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141.31558705818316</v>
      </c>
      <c r="CE168" s="60">
        <f t="shared" si="148"/>
        <v>67.142010893211364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-9.6633812063373625E-13</v>
      </c>
      <c r="CU168" s="18">
        <f>CT168*VLOOKUP('Données projet'!$B$13,Paramètres!$A$1:$I$89,3,0)*VLOOKUP('Données projet'!$B$13,Paramètres!$A$1:$I$89,5,0)</f>
        <v>-8.4419298218563211E-13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281.8501448773884</v>
      </c>
      <c r="CZ168" s="60">
        <f t="shared" si="150"/>
        <v>161.7340631691518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-9.6633812063373625E-13</v>
      </c>
      <c r="DP168" s="18">
        <f>DO168*VLOOKUP('Données projet'!$B$14,Paramètres!$A$1:$I$89,3,0)*VLOOKUP('Données projet'!$B$14,Paramètres!$A$1:$I$89,5,0)</f>
        <v>-8.7434273154940449E-13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295.19398489974265</v>
      </c>
      <c r="DU168" s="60">
        <f t="shared" si="152"/>
        <v>168.80998104712489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4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-9.7986685432260874E-13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341.82426415364569</v>
      </c>
      <c r="T169" s="60">
        <f t="shared" si="142"/>
        <v>193.53376539568887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-2.8421709430404007E-13</v>
      </c>
      <c r="AJ169" s="14">
        <f>AI169*VLOOKUP('Données projet'!$B$10,Paramètres!$A$1:$I$89,3,0)*VLOOKUP('Données projet'!$B$10,Paramètres!$A$1:$I$89,5,0)</f>
        <v>-1.69961822393816E-13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189.8516574130017</v>
      </c>
      <c r="AO169" s="60">
        <f t="shared" si="144"/>
        <v>191.91100863555891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0.96143849929351144</v>
      </c>
      <c r="AV169" s="23">
        <f>EXP(-LN(2)/25)*AV168+(1-EXP(-LN(2)/25))/(LN(2)/25)*Calculateur!AQ169*Calculateur!AS169*VLOOKUP('Données projet'!$B$10,Paramètres!$A$1:$I$89,3,0)*0.475*44/12</f>
        <v>0.41592672449486828</v>
      </c>
      <c r="AW169" s="23">
        <f>EXP(-LN(2)/2)*AW168+(1-EXP(-LN(2)/2))/(LN(2)/2)*AQ169*AT169*VLOOKUP('Données projet'!$B$10,Paramètres!$A$1:$I$89,3,0)*0.475*44/12</f>
        <v>2.0477425127757927E-20</v>
      </c>
      <c r="AX169" s="23">
        <f t="shared" si="166"/>
        <v>1.3773652237883798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-5.1159076974727213E-13</v>
      </c>
      <c r="BE169" s="14">
        <f>BD169*VLOOKUP('Données projet'!$B$11,Paramètres!$A$1:$I$89,3,0)*VLOOKUP('Données projet'!$B$11,Paramètres!$A$1:$I$89,5,0)</f>
        <v>-5.3471467253984886E-13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373.7520752235389</v>
      </c>
      <c r="BJ169" s="60">
        <f t="shared" si="146"/>
        <v>205.19966474305761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-6.2527760746888816E-13</v>
      </c>
      <c r="BZ169" s="14">
        <f>BY169*VLOOKUP('Données projet'!$B$12,Paramètres!$A$1:$I$89,3,0)*VLOOKUP('Données projet'!$B$12,Paramètres!$A$1:$I$89,5,0)</f>
        <v>-2.9262992029543964E-13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141.31558705818316</v>
      </c>
      <c r="CE169" s="60">
        <f t="shared" si="148"/>
        <v>67.142010893211364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-9.6633812063373625E-13</v>
      </c>
      <c r="CU169" s="18">
        <f>CT169*VLOOKUP('Données projet'!$B$13,Paramètres!$A$1:$I$89,3,0)*VLOOKUP('Données projet'!$B$13,Paramètres!$A$1:$I$89,5,0)</f>
        <v>-8.4419298218563211E-13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281.8501448773884</v>
      </c>
      <c r="CZ169" s="60">
        <f t="shared" si="150"/>
        <v>161.7340631691518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-9.6633812063373625E-13</v>
      </c>
      <c r="DP169" s="18">
        <f>DO169*VLOOKUP('Données projet'!$B$14,Paramètres!$A$1:$I$89,3,0)*VLOOKUP('Données projet'!$B$14,Paramètres!$A$1:$I$89,5,0)</f>
        <v>-8.7434273154940449E-13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295.19398489974265</v>
      </c>
      <c r="DU169" s="60">
        <f t="shared" si="152"/>
        <v>168.80998104712489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4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-9.7986685432260874E-13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341.82426415364569</v>
      </c>
      <c r="T170" s="60">
        <f t="shared" si="142"/>
        <v>193.53376539568887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-2.8421709430404007E-13</v>
      </c>
      <c r="AJ170" s="14">
        <f>AI170*VLOOKUP('Données projet'!$B$10,Paramètres!$A$1:$I$89,3,0)*VLOOKUP('Données projet'!$B$10,Paramètres!$A$1:$I$89,5,0)</f>
        <v>-1.69961822393816E-13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189.8516574130017</v>
      </c>
      <c r="AO170" s="60">
        <f t="shared" si="144"/>
        <v>191.91100863555891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0.94258527674194614</v>
      </c>
      <c r="AV170" s="23">
        <f>EXP(-LN(2)/25)*AV169+(1-EXP(-LN(2)/25))/(LN(2)/25)*Calculateur!AQ170*Calculateur!AS170*VLOOKUP('Données projet'!$B$10,Paramètres!$A$1:$I$89,3,0)*0.475*44/12</f>
        <v>0.4045531863409203</v>
      </c>
      <c r="AW170" s="23">
        <f>EXP(-LN(2)/2)*AW169+(1-EXP(-LN(2)/2))/(LN(2)/2)*AQ170*AT170*VLOOKUP('Données projet'!$B$10,Paramètres!$A$1:$I$89,3,0)*0.475*44/12</f>
        <v>1.4479726169077434E-20</v>
      </c>
      <c r="AX170" s="23">
        <f t="shared" si="166"/>
        <v>1.3471384630828664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-5.1159076974727213E-13</v>
      </c>
      <c r="BE170" s="14">
        <f>BD170*VLOOKUP('Données projet'!$B$11,Paramètres!$A$1:$I$89,3,0)*VLOOKUP('Données projet'!$B$11,Paramètres!$A$1:$I$89,5,0)</f>
        <v>-5.3471467253984886E-13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373.7520752235389</v>
      </c>
      <c r="BJ170" s="60">
        <f t="shared" si="146"/>
        <v>205.19966474305761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-6.2527760746888816E-13</v>
      </c>
      <c r="BZ170" s="14">
        <f>BY170*VLOOKUP('Données projet'!$B$12,Paramètres!$A$1:$I$89,3,0)*VLOOKUP('Données projet'!$B$12,Paramètres!$A$1:$I$89,5,0)</f>
        <v>-2.9262992029543964E-13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141.31558705818316</v>
      </c>
      <c r="CE170" s="60">
        <f t="shared" si="148"/>
        <v>67.142010893211364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-9.6633812063373625E-13</v>
      </c>
      <c r="CU170" s="18">
        <f>CT170*VLOOKUP('Données projet'!$B$13,Paramètres!$A$1:$I$89,3,0)*VLOOKUP('Données projet'!$B$13,Paramètres!$A$1:$I$89,5,0)</f>
        <v>-8.4419298218563211E-13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281.8501448773884</v>
      </c>
      <c r="CZ170" s="60">
        <f t="shared" si="150"/>
        <v>161.7340631691518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-9.6633812063373625E-13</v>
      </c>
      <c r="DP170" s="18">
        <f>DO170*VLOOKUP('Données projet'!$B$14,Paramètres!$A$1:$I$89,3,0)*VLOOKUP('Données projet'!$B$14,Paramètres!$A$1:$I$89,5,0)</f>
        <v>-8.7434273154940449E-13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295.19398489974265</v>
      </c>
      <c r="DU170" s="60">
        <f t="shared" si="152"/>
        <v>168.80998104712489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4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-9.7986685432260874E-13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341.82426415364569</v>
      </c>
      <c r="T171" s="60">
        <f t="shared" si="142"/>
        <v>193.53376539568887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-2.8421709430404007E-13</v>
      </c>
      <c r="AJ171" s="14">
        <f>AI171*VLOOKUP('Données projet'!$B$10,Paramètres!$A$1:$I$89,3,0)*VLOOKUP('Données projet'!$B$10,Paramètres!$A$1:$I$89,5,0)</f>
        <v>-1.69961822393816E-13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189.8516574130017</v>
      </c>
      <c r="AO171" s="60">
        <f t="shared" si="144"/>
        <v>191.91100863555891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0.92410175438528674</v>
      </c>
      <c r="AV171" s="23">
        <f>EXP(-LN(2)/25)*AV170+(1-EXP(-LN(2)/25))/(LN(2)/25)*Calculateur!AQ171*Calculateur!AS171*VLOOKUP('Données projet'!$B$10,Paramètres!$A$1:$I$89,3,0)*0.475*44/12</f>
        <v>0.3934906581859004</v>
      </c>
      <c r="AW171" s="23">
        <f>EXP(-LN(2)/2)*AW170+(1-EXP(-LN(2)/2))/(LN(2)/2)*AQ171*AT171*VLOOKUP('Données projet'!$B$10,Paramètres!$A$1:$I$89,3,0)*0.475*44/12</f>
        <v>1.0238712563878963E-20</v>
      </c>
      <c r="AX171" s="23">
        <f t="shared" si="166"/>
        <v>1.3175924125711871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-5.1159076974727213E-13</v>
      </c>
      <c r="BE171" s="14">
        <f>BD171*VLOOKUP('Données projet'!$B$11,Paramètres!$A$1:$I$89,3,0)*VLOOKUP('Données projet'!$B$11,Paramètres!$A$1:$I$89,5,0)</f>
        <v>-5.3471467253984886E-13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373.7520752235389</v>
      </c>
      <c r="BJ171" s="60">
        <f t="shared" si="146"/>
        <v>205.19966474305761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-6.2527760746888816E-13</v>
      </c>
      <c r="BZ171" s="14">
        <f>BY171*VLOOKUP('Données projet'!$B$12,Paramètres!$A$1:$I$89,3,0)*VLOOKUP('Données projet'!$B$12,Paramètres!$A$1:$I$89,5,0)</f>
        <v>-2.9262992029543964E-13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141.31558705818316</v>
      </c>
      <c r="CE171" s="60">
        <f t="shared" si="148"/>
        <v>67.142010893211364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-9.6633812063373625E-13</v>
      </c>
      <c r="CU171" s="18">
        <f>CT171*VLOOKUP('Données projet'!$B$13,Paramètres!$A$1:$I$89,3,0)*VLOOKUP('Données projet'!$B$13,Paramètres!$A$1:$I$89,5,0)</f>
        <v>-8.4419298218563211E-13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281.8501448773884</v>
      </c>
      <c r="CZ171" s="60">
        <f t="shared" si="150"/>
        <v>161.7340631691518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-9.6633812063373625E-13</v>
      </c>
      <c r="DP171" s="18">
        <f>DO171*VLOOKUP('Données projet'!$B$14,Paramètres!$A$1:$I$89,3,0)*VLOOKUP('Données projet'!$B$14,Paramètres!$A$1:$I$89,5,0)</f>
        <v>-8.7434273154940449E-13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295.19398489974265</v>
      </c>
      <c r="DU171" s="60">
        <f t="shared" si="152"/>
        <v>168.80998104712489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4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-9.7986685432260874E-13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341.82426415364569</v>
      </c>
      <c r="T172" s="60">
        <f t="shared" si="142"/>
        <v>193.53376539568887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-2.8421709430404007E-13</v>
      </c>
      <c r="AJ172" s="14">
        <f>AI172*VLOOKUP('Données projet'!$B$10,Paramètres!$A$1:$I$89,3,0)*VLOOKUP('Données projet'!$B$10,Paramètres!$A$1:$I$89,5,0)</f>
        <v>-1.69961822393816E-13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189.8516574130017</v>
      </c>
      <c r="AO172" s="60">
        <f t="shared" si="144"/>
        <v>191.91100863555891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0.90598068262820597</v>
      </c>
      <c r="AV172" s="23">
        <f>EXP(-LN(2)/25)*AV171+(1-EXP(-LN(2)/25))/(LN(2)/25)*Calculateur!AQ172*Calculateur!AS172*VLOOKUP('Données projet'!$B$10,Paramètres!$A$1:$I$89,3,0)*0.475*44/12</f>
        <v>0.38273063544503255</v>
      </c>
      <c r="AW172" s="23">
        <f>EXP(-LN(2)/2)*AW171+(1-EXP(-LN(2)/2))/(LN(2)/2)*AQ172*AT172*VLOOKUP('Données projet'!$B$10,Paramètres!$A$1:$I$89,3,0)*0.475*44/12</f>
        <v>7.2398630845387172E-21</v>
      </c>
      <c r="AX172" s="23">
        <f t="shared" si="166"/>
        <v>1.2887113180732386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-5.1159076974727213E-13</v>
      </c>
      <c r="BE172" s="14">
        <f>BD172*VLOOKUP('Données projet'!$B$11,Paramètres!$A$1:$I$89,3,0)*VLOOKUP('Données projet'!$B$11,Paramètres!$A$1:$I$89,5,0)</f>
        <v>-5.3471467253984886E-13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373.7520752235389</v>
      </c>
      <c r="BJ172" s="60">
        <f t="shared" si="146"/>
        <v>205.19966474305761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-6.2527760746888816E-13</v>
      </c>
      <c r="BZ172" s="14">
        <f>BY172*VLOOKUP('Données projet'!$B$12,Paramètres!$A$1:$I$89,3,0)*VLOOKUP('Données projet'!$B$12,Paramètres!$A$1:$I$89,5,0)</f>
        <v>-2.9262992029543964E-13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141.31558705818316</v>
      </c>
      <c r="CE172" s="60">
        <f t="shared" si="148"/>
        <v>67.142010893211364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-9.6633812063373625E-13</v>
      </c>
      <c r="CU172" s="18">
        <f>CT172*VLOOKUP('Données projet'!$B$13,Paramètres!$A$1:$I$89,3,0)*VLOOKUP('Données projet'!$B$13,Paramètres!$A$1:$I$89,5,0)</f>
        <v>-8.4419298218563211E-13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281.8501448773884</v>
      </c>
      <c r="CZ172" s="60">
        <f t="shared" si="150"/>
        <v>161.7340631691518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-9.6633812063373625E-13</v>
      </c>
      <c r="DP172" s="18">
        <f>DO172*VLOOKUP('Données projet'!$B$14,Paramètres!$A$1:$I$89,3,0)*VLOOKUP('Données projet'!$B$14,Paramètres!$A$1:$I$89,5,0)</f>
        <v>-8.7434273154940449E-13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295.19398489974265</v>
      </c>
      <c r="DU172" s="60">
        <f t="shared" si="152"/>
        <v>168.80998104712489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4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-9.7986685432260874E-13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341.82426415364569</v>
      </c>
      <c r="T173" s="60">
        <f t="shared" si="142"/>
        <v>193.53376539568887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-2.8421709430404007E-13</v>
      </c>
      <c r="AJ173" s="14">
        <f>AI173*VLOOKUP('Données projet'!$B$10,Paramètres!$A$1:$I$89,3,0)*VLOOKUP('Données projet'!$B$10,Paramètres!$A$1:$I$89,5,0)</f>
        <v>-1.69961822393816E-13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189.8516574130017</v>
      </c>
      <c r="AO173" s="60">
        <f t="shared" si="144"/>
        <v>191.91100863555891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0.8882149540355192</v>
      </c>
      <c r="AV173" s="23">
        <f>EXP(-LN(2)/25)*AV172+(1-EXP(-LN(2)/25))/(LN(2)/25)*Calculateur!AQ173*Calculateur!AS173*VLOOKUP('Données projet'!$B$10,Paramètres!$A$1:$I$89,3,0)*0.475*44/12</f>
        <v>0.37226484609185878</v>
      </c>
      <c r="AW173" s="23">
        <f>EXP(-LN(2)/2)*AW172+(1-EXP(-LN(2)/2))/(LN(2)/2)*AQ173*AT173*VLOOKUP('Données projet'!$B$10,Paramètres!$A$1:$I$89,3,0)*0.475*44/12</f>
        <v>5.1193562819394817E-21</v>
      </c>
      <c r="AX173" s="23">
        <f t="shared" si="166"/>
        <v>1.260479800127378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-5.1159076974727213E-13</v>
      </c>
      <c r="BE173" s="14">
        <f>BD173*VLOOKUP('Données projet'!$B$11,Paramètres!$A$1:$I$89,3,0)*VLOOKUP('Données projet'!$B$11,Paramètres!$A$1:$I$89,5,0)</f>
        <v>-5.3471467253984886E-13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373.7520752235389</v>
      </c>
      <c r="BJ173" s="60">
        <f t="shared" si="146"/>
        <v>205.19966474305761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-6.2527760746888816E-13</v>
      </c>
      <c r="BZ173" s="14">
        <f>BY173*VLOOKUP('Données projet'!$B$12,Paramètres!$A$1:$I$89,3,0)*VLOOKUP('Données projet'!$B$12,Paramètres!$A$1:$I$89,5,0)</f>
        <v>-2.9262992029543964E-13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141.31558705818316</v>
      </c>
      <c r="CE173" s="60">
        <f t="shared" si="148"/>
        <v>67.142010893211364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-9.6633812063373625E-13</v>
      </c>
      <c r="CU173" s="18">
        <f>CT173*VLOOKUP('Données projet'!$B$13,Paramètres!$A$1:$I$89,3,0)*VLOOKUP('Données projet'!$B$13,Paramètres!$A$1:$I$89,5,0)</f>
        <v>-8.4419298218563211E-13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281.8501448773884</v>
      </c>
      <c r="CZ173" s="60">
        <f t="shared" si="150"/>
        <v>161.7340631691518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-9.6633812063373625E-13</v>
      </c>
      <c r="DP173" s="18">
        <f>DO173*VLOOKUP('Données projet'!$B$14,Paramètres!$A$1:$I$89,3,0)*VLOOKUP('Données projet'!$B$14,Paramètres!$A$1:$I$89,5,0)</f>
        <v>-8.7434273154940449E-13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295.19398489974265</v>
      </c>
      <c r="DU173" s="60">
        <f t="shared" si="152"/>
        <v>168.80998104712489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4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-9.7986685432260874E-13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341.82426415364569</v>
      </c>
      <c r="T174" s="60">
        <f t="shared" si="142"/>
        <v>193.53376539568887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-2.8421709430404007E-13</v>
      </c>
      <c r="AJ174" s="14">
        <f>AI174*VLOOKUP('Données projet'!$B$10,Paramètres!$A$1:$I$89,3,0)*VLOOKUP('Données projet'!$B$10,Paramètres!$A$1:$I$89,5,0)</f>
        <v>-1.69961822393816E-13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189.8516574130017</v>
      </c>
      <c r="AO174" s="60">
        <f t="shared" si="144"/>
        <v>191.91100863555891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0.8707976005445105</v>
      </c>
      <c r="AV174" s="23">
        <f>EXP(-LN(2)/25)*AV173+(1-EXP(-LN(2)/25))/(LN(2)/25)*Calculateur!AQ174*Calculateur!AS174*VLOOKUP('Données projet'!$B$10,Paramètres!$A$1:$I$89,3,0)*0.475*44/12</f>
        <v>0.36208524429891947</v>
      </c>
      <c r="AW174" s="23">
        <f>EXP(-LN(2)/2)*AW173+(1-EXP(-LN(2)/2))/(LN(2)/2)*AQ174*AT174*VLOOKUP('Données projet'!$B$10,Paramètres!$A$1:$I$89,3,0)*0.475*44/12</f>
        <v>3.6199315422693586E-21</v>
      </c>
      <c r="AX174" s="23">
        <f t="shared" si="166"/>
        <v>1.2328828448434299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-5.1159076974727213E-13</v>
      </c>
      <c r="BE174" s="14">
        <f>BD174*VLOOKUP('Données projet'!$B$11,Paramètres!$A$1:$I$89,3,0)*VLOOKUP('Données projet'!$B$11,Paramètres!$A$1:$I$89,5,0)</f>
        <v>-5.3471467253984886E-13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373.7520752235389</v>
      </c>
      <c r="BJ174" s="60">
        <f t="shared" si="146"/>
        <v>205.19966474305761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-6.2527760746888816E-13</v>
      </c>
      <c r="BZ174" s="14">
        <f>BY174*VLOOKUP('Données projet'!$B$12,Paramètres!$A$1:$I$89,3,0)*VLOOKUP('Données projet'!$B$12,Paramètres!$A$1:$I$89,5,0)</f>
        <v>-2.9262992029543964E-13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141.31558705818316</v>
      </c>
      <c r="CE174" s="60">
        <f t="shared" si="148"/>
        <v>67.142010893211364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-9.6633812063373625E-13</v>
      </c>
      <c r="CU174" s="18">
        <f>CT174*VLOOKUP('Données projet'!$B$13,Paramètres!$A$1:$I$89,3,0)*VLOOKUP('Données projet'!$B$13,Paramètres!$A$1:$I$89,5,0)</f>
        <v>-8.4419298218563211E-13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281.8501448773884</v>
      </c>
      <c r="CZ174" s="60">
        <f t="shared" si="150"/>
        <v>161.7340631691518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-9.6633812063373625E-13</v>
      </c>
      <c r="DP174" s="18">
        <f>DO174*VLOOKUP('Données projet'!$B$14,Paramètres!$A$1:$I$89,3,0)*VLOOKUP('Données projet'!$B$14,Paramètres!$A$1:$I$89,5,0)</f>
        <v>-8.7434273154940449E-13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295.19398489974265</v>
      </c>
      <c r="DU174" s="60">
        <f t="shared" si="152"/>
        <v>168.80998104712489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4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-9.7986685432260874E-13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341.82426415364569</v>
      </c>
      <c r="T175" s="60">
        <f t="shared" si="142"/>
        <v>193.53376539568887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-2.8421709430404007E-13</v>
      </c>
      <c r="AJ175" s="14">
        <f>AI175*VLOOKUP('Données projet'!$B$10,Paramètres!$A$1:$I$89,3,0)*VLOOKUP('Données projet'!$B$10,Paramètres!$A$1:$I$89,5,0)</f>
        <v>-1.69961822393816E-13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189.8516574130017</v>
      </c>
      <c r="AO175" s="60">
        <f t="shared" si="144"/>
        <v>191.91100863555891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0.85372179073192389</v>
      </c>
      <c r="AV175" s="23">
        <f>EXP(-LN(2)/25)*AV174+(1-EXP(-LN(2)/25))/(LN(2)/25)*Calculateur!AQ175*Calculateur!AS175*VLOOKUP('Données projet'!$B$10,Paramètres!$A$1:$I$89,3,0)*0.475*44/12</f>
        <v>0.3521840042523301</v>
      </c>
      <c r="AW175" s="23">
        <f>EXP(-LN(2)/2)*AW174+(1-EXP(-LN(2)/2))/(LN(2)/2)*AQ175*AT175*VLOOKUP('Données projet'!$B$10,Paramètres!$A$1:$I$89,3,0)*0.475*44/12</f>
        <v>2.5596781409697409E-21</v>
      </c>
      <c r="AX175" s="23">
        <f t="shared" si="166"/>
        <v>1.205905794984254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-5.1159076974727213E-13</v>
      </c>
      <c r="BE175" s="14">
        <f>BD175*VLOOKUP('Données projet'!$B$11,Paramètres!$A$1:$I$89,3,0)*VLOOKUP('Données projet'!$B$11,Paramètres!$A$1:$I$89,5,0)</f>
        <v>-5.3471467253984886E-13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373.7520752235389</v>
      </c>
      <c r="BJ175" s="60">
        <f t="shared" si="146"/>
        <v>205.19966474305761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-6.2527760746888816E-13</v>
      </c>
      <c r="BZ175" s="14">
        <f>BY175*VLOOKUP('Données projet'!$B$12,Paramètres!$A$1:$I$89,3,0)*VLOOKUP('Données projet'!$B$12,Paramètres!$A$1:$I$89,5,0)</f>
        <v>-2.9262992029543964E-13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141.31558705818316</v>
      </c>
      <c r="CE175" s="60">
        <f t="shared" si="148"/>
        <v>67.142010893211364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-9.6633812063373625E-13</v>
      </c>
      <c r="CU175" s="18">
        <f>CT175*VLOOKUP('Données projet'!$B$13,Paramètres!$A$1:$I$89,3,0)*VLOOKUP('Données projet'!$B$13,Paramètres!$A$1:$I$89,5,0)</f>
        <v>-8.4419298218563211E-13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281.8501448773884</v>
      </c>
      <c r="CZ175" s="60">
        <f t="shared" si="150"/>
        <v>161.7340631691518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-9.6633812063373625E-13</v>
      </c>
      <c r="DP175" s="18">
        <f>DO175*VLOOKUP('Données projet'!$B$14,Paramètres!$A$1:$I$89,3,0)*VLOOKUP('Données projet'!$B$14,Paramètres!$A$1:$I$89,5,0)</f>
        <v>-8.7434273154940449E-13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295.19398489974265</v>
      </c>
      <c r="DU175" s="60">
        <f t="shared" si="152"/>
        <v>168.80998104712489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4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-9.7986685432260874E-13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341.82426415364569</v>
      </c>
      <c r="T176" s="60">
        <f t="shared" si="142"/>
        <v>193.53376539568887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-2.8421709430404007E-13</v>
      </c>
      <c r="AJ176" s="14">
        <f>AI176*VLOOKUP('Données projet'!$B$10,Paramètres!$A$1:$I$89,3,0)*VLOOKUP('Données projet'!$B$10,Paramètres!$A$1:$I$89,5,0)</f>
        <v>-1.69961822393816E-13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189.8516574130017</v>
      </c>
      <c r="AO176" s="60">
        <f t="shared" si="144"/>
        <v>191.91100863555891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0.83698082713454647</v>
      </c>
      <c r="AV176" s="23">
        <f>EXP(-LN(2)/25)*AV175+(1-EXP(-LN(2)/25))/(LN(2)/25)*Calculateur!AQ176*Calculateur!AS176*VLOOKUP('Données projet'!$B$10,Paramètres!$A$1:$I$89,3,0)*0.475*44/12</f>
        <v>0.34255351413549828</v>
      </c>
      <c r="AW176" s="23">
        <f>EXP(-LN(2)/2)*AW175+(1-EXP(-LN(2)/2))/(LN(2)/2)*AQ176*AT176*VLOOKUP('Données projet'!$B$10,Paramètres!$A$1:$I$89,3,0)*0.475*44/12</f>
        <v>1.8099657711346793E-21</v>
      </c>
      <c r="AX176" s="23">
        <f t="shared" si="166"/>
        <v>1.1795343412700448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-5.1159076974727213E-13</v>
      </c>
      <c r="BE176" s="14">
        <f>BD176*VLOOKUP('Données projet'!$B$11,Paramètres!$A$1:$I$89,3,0)*VLOOKUP('Données projet'!$B$11,Paramètres!$A$1:$I$89,5,0)</f>
        <v>-5.3471467253984886E-13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373.7520752235389</v>
      </c>
      <c r="BJ176" s="60">
        <f t="shared" si="146"/>
        <v>205.19966474305761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-6.2527760746888816E-13</v>
      </c>
      <c r="BZ176" s="14">
        <f>BY176*VLOOKUP('Données projet'!$B$12,Paramètres!$A$1:$I$89,3,0)*VLOOKUP('Données projet'!$B$12,Paramètres!$A$1:$I$89,5,0)</f>
        <v>-2.9262992029543964E-13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141.31558705818316</v>
      </c>
      <c r="CE176" s="60">
        <f t="shared" si="148"/>
        <v>67.142010893211364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-9.6633812063373625E-13</v>
      </c>
      <c r="CU176" s="18">
        <f>CT176*VLOOKUP('Données projet'!$B$13,Paramètres!$A$1:$I$89,3,0)*VLOOKUP('Données projet'!$B$13,Paramètres!$A$1:$I$89,5,0)</f>
        <v>-8.4419298218563211E-13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281.8501448773884</v>
      </c>
      <c r="CZ176" s="60">
        <f t="shared" si="150"/>
        <v>161.7340631691518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-9.6633812063373625E-13</v>
      </c>
      <c r="DP176" s="18">
        <f>DO176*VLOOKUP('Données projet'!$B$14,Paramètres!$A$1:$I$89,3,0)*VLOOKUP('Données projet'!$B$14,Paramètres!$A$1:$I$89,5,0)</f>
        <v>-8.7434273154940449E-13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295.19398489974265</v>
      </c>
      <c r="DU176" s="60">
        <f t="shared" si="152"/>
        <v>168.80998104712489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4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-9.7986685432260874E-13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341.82426415364569</v>
      </c>
      <c r="T177" s="60">
        <f t="shared" si="142"/>
        <v>193.53376539568887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-2.8421709430404007E-13</v>
      </c>
      <c r="AJ177" s="14">
        <f>AI177*VLOOKUP('Données projet'!$B$10,Paramètres!$A$1:$I$89,3,0)*VLOOKUP('Données projet'!$B$10,Paramètres!$A$1:$I$89,5,0)</f>
        <v>-1.69961822393816E-13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189.8516574130017</v>
      </c>
      <c r="AO177" s="60">
        <f t="shared" si="144"/>
        <v>191.91100863555891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0.8205681436223341</v>
      </c>
      <c r="AV177" s="23">
        <f>EXP(-LN(2)/25)*AV176+(1-EXP(-LN(2)/25))/(LN(2)/25)*Calculateur!AQ177*Calculateur!AS177*VLOOKUP('Données projet'!$B$10,Paramètres!$A$1:$I$89,3,0)*0.475*44/12</f>
        <v>0.3331863702773567</v>
      </c>
      <c r="AW177" s="23">
        <f>EXP(-LN(2)/2)*AW176+(1-EXP(-LN(2)/2))/(LN(2)/2)*AQ177*AT177*VLOOKUP('Données projet'!$B$10,Paramètres!$A$1:$I$89,3,0)*0.475*44/12</f>
        <v>1.2798390704848704E-21</v>
      </c>
      <c r="AX177" s="23">
        <f t="shared" si="166"/>
        <v>1.1537545138996907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-5.1159076974727213E-13</v>
      </c>
      <c r="BE177" s="14">
        <f>BD177*VLOOKUP('Données projet'!$B$11,Paramètres!$A$1:$I$89,3,0)*VLOOKUP('Données projet'!$B$11,Paramètres!$A$1:$I$89,5,0)</f>
        <v>-5.3471467253984886E-13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373.7520752235389</v>
      </c>
      <c r="BJ177" s="60">
        <f t="shared" si="146"/>
        <v>205.19966474305761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-6.2527760746888816E-13</v>
      </c>
      <c r="BZ177" s="14">
        <f>BY177*VLOOKUP('Données projet'!$B$12,Paramètres!$A$1:$I$89,3,0)*VLOOKUP('Données projet'!$B$12,Paramètres!$A$1:$I$89,5,0)</f>
        <v>-2.9262992029543964E-13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141.31558705818316</v>
      </c>
      <c r="CE177" s="60">
        <f t="shared" si="148"/>
        <v>67.142010893211364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-9.6633812063373625E-13</v>
      </c>
      <c r="CU177" s="18">
        <f>CT177*VLOOKUP('Données projet'!$B$13,Paramètres!$A$1:$I$89,3,0)*VLOOKUP('Données projet'!$B$13,Paramètres!$A$1:$I$89,5,0)</f>
        <v>-8.4419298218563211E-13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281.8501448773884</v>
      </c>
      <c r="CZ177" s="60">
        <f t="shared" si="150"/>
        <v>161.7340631691518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-9.6633812063373625E-13</v>
      </c>
      <c r="DP177" s="18">
        <f>DO177*VLOOKUP('Données projet'!$B$14,Paramètres!$A$1:$I$89,3,0)*VLOOKUP('Données projet'!$B$14,Paramètres!$A$1:$I$89,5,0)</f>
        <v>-8.7434273154940449E-13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295.19398489974265</v>
      </c>
      <c r="DU177" s="60">
        <f t="shared" si="152"/>
        <v>168.80998104712489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4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-9.7986685432260874E-13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341.82426415364569</v>
      </c>
      <c r="T178" s="60">
        <f t="shared" si="142"/>
        <v>193.53376539568887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-2.8421709430404007E-13</v>
      </c>
      <c r="AJ178" s="14">
        <f>AI178*VLOOKUP('Données projet'!$B$10,Paramètres!$A$1:$I$89,3,0)*VLOOKUP('Données projet'!$B$10,Paramètres!$A$1:$I$89,5,0)</f>
        <v>-1.69961822393816E-13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189.8516574130017</v>
      </c>
      <c r="AO178" s="60">
        <f t="shared" si="144"/>
        <v>191.91100863555891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0.80447730282304775</v>
      </c>
      <c r="AV178" s="23">
        <f>EXP(-LN(2)/25)*AV177+(1-EXP(-LN(2)/25))/(LN(2)/25)*Calculateur!AQ178*Calculateur!AS178*VLOOKUP('Données projet'!$B$10,Paramètres!$A$1:$I$89,3,0)*0.475*44/12</f>
        <v>0.32407537146061266</v>
      </c>
      <c r="AW178" s="23">
        <f>EXP(-LN(2)/2)*AW177+(1-EXP(-LN(2)/2))/(LN(2)/2)*AQ178*AT178*VLOOKUP('Données projet'!$B$10,Paramètres!$A$1:$I$89,3,0)*0.475*44/12</f>
        <v>9.0498288556733965E-22</v>
      </c>
      <c r="AX178" s="23">
        <f t="shared" si="166"/>
        <v>1.1285526742836605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-5.1159076974727213E-13</v>
      </c>
      <c r="BE178" s="14">
        <f>BD178*VLOOKUP('Données projet'!$B$11,Paramètres!$A$1:$I$89,3,0)*VLOOKUP('Données projet'!$B$11,Paramètres!$A$1:$I$89,5,0)</f>
        <v>-5.3471467253984886E-13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373.7520752235389</v>
      </c>
      <c r="BJ178" s="60">
        <f t="shared" si="146"/>
        <v>205.19966474305761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-6.2527760746888816E-13</v>
      </c>
      <c r="BZ178" s="14">
        <f>BY178*VLOOKUP('Données projet'!$B$12,Paramètres!$A$1:$I$89,3,0)*VLOOKUP('Données projet'!$B$12,Paramètres!$A$1:$I$89,5,0)</f>
        <v>-2.9262992029543964E-13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141.31558705818316</v>
      </c>
      <c r="CE178" s="60">
        <f t="shared" si="148"/>
        <v>67.142010893211364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-9.6633812063373625E-13</v>
      </c>
      <c r="CU178" s="18">
        <f>CT178*VLOOKUP('Données projet'!$B$13,Paramètres!$A$1:$I$89,3,0)*VLOOKUP('Données projet'!$B$13,Paramètres!$A$1:$I$89,5,0)</f>
        <v>-8.4419298218563211E-13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281.8501448773884</v>
      </c>
      <c r="CZ178" s="60">
        <f t="shared" si="150"/>
        <v>161.7340631691518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-9.6633812063373625E-13</v>
      </c>
      <c r="DP178" s="18">
        <f>DO178*VLOOKUP('Données projet'!$B$14,Paramètres!$A$1:$I$89,3,0)*VLOOKUP('Données projet'!$B$14,Paramètres!$A$1:$I$89,5,0)</f>
        <v>-8.7434273154940449E-13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295.19398489974265</v>
      </c>
      <c r="DU178" s="60">
        <f t="shared" si="152"/>
        <v>168.80998104712489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4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-9.7986685432260874E-13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341.82426415364569</v>
      </c>
      <c r="T179" s="60">
        <f t="shared" si="142"/>
        <v>193.53376539568887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-2.8421709430404007E-13</v>
      </c>
      <c r="AJ179" s="14">
        <f>AI179*VLOOKUP('Données projet'!$B$10,Paramètres!$A$1:$I$89,3,0)*VLOOKUP('Données projet'!$B$10,Paramètres!$A$1:$I$89,5,0)</f>
        <v>-1.69961822393816E-13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189.8516574130017</v>
      </c>
      <c r="AO179" s="60">
        <f t="shared" si="144"/>
        <v>191.91100863555891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0.78870199359739157</v>
      </c>
      <c r="AV179" s="23">
        <f>EXP(-LN(2)/25)*AV178+(1-EXP(-LN(2)/25))/(LN(2)/25)*Calculateur!AQ179*Calculateur!AS179*VLOOKUP('Données projet'!$B$10,Paramètres!$A$1:$I$89,3,0)*0.475*44/12</f>
        <v>0.31521351338563913</v>
      </c>
      <c r="AW179" s="23">
        <f>EXP(-LN(2)/2)*AW178+(1-EXP(-LN(2)/2))/(LN(2)/2)*AQ179*AT179*VLOOKUP('Données projet'!$B$10,Paramètres!$A$1:$I$89,3,0)*0.475*44/12</f>
        <v>6.3991953524243521E-22</v>
      </c>
      <c r="AX179" s="23">
        <f t="shared" si="166"/>
        <v>1.1039155069830306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-5.1159076974727213E-13</v>
      </c>
      <c r="BE179" s="14">
        <f>BD179*VLOOKUP('Données projet'!$B$11,Paramètres!$A$1:$I$89,3,0)*VLOOKUP('Données projet'!$B$11,Paramètres!$A$1:$I$89,5,0)</f>
        <v>-5.3471467253984886E-13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373.7520752235389</v>
      </c>
      <c r="BJ179" s="60">
        <f t="shared" si="146"/>
        <v>205.19966474305761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-6.2527760746888816E-13</v>
      </c>
      <c r="BZ179" s="14">
        <f>BY179*VLOOKUP('Données projet'!$B$12,Paramètres!$A$1:$I$89,3,0)*VLOOKUP('Données projet'!$B$12,Paramètres!$A$1:$I$89,5,0)</f>
        <v>-2.9262992029543964E-13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141.31558705818316</v>
      </c>
      <c r="CE179" s="60">
        <f t="shared" si="148"/>
        <v>67.142010893211364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-9.6633812063373625E-13</v>
      </c>
      <c r="CU179" s="18">
        <f>CT179*VLOOKUP('Données projet'!$B$13,Paramètres!$A$1:$I$89,3,0)*VLOOKUP('Données projet'!$B$13,Paramètres!$A$1:$I$89,5,0)</f>
        <v>-8.4419298218563211E-13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281.8501448773884</v>
      </c>
      <c r="CZ179" s="60">
        <f t="shared" si="150"/>
        <v>161.7340631691518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-9.6633812063373625E-13</v>
      </c>
      <c r="DP179" s="18">
        <f>DO179*VLOOKUP('Données projet'!$B$14,Paramètres!$A$1:$I$89,3,0)*VLOOKUP('Données projet'!$B$14,Paramètres!$A$1:$I$89,5,0)</f>
        <v>-8.7434273154940449E-13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295.19398489974265</v>
      </c>
      <c r="DU179" s="60">
        <f t="shared" si="152"/>
        <v>168.80998104712489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4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-9.7986685432260874E-13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341.82426415364569</v>
      </c>
      <c r="T180" s="60">
        <f t="shared" si="142"/>
        <v>193.53376539568887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-2.8421709430404007E-13</v>
      </c>
      <c r="AJ180" s="14">
        <f>AI180*VLOOKUP('Données projet'!$B$10,Paramètres!$A$1:$I$89,3,0)*VLOOKUP('Données projet'!$B$10,Paramètres!$A$1:$I$89,5,0)</f>
        <v>-1.69961822393816E-13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189.8516574130017</v>
      </c>
      <c r="AO180" s="60">
        <f t="shared" si="144"/>
        <v>191.91100863555891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0.77323602856366203</v>
      </c>
      <c r="AV180" s="23">
        <f>EXP(-LN(2)/25)*AV179+(1-EXP(-LN(2)/25))/(LN(2)/25)*Calculateur!AQ180*Calculateur!AS180*VLOOKUP('Données projet'!$B$10,Paramètres!$A$1:$I$89,3,0)*0.475*44/12</f>
        <v>0.3065939832857506</v>
      </c>
      <c r="AW180" s="23">
        <f>EXP(-LN(2)/2)*AW179+(1-EXP(-LN(2)/2))/(LN(2)/2)*AQ180*AT180*VLOOKUP('Données projet'!$B$10,Paramètres!$A$1:$I$89,3,0)*0.475*44/12</f>
        <v>4.5249144278366982E-22</v>
      </c>
      <c r="AX180" s="23">
        <f t="shared" si="166"/>
        <v>1.0798300118494126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-5.1159076974727213E-13</v>
      </c>
      <c r="BE180" s="14">
        <f>BD180*VLOOKUP('Données projet'!$B$11,Paramètres!$A$1:$I$89,3,0)*VLOOKUP('Données projet'!$B$11,Paramètres!$A$1:$I$89,5,0)</f>
        <v>-5.3471467253984886E-13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373.7520752235389</v>
      </c>
      <c r="BJ180" s="60">
        <f t="shared" si="146"/>
        <v>205.19966474305761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-6.2527760746888816E-13</v>
      </c>
      <c r="BZ180" s="14">
        <f>BY180*VLOOKUP('Données projet'!$B$12,Paramètres!$A$1:$I$89,3,0)*VLOOKUP('Données projet'!$B$12,Paramètres!$A$1:$I$89,5,0)</f>
        <v>-2.9262992029543964E-13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141.31558705818316</v>
      </c>
      <c r="CE180" s="60">
        <f t="shared" si="148"/>
        <v>67.142010893211364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-9.6633812063373625E-13</v>
      </c>
      <c r="CU180" s="18">
        <f>CT180*VLOOKUP('Données projet'!$B$13,Paramètres!$A$1:$I$89,3,0)*VLOOKUP('Données projet'!$B$13,Paramètres!$A$1:$I$89,5,0)</f>
        <v>-8.4419298218563211E-13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281.8501448773884</v>
      </c>
      <c r="CZ180" s="60">
        <f t="shared" si="150"/>
        <v>161.7340631691518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-9.6633812063373625E-13</v>
      </c>
      <c r="DP180" s="18">
        <f>DO180*VLOOKUP('Données projet'!$B$14,Paramètres!$A$1:$I$89,3,0)*VLOOKUP('Données projet'!$B$14,Paramètres!$A$1:$I$89,5,0)</f>
        <v>-8.7434273154940449E-13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295.19398489974265</v>
      </c>
      <c r="DU180" s="60">
        <f t="shared" si="152"/>
        <v>168.80998104712489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4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-9.7986685432260874E-13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341.82426415364569</v>
      </c>
      <c r="T181" s="60">
        <f t="shared" si="142"/>
        <v>193.53376539568887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-2.8421709430404007E-13</v>
      </c>
      <c r="AJ181" s="14">
        <f>AI181*VLOOKUP('Données projet'!$B$10,Paramètres!$A$1:$I$89,3,0)*VLOOKUP('Données projet'!$B$10,Paramètres!$A$1:$I$89,5,0)</f>
        <v>-1.69961822393816E-13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189.8516574130017</v>
      </c>
      <c r="AO181" s="60">
        <f t="shared" si="144"/>
        <v>191.91100863555891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0.75807334167093665</v>
      </c>
      <c r="AV181" s="23">
        <f>EXP(-LN(2)/25)*AV180+(1-EXP(-LN(2)/25))/(LN(2)/25)*Calculateur!AQ181*Calculateur!AS181*VLOOKUP('Données projet'!$B$10,Paramètres!$A$1:$I$89,3,0)*0.475*44/12</f>
        <v>0.29821015468972489</v>
      </c>
      <c r="AW181" s="23">
        <f>EXP(-LN(2)/2)*AW180+(1-EXP(-LN(2)/2))/(LN(2)/2)*AQ181*AT181*VLOOKUP('Données projet'!$B$10,Paramètres!$A$1:$I$89,3,0)*0.475*44/12</f>
        <v>3.1995976762121761E-22</v>
      </c>
      <c r="AX181" s="23">
        <f t="shared" si="166"/>
        <v>1.0562834963606615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-5.1159076974727213E-13</v>
      </c>
      <c r="BE181" s="14">
        <f>BD181*VLOOKUP('Données projet'!$B$11,Paramètres!$A$1:$I$89,3,0)*VLOOKUP('Données projet'!$B$11,Paramètres!$A$1:$I$89,5,0)</f>
        <v>-5.3471467253984886E-13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373.7520752235389</v>
      </c>
      <c r="BJ181" s="60">
        <f t="shared" si="146"/>
        <v>205.19966474305761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-6.2527760746888816E-13</v>
      </c>
      <c r="BZ181" s="14">
        <f>BY181*VLOOKUP('Données projet'!$B$12,Paramètres!$A$1:$I$89,3,0)*VLOOKUP('Données projet'!$B$12,Paramètres!$A$1:$I$89,5,0)</f>
        <v>-2.9262992029543964E-13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141.31558705818316</v>
      </c>
      <c r="CE181" s="60">
        <f t="shared" si="148"/>
        <v>67.142010893211364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-9.6633812063373625E-13</v>
      </c>
      <c r="CU181" s="18">
        <f>CT181*VLOOKUP('Données projet'!$B$13,Paramètres!$A$1:$I$89,3,0)*VLOOKUP('Données projet'!$B$13,Paramètres!$A$1:$I$89,5,0)</f>
        <v>-8.4419298218563211E-13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281.8501448773884</v>
      </c>
      <c r="CZ181" s="60">
        <f t="shared" si="150"/>
        <v>161.7340631691518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-9.6633812063373625E-13</v>
      </c>
      <c r="DP181" s="18">
        <f>DO181*VLOOKUP('Données projet'!$B$14,Paramètres!$A$1:$I$89,3,0)*VLOOKUP('Données projet'!$B$14,Paramètres!$A$1:$I$89,5,0)</f>
        <v>-8.7434273154940449E-13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295.19398489974265</v>
      </c>
      <c r="DU181" s="60">
        <f t="shared" si="152"/>
        <v>168.80998104712489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4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-9.7986685432260874E-13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341.82426415364569</v>
      </c>
      <c r="T182" s="60">
        <f t="shared" si="142"/>
        <v>193.53376539568887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-2.8421709430404007E-13</v>
      </c>
      <c r="AJ182" s="14">
        <f>AI182*VLOOKUP('Données projet'!$B$10,Paramètres!$A$1:$I$89,3,0)*VLOOKUP('Données projet'!$B$10,Paramètres!$A$1:$I$89,5,0)</f>
        <v>-1.69961822393816E-13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189.8516574130017</v>
      </c>
      <c r="AO182" s="60">
        <f t="shared" si="144"/>
        <v>191.91100863555891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0.74320798581985181</v>
      </c>
      <c r="AV182" s="23">
        <f>EXP(-LN(2)/25)*AV181+(1-EXP(-LN(2)/25))/(LN(2)/25)*Calculateur!AQ182*Calculateur!AS182*VLOOKUP('Données projet'!$B$10,Paramètres!$A$1:$I$89,3,0)*0.475*44/12</f>
        <v>0.29005558232754391</v>
      </c>
      <c r="AW182" s="23">
        <f>EXP(-LN(2)/2)*AW181+(1-EXP(-LN(2)/2))/(LN(2)/2)*AQ182*AT182*VLOOKUP('Données projet'!$B$10,Paramètres!$A$1:$I$89,3,0)*0.475*44/12</f>
        <v>2.2624572139183491E-22</v>
      </c>
      <c r="AX182" s="23">
        <f t="shared" si="166"/>
        <v>1.0332635681473956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-5.1159076974727213E-13</v>
      </c>
      <c r="BE182" s="14">
        <f>BD182*VLOOKUP('Données projet'!$B$11,Paramètres!$A$1:$I$89,3,0)*VLOOKUP('Données projet'!$B$11,Paramètres!$A$1:$I$89,5,0)</f>
        <v>-5.3471467253984886E-13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373.7520752235389</v>
      </c>
      <c r="BJ182" s="60">
        <f t="shared" si="146"/>
        <v>205.19966474305761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-6.2527760746888816E-13</v>
      </c>
      <c r="BZ182" s="14">
        <f>BY182*VLOOKUP('Données projet'!$B$12,Paramètres!$A$1:$I$89,3,0)*VLOOKUP('Données projet'!$B$12,Paramètres!$A$1:$I$89,5,0)</f>
        <v>-2.9262992029543964E-13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141.31558705818316</v>
      </c>
      <c r="CE182" s="60">
        <f t="shared" si="148"/>
        <v>67.142010893211364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-9.6633812063373625E-13</v>
      </c>
      <c r="CU182" s="18">
        <f>CT182*VLOOKUP('Données projet'!$B$13,Paramètres!$A$1:$I$89,3,0)*VLOOKUP('Données projet'!$B$13,Paramètres!$A$1:$I$89,5,0)</f>
        <v>-8.4419298218563211E-13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281.8501448773884</v>
      </c>
      <c r="CZ182" s="60">
        <f t="shared" si="150"/>
        <v>161.7340631691518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-9.6633812063373625E-13</v>
      </c>
      <c r="DP182" s="18">
        <f>DO182*VLOOKUP('Données projet'!$B$14,Paramètres!$A$1:$I$89,3,0)*VLOOKUP('Données projet'!$B$14,Paramètres!$A$1:$I$89,5,0)</f>
        <v>-8.7434273154940449E-13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295.19398489974265</v>
      </c>
      <c r="DU182" s="60">
        <f t="shared" si="152"/>
        <v>168.80998104712489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4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-9.7986685432260874E-13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341.82426415364569</v>
      </c>
      <c r="T183" s="60">
        <f t="shared" si="142"/>
        <v>193.53376539568887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-2.8421709430404007E-13</v>
      </c>
      <c r="AJ183" s="14">
        <f>AI183*VLOOKUP('Données projet'!$B$10,Paramètres!$A$1:$I$89,3,0)*VLOOKUP('Données projet'!$B$10,Paramètres!$A$1:$I$89,5,0)</f>
        <v>-1.69961822393816E-13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189.8516574130017</v>
      </c>
      <c r="AO183" s="60">
        <f t="shared" si="144"/>
        <v>191.91100863555891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0.72863413053003501</v>
      </c>
      <c r="AV183" s="23">
        <f>EXP(-LN(2)/25)*AV182+(1-EXP(-LN(2)/25))/(LN(2)/25)*Calculateur!AQ183*Calculateur!AS183*VLOOKUP('Données projet'!$B$10,Paramètres!$A$1:$I$89,3,0)*0.475*44/12</f>
        <v>0.28212399717543707</v>
      </c>
      <c r="AW183" s="23">
        <f>EXP(-LN(2)/2)*AW182+(1-EXP(-LN(2)/2))/(LN(2)/2)*AQ183*AT183*VLOOKUP('Données projet'!$B$10,Paramètres!$A$1:$I$89,3,0)*0.475*44/12</f>
        <v>1.599798838106088E-22</v>
      </c>
      <c r="AX183" s="23">
        <f t="shared" si="166"/>
        <v>1.010758127705472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-5.1159076974727213E-13</v>
      </c>
      <c r="BE183" s="14">
        <f>BD183*VLOOKUP('Données projet'!$B$11,Paramètres!$A$1:$I$89,3,0)*VLOOKUP('Données projet'!$B$11,Paramètres!$A$1:$I$89,5,0)</f>
        <v>-5.3471467253984886E-13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373.7520752235389</v>
      </c>
      <c r="BJ183" s="60">
        <f t="shared" si="146"/>
        <v>205.19966474305761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-6.2527760746888816E-13</v>
      </c>
      <c r="BZ183" s="14">
        <f>BY183*VLOOKUP('Données projet'!$B$12,Paramètres!$A$1:$I$89,3,0)*VLOOKUP('Données projet'!$B$12,Paramètres!$A$1:$I$89,5,0)</f>
        <v>-2.9262992029543964E-13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141.31558705818316</v>
      </c>
      <c r="CE183" s="60">
        <f t="shared" si="148"/>
        <v>67.142010893211364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-9.6633812063373625E-13</v>
      </c>
      <c r="CU183" s="18">
        <f>CT183*VLOOKUP('Données projet'!$B$13,Paramètres!$A$1:$I$89,3,0)*VLOOKUP('Données projet'!$B$13,Paramètres!$A$1:$I$89,5,0)</f>
        <v>-8.4419298218563211E-13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281.8501448773884</v>
      </c>
      <c r="CZ183" s="60">
        <f t="shared" si="150"/>
        <v>161.7340631691518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-9.6633812063373625E-13</v>
      </c>
      <c r="DP183" s="18">
        <f>DO183*VLOOKUP('Données projet'!$B$14,Paramètres!$A$1:$I$89,3,0)*VLOOKUP('Données projet'!$B$14,Paramètres!$A$1:$I$89,5,0)</f>
        <v>-8.7434273154940449E-13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295.19398489974265</v>
      </c>
      <c r="DU183" s="60">
        <f t="shared" si="152"/>
        <v>168.80998104712489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4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-9.7986685432260874E-13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341.82426415364569</v>
      </c>
      <c r="T184" s="60">
        <f t="shared" si="142"/>
        <v>193.53376539568887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-2.8421709430404007E-13</v>
      </c>
      <c r="AJ184" s="14">
        <f>AI184*VLOOKUP('Données projet'!$B$10,Paramètres!$A$1:$I$89,3,0)*VLOOKUP('Données projet'!$B$10,Paramètres!$A$1:$I$89,5,0)</f>
        <v>-1.69961822393816E-13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189.8516574130017</v>
      </c>
      <c r="AO184" s="60">
        <f t="shared" si="144"/>
        <v>191.91100863555891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0.71434605965327758</v>
      </c>
      <c r="AV184" s="23">
        <f>EXP(-LN(2)/25)*AV183+(1-EXP(-LN(2)/25))/(LN(2)/25)*Calculateur!AQ184*Calculateur!AS184*VLOOKUP('Données projet'!$B$10,Paramètres!$A$1:$I$89,3,0)*0.475*44/12</f>
        <v>0.27440930163641852</v>
      </c>
      <c r="AW184" s="23">
        <f>EXP(-LN(2)/2)*AW183+(1-EXP(-LN(2)/2))/(LN(2)/2)*AQ184*AT184*VLOOKUP('Données projet'!$B$10,Paramètres!$A$1:$I$89,3,0)*0.475*44/12</f>
        <v>1.1312286069591746E-22</v>
      </c>
      <c r="AX184" s="23">
        <f t="shared" si="166"/>
        <v>0.9887553612896961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-5.1159076974727213E-13</v>
      </c>
      <c r="BE184" s="14">
        <f>BD184*VLOOKUP('Données projet'!$B$11,Paramètres!$A$1:$I$89,3,0)*VLOOKUP('Données projet'!$B$11,Paramètres!$A$1:$I$89,5,0)</f>
        <v>-5.3471467253984886E-13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373.7520752235389</v>
      </c>
      <c r="BJ184" s="60">
        <f t="shared" si="146"/>
        <v>205.19966474305761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-6.2527760746888816E-13</v>
      </c>
      <c r="BZ184" s="14">
        <f>BY184*VLOOKUP('Données projet'!$B$12,Paramètres!$A$1:$I$89,3,0)*VLOOKUP('Données projet'!$B$12,Paramètres!$A$1:$I$89,5,0)</f>
        <v>-2.9262992029543964E-13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141.31558705818316</v>
      </c>
      <c r="CE184" s="60">
        <f t="shared" si="148"/>
        <v>67.142010893211364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-9.6633812063373625E-13</v>
      </c>
      <c r="CU184" s="18">
        <f>CT184*VLOOKUP('Données projet'!$B$13,Paramètres!$A$1:$I$89,3,0)*VLOOKUP('Données projet'!$B$13,Paramètres!$A$1:$I$89,5,0)</f>
        <v>-8.4419298218563211E-13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281.8501448773884</v>
      </c>
      <c r="CZ184" s="60">
        <f t="shared" si="150"/>
        <v>161.7340631691518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-9.6633812063373625E-13</v>
      </c>
      <c r="DP184" s="18">
        <f>DO184*VLOOKUP('Données projet'!$B$14,Paramètres!$A$1:$I$89,3,0)*VLOOKUP('Données projet'!$B$14,Paramètres!$A$1:$I$89,5,0)</f>
        <v>-8.7434273154940449E-13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295.19398489974265</v>
      </c>
      <c r="DU184" s="60">
        <f t="shared" si="152"/>
        <v>168.80998104712489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4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-9.7986685432260874E-13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341.82426415364569</v>
      </c>
      <c r="T185" s="60">
        <f t="shared" si="142"/>
        <v>193.53376539568887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-2.8421709430404007E-13</v>
      </c>
      <c r="AJ185" s="14">
        <f>AI185*VLOOKUP('Données projet'!$B$10,Paramètres!$A$1:$I$89,3,0)*VLOOKUP('Données projet'!$B$10,Paramètres!$A$1:$I$89,5,0)</f>
        <v>-1.69961822393816E-13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189.8516574130017</v>
      </c>
      <c r="AO185" s="60">
        <f t="shared" si="144"/>
        <v>191.91100863555891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0.70033816913155056</v>
      </c>
      <c r="AV185" s="23">
        <f>EXP(-LN(2)/25)*AV184+(1-EXP(-LN(2)/25))/(LN(2)/25)*Calculateur!AQ185*Calculateur!AS185*VLOOKUP('Données projet'!$B$10,Paramètres!$A$1:$I$89,3,0)*0.475*44/12</f>
        <v>0.26690556485261263</v>
      </c>
      <c r="AW185" s="23">
        <f>EXP(-LN(2)/2)*AW184+(1-EXP(-LN(2)/2))/(LN(2)/2)*AQ185*AT185*VLOOKUP('Données projet'!$B$10,Paramètres!$A$1:$I$89,3,0)*0.475*44/12</f>
        <v>7.9989941905304402E-23</v>
      </c>
      <c r="AX185" s="23">
        <f t="shared" si="166"/>
        <v>0.96724373398416319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-5.1159076974727213E-13</v>
      </c>
      <c r="BE185" s="14">
        <f>BD185*VLOOKUP('Données projet'!$B$11,Paramètres!$A$1:$I$89,3,0)*VLOOKUP('Données projet'!$B$11,Paramètres!$A$1:$I$89,5,0)</f>
        <v>-5.3471467253984886E-13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373.7520752235389</v>
      </c>
      <c r="BJ185" s="60">
        <f t="shared" si="146"/>
        <v>205.19966474305761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-6.2527760746888816E-13</v>
      </c>
      <c r="BZ185" s="14">
        <f>BY185*VLOOKUP('Données projet'!$B$12,Paramètres!$A$1:$I$89,3,0)*VLOOKUP('Données projet'!$B$12,Paramètres!$A$1:$I$89,5,0)</f>
        <v>-2.9262992029543964E-13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141.31558705818316</v>
      </c>
      <c r="CE185" s="60">
        <f t="shared" si="148"/>
        <v>67.142010893211364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-9.6633812063373625E-13</v>
      </c>
      <c r="CU185" s="18">
        <f>CT185*VLOOKUP('Données projet'!$B$13,Paramètres!$A$1:$I$89,3,0)*VLOOKUP('Données projet'!$B$13,Paramètres!$A$1:$I$89,5,0)</f>
        <v>-8.4419298218563211E-13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281.8501448773884</v>
      </c>
      <c r="CZ185" s="60">
        <f t="shared" si="150"/>
        <v>161.7340631691518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-9.6633812063373625E-13</v>
      </c>
      <c r="DP185" s="18">
        <f>DO185*VLOOKUP('Données projet'!$B$14,Paramètres!$A$1:$I$89,3,0)*VLOOKUP('Données projet'!$B$14,Paramètres!$A$1:$I$89,5,0)</f>
        <v>-8.7434273154940449E-13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295.19398489974265</v>
      </c>
      <c r="DU185" s="60">
        <f t="shared" si="152"/>
        <v>168.80998104712489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4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-9.7986685432260874E-13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341.82426415364569</v>
      </c>
      <c r="T186" s="60">
        <f t="shared" si="142"/>
        <v>193.53376539568887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-2.8421709430404007E-13</v>
      </c>
      <c r="AJ186" s="14">
        <f>AI186*VLOOKUP('Données projet'!$B$10,Paramètres!$A$1:$I$89,3,0)*VLOOKUP('Données projet'!$B$10,Paramètres!$A$1:$I$89,5,0)</f>
        <v>-1.69961822393816E-13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189.8516574130017</v>
      </c>
      <c r="AO186" s="60">
        <f t="shared" si="144"/>
        <v>191.91100863555891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0.68660496479898503</v>
      </c>
      <c r="AV186" s="23">
        <f>EXP(-LN(2)/25)*AV185+(1-EXP(-LN(2)/25))/(LN(2)/25)*Calculateur!AQ186*Calculateur!AS186*VLOOKUP('Données projet'!$B$10,Paramètres!$A$1:$I$89,3,0)*0.475*44/12</f>
        <v>0.25960701814576431</v>
      </c>
      <c r="AW186" s="23">
        <f>EXP(-LN(2)/2)*AW185+(1-EXP(-LN(2)/2))/(LN(2)/2)*AQ186*AT186*VLOOKUP('Données projet'!$B$10,Paramètres!$A$1:$I$89,3,0)*0.475*44/12</f>
        <v>5.6561430347958728E-23</v>
      </c>
      <c r="AX186" s="23">
        <f t="shared" si="166"/>
        <v>0.94621198294474929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-5.1159076974727213E-13</v>
      </c>
      <c r="BE186" s="14">
        <f>BD186*VLOOKUP('Données projet'!$B$11,Paramètres!$A$1:$I$89,3,0)*VLOOKUP('Données projet'!$B$11,Paramètres!$A$1:$I$89,5,0)</f>
        <v>-5.3471467253984886E-13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373.7520752235389</v>
      </c>
      <c r="BJ186" s="60">
        <f t="shared" si="146"/>
        <v>205.19966474305761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-6.2527760746888816E-13</v>
      </c>
      <c r="BZ186" s="14">
        <f>BY186*VLOOKUP('Données projet'!$B$12,Paramètres!$A$1:$I$89,3,0)*VLOOKUP('Données projet'!$B$12,Paramètres!$A$1:$I$89,5,0)</f>
        <v>-2.9262992029543964E-13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141.31558705818316</v>
      </c>
      <c r="CE186" s="60">
        <f t="shared" si="148"/>
        <v>67.142010893211364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-9.6633812063373625E-13</v>
      </c>
      <c r="CU186" s="18">
        <f>CT186*VLOOKUP('Données projet'!$B$13,Paramètres!$A$1:$I$89,3,0)*VLOOKUP('Données projet'!$B$13,Paramètres!$A$1:$I$89,5,0)</f>
        <v>-8.4419298218563211E-13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281.8501448773884</v>
      </c>
      <c r="CZ186" s="60">
        <f t="shared" si="150"/>
        <v>161.7340631691518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-9.6633812063373625E-13</v>
      </c>
      <c r="DP186" s="18">
        <f>DO186*VLOOKUP('Données projet'!$B$14,Paramètres!$A$1:$I$89,3,0)*VLOOKUP('Données projet'!$B$14,Paramètres!$A$1:$I$89,5,0)</f>
        <v>-8.7434273154940449E-13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295.19398489974265</v>
      </c>
      <c r="DU186" s="60">
        <f t="shared" si="152"/>
        <v>168.80998104712489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4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-9.7986685432260874E-13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341.82426415364569</v>
      </c>
      <c r="T187" s="60">
        <f t="shared" si="142"/>
        <v>193.53376539568887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-2.8421709430404007E-13</v>
      </c>
      <c r="AJ187" s="14">
        <f>AI187*VLOOKUP('Données projet'!$B$10,Paramètres!$A$1:$I$89,3,0)*VLOOKUP('Données projet'!$B$10,Paramètres!$A$1:$I$89,5,0)</f>
        <v>-1.69961822393816E-13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189.8516574130017</v>
      </c>
      <c r="AO187" s="60">
        <f t="shared" si="144"/>
        <v>191.91100863555891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0.67314106022695364</v>
      </c>
      <c r="AV187" s="23">
        <f>EXP(-LN(2)/25)*AV186+(1-EXP(-LN(2)/25))/(LN(2)/25)*Calculateur!AQ187*Calculateur!AS187*VLOOKUP('Données projet'!$B$10,Paramètres!$A$1:$I$89,3,0)*0.475*44/12</f>
        <v>0.25250805058242864</v>
      </c>
      <c r="AW187" s="23">
        <f>EXP(-LN(2)/2)*AW186+(1-EXP(-LN(2)/2))/(LN(2)/2)*AQ187*AT187*VLOOKUP('Données projet'!$B$10,Paramètres!$A$1:$I$89,3,0)*0.475*44/12</f>
        <v>3.9994970952652201E-23</v>
      </c>
      <c r="AX187" s="23">
        <f t="shared" si="166"/>
        <v>0.92564911080938228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-5.1159076974727213E-13</v>
      </c>
      <c r="BE187" s="14">
        <f>BD187*VLOOKUP('Données projet'!$B$11,Paramètres!$A$1:$I$89,3,0)*VLOOKUP('Données projet'!$B$11,Paramètres!$A$1:$I$89,5,0)</f>
        <v>-5.3471467253984886E-13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373.7520752235389</v>
      </c>
      <c r="BJ187" s="60">
        <f t="shared" si="146"/>
        <v>205.19966474305761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-6.2527760746888816E-13</v>
      </c>
      <c r="BZ187" s="14">
        <f>BY187*VLOOKUP('Données projet'!$B$12,Paramètres!$A$1:$I$89,3,0)*VLOOKUP('Données projet'!$B$12,Paramètres!$A$1:$I$89,5,0)</f>
        <v>-2.9262992029543964E-13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141.31558705818316</v>
      </c>
      <c r="CE187" s="60">
        <f t="shared" si="148"/>
        <v>67.142010893211364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-9.6633812063373625E-13</v>
      </c>
      <c r="CU187" s="18">
        <f>CT187*VLOOKUP('Données projet'!$B$13,Paramètres!$A$1:$I$89,3,0)*VLOOKUP('Données projet'!$B$13,Paramètres!$A$1:$I$89,5,0)</f>
        <v>-8.4419298218563211E-13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281.8501448773884</v>
      </c>
      <c r="CZ187" s="60">
        <f t="shared" si="150"/>
        <v>161.7340631691518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-9.6633812063373625E-13</v>
      </c>
      <c r="DP187" s="18">
        <f>DO187*VLOOKUP('Données projet'!$B$14,Paramètres!$A$1:$I$89,3,0)*VLOOKUP('Données projet'!$B$14,Paramètres!$A$1:$I$89,5,0)</f>
        <v>-8.7434273154940449E-13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295.19398489974265</v>
      </c>
      <c r="DU187" s="60">
        <f t="shared" si="152"/>
        <v>168.80998104712489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4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-9.7986685432260874E-13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341.82426415364569</v>
      </c>
      <c r="T188" s="60">
        <f t="shared" si="142"/>
        <v>193.53376539568887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-2.8421709430404007E-13</v>
      </c>
      <c r="AJ188" s="14">
        <f>AI188*VLOOKUP('Données projet'!$B$10,Paramètres!$A$1:$I$89,3,0)*VLOOKUP('Données projet'!$B$10,Paramètres!$A$1:$I$89,5,0)</f>
        <v>-1.69961822393816E-13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189.8516574130017</v>
      </c>
      <c r="AO188" s="60">
        <f t="shared" si="144"/>
        <v>191.91100863555891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0.65994117461140889</v>
      </c>
      <c r="AV188" s="23">
        <f>EXP(-LN(2)/25)*AV187+(1-EXP(-LN(2)/25))/(LN(2)/25)*Calculateur!AQ188*Calculateur!AS188*VLOOKUP('Données projet'!$B$10,Paramètres!$A$1:$I$89,3,0)*0.475*44/12</f>
        <v>0.24560320466043087</v>
      </c>
      <c r="AW188" s="23">
        <f>EXP(-LN(2)/2)*AW187+(1-EXP(-LN(2)/2))/(LN(2)/2)*AQ188*AT188*VLOOKUP('Données projet'!$B$10,Paramètres!$A$1:$I$89,3,0)*0.475*44/12</f>
        <v>2.8280715173979364E-23</v>
      </c>
      <c r="AX188" s="23">
        <f t="shared" si="166"/>
        <v>0.90554437927183973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-5.1159076974727213E-13</v>
      </c>
      <c r="BE188" s="14">
        <f>BD188*VLOOKUP('Données projet'!$B$11,Paramètres!$A$1:$I$89,3,0)*VLOOKUP('Données projet'!$B$11,Paramètres!$A$1:$I$89,5,0)</f>
        <v>-5.3471467253984886E-13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373.7520752235389</v>
      </c>
      <c r="BJ188" s="60">
        <f t="shared" si="146"/>
        <v>205.19966474305761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-6.2527760746888816E-13</v>
      </c>
      <c r="BZ188" s="14">
        <f>BY188*VLOOKUP('Données projet'!$B$12,Paramètres!$A$1:$I$89,3,0)*VLOOKUP('Données projet'!$B$12,Paramètres!$A$1:$I$89,5,0)</f>
        <v>-2.9262992029543964E-13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141.31558705818316</v>
      </c>
      <c r="CE188" s="60">
        <f t="shared" si="148"/>
        <v>67.142010893211364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-9.6633812063373625E-13</v>
      </c>
      <c r="CU188" s="18">
        <f>CT188*VLOOKUP('Données projet'!$B$13,Paramètres!$A$1:$I$89,3,0)*VLOOKUP('Données projet'!$B$13,Paramètres!$A$1:$I$89,5,0)</f>
        <v>-8.4419298218563211E-13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281.8501448773884</v>
      </c>
      <c r="CZ188" s="60">
        <f t="shared" si="150"/>
        <v>161.7340631691518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-9.6633812063373625E-13</v>
      </c>
      <c r="DP188" s="18">
        <f>DO188*VLOOKUP('Données projet'!$B$14,Paramètres!$A$1:$I$89,3,0)*VLOOKUP('Données projet'!$B$14,Paramètres!$A$1:$I$89,5,0)</f>
        <v>-8.7434273154940449E-13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295.19398489974265</v>
      </c>
      <c r="DU188" s="60">
        <f t="shared" si="152"/>
        <v>168.80998104712489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4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-9.7986685432260874E-13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341.82426415364569</v>
      </c>
      <c r="T189" s="60">
        <f t="shared" si="142"/>
        <v>193.53376539568887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-2.8421709430404007E-13</v>
      </c>
      <c r="AJ189" s="14">
        <f>AI189*VLOOKUP('Données projet'!$B$10,Paramètres!$A$1:$I$89,3,0)*VLOOKUP('Données projet'!$B$10,Paramètres!$A$1:$I$89,5,0)</f>
        <v>-1.69961822393816E-13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189.8516574130017</v>
      </c>
      <c r="AO189" s="60">
        <f t="shared" si="144"/>
        <v>191.91100863555891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0.64700013070164974</v>
      </c>
      <c r="AV189" s="23">
        <f>EXP(-LN(2)/25)*AV188+(1-EXP(-LN(2)/25))/(LN(2)/25)*Calculateur!AQ189*Calculateur!AS189*VLOOKUP('Données projet'!$B$10,Paramètres!$A$1:$I$89,3,0)*0.475*44/12</f>
        <v>0.2388871721132802</v>
      </c>
      <c r="AW189" s="23">
        <f>EXP(-LN(2)/2)*AW188+(1-EXP(-LN(2)/2))/(LN(2)/2)*AQ189*AT189*VLOOKUP('Données projet'!$B$10,Paramètres!$A$1:$I$89,3,0)*0.475*44/12</f>
        <v>1.99974854763261E-23</v>
      </c>
      <c r="AX189" s="23">
        <f t="shared" si="166"/>
        <v>0.88588730281492989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-5.1159076974727213E-13</v>
      </c>
      <c r="BE189" s="14">
        <f>BD189*VLOOKUP('Données projet'!$B$11,Paramètres!$A$1:$I$89,3,0)*VLOOKUP('Données projet'!$B$11,Paramètres!$A$1:$I$89,5,0)</f>
        <v>-5.3471467253984886E-13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373.7520752235389</v>
      </c>
      <c r="BJ189" s="60">
        <f t="shared" si="146"/>
        <v>205.19966474305761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-6.2527760746888816E-13</v>
      </c>
      <c r="BZ189" s="14">
        <f>BY189*VLOOKUP('Données projet'!$B$12,Paramètres!$A$1:$I$89,3,0)*VLOOKUP('Données projet'!$B$12,Paramètres!$A$1:$I$89,5,0)</f>
        <v>-2.9262992029543964E-13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141.31558705818316</v>
      </c>
      <c r="CE189" s="60">
        <f t="shared" si="148"/>
        <v>67.142010893211364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-9.6633812063373625E-13</v>
      </c>
      <c r="CU189" s="18">
        <f>CT189*VLOOKUP('Données projet'!$B$13,Paramètres!$A$1:$I$89,3,0)*VLOOKUP('Données projet'!$B$13,Paramètres!$A$1:$I$89,5,0)</f>
        <v>-8.4419298218563211E-13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281.8501448773884</v>
      </c>
      <c r="CZ189" s="60">
        <f t="shared" si="150"/>
        <v>161.7340631691518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-9.6633812063373625E-13</v>
      </c>
      <c r="DP189" s="18">
        <f>DO189*VLOOKUP('Données projet'!$B$14,Paramètres!$A$1:$I$89,3,0)*VLOOKUP('Données projet'!$B$14,Paramètres!$A$1:$I$89,5,0)</f>
        <v>-8.7434273154940449E-13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295.19398489974265</v>
      </c>
      <c r="DU189" s="60">
        <f t="shared" si="152"/>
        <v>168.80998104712489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4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-9.7986685432260874E-13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341.82426415364569</v>
      </c>
      <c r="T190" s="60">
        <f t="shared" si="142"/>
        <v>193.53376539568887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-2.8421709430404007E-13</v>
      </c>
      <c r="AJ190" s="14">
        <f>AI190*VLOOKUP('Données projet'!$B$10,Paramètres!$A$1:$I$89,3,0)*VLOOKUP('Données projet'!$B$10,Paramètres!$A$1:$I$89,5,0)</f>
        <v>-1.69961822393816E-13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189.8516574130017</v>
      </c>
      <c r="AO190" s="60">
        <f t="shared" si="144"/>
        <v>191.91100863555891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0.63431285276970351</v>
      </c>
      <c r="AV190" s="23">
        <f>EXP(-LN(2)/25)*AV189+(1-EXP(-LN(2)/25))/(LN(2)/25)*Calculateur!AQ190*Calculateur!AS190*VLOOKUP('Données projet'!$B$10,Paramètres!$A$1:$I$89,3,0)*0.475*44/12</f>
        <v>0.23235478982931215</v>
      </c>
      <c r="AW190" s="23">
        <f>EXP(-LN(2)/2)*AW189+(1-EXP(-LN(2)/2))/(LN(2)/2)*AQ190*AT190*VLOOKUP('Données projet'!$B$10,Paramètres!$A$1:$I$89,3,0)*0.475*44/12</f>
        <v>1.4140357586989682E-23</v>
      </c>
      <c r="AX190" s="23">
        <f t="shared" si="166"/>
        <v>0.86666764259901563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-5.1159076974727213E-13</v>
      </c>
      <c r="BE190" s="14">
        <f>BD190*VLOOKUP('Données projet'!$B$11,Paramètres!$A$1:$I$89,3,0)*VLOOKUP('Données projet'!$B$11,Paramètres!$A$1:$I$89,5,0)</f>
        <v>-5.3471467253984886E-13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373.7520752235389</v>
      </c>
      <c r="BJ190" s="60">
        <f t="shared" si="146"/>
        <v>205.19966474305761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-6.2527760746888816E-13</v>
      </c>
      <c r="BZ190" s="14">
        <f>BY190*VLOOKUP('Données projet'!$B$12,Paramètres!$A$1:$I$89,3,0)*VLOOKUP('Données projet'!$B$12,Paramètres!$A$1:$I$89,5,0)</f>
        <v>-2.9262992029543964E-13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141.31558705818316</v>
      </c>
      <c r="CE190" s="60">
        <f t="shared" si="148"/>
        <v>67.142010893211364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-9.6633812063373625E-13</v>
      </c>
      <c r="CU190" s="18">
        <f>CT190*VLOOKUP('Données projet'!$B$13,Paramètres!$A$1:$I$89,3,0)*VLOOKUP('Données projet'!$B$13,Paramètres!$A$1:$I$89,5,0)</f>
        <v>-8.4419298218563211E-13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281.8501448773884</v>
      </c>
      <c r="CZ190" s="60">
        <f t="shared" si="150"/>
        <v>161.7340631691518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-9.6633812063373625E-13</v>
      </c>
      <c r="DP190" s="18">
        <f>DO190*VLOOKUP('Données projet'!$B$14,Paramètres!$A$1:$I$89,3,0)*VLOOKUP('Données projet'!$B$14,Paramètres!$A$1:$I$89,5,0)</f>
        <v>-8.7434273154940449E-13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295.19398489974265</v>
      </c>
      <c r="DU190" s="60">
        <f t="shared" si="152"/>
        <v>168.80998104712489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4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-9.7986685432260874E-13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341.82426415364569</v>
      </c>
      <c r="T191" s="60">
        <f t="shared" si="142"/>
        <v>193.53376539568887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-2.8421709430404007E-13</v>
      </c>
      <c r="AJ191" s="14">
        <f>AI191*VLOOKUP('Données projet'!$B$10,Paramètres!$A$1:$I$89,3,0)*VLOOKUP('Données projet'!$B$10,Paramètres!$A$1:$I$89,5,0)</f>
        <v>-1.69961822393816E-13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189.8516574130017</v>
      </c>
      <c r="AO191" s="60">
        <f t="shared" si="144"/>
        <v>191.91100863555891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0.62187436461952739</v>
      </c>
      <c r="AV191" s="23">
        <f>EXP(-LN(2)/25)*AV190+(1-EXP(-LN(2)/25))/(LN(2)/25)*Calculateur!AQ191*Calculateur!AS191*VLOOKUP('Données projet'!$B$10,Paramètres!$A$1:$I$89,3,0)*0.475*44/12</f>
        <v>0.22600103588242226</v>
      </c>
      <c r="AW191" s="23">
        <f>EXP(-LN(2)/2)*AW190+(1-EXP(-LN(2)/2))/(LN(2)/2)*AQ191*AT191*VLOOKUP('Données projet'!$B$10,Paramètres!$A$1:$I$89,3,0)*0.475*44/12</f>
        <v>9.9987427381630502E-24</v>
      </c>
      <c r="AX191" s="23">
        <f t="shared" si="166"/>
        <v>0.84787540050194965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-5.1159076974727213E-13</v>
      </c>
      <c r="BE191" s="14">
        <f>BD191*VLOOKUP('Données projet'!$B$11,Paramètres!$A$1:$I$89,3,0)*VLOOKUP('Données projet'!$B$11,Paramètres!$A$1:$I$89,5,0)</f>
        <v>-5.3471467253984886E-13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373.7520752235389</v>
      </c>
      <c r="BJ191" s="60">
        <f t="shared" si="146"/>
        <v>205.19966474305761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-6.2527760746888816E-13</v>
      </c>
      <c r="BZ191" s="14">
        <f>BY191*VLOOKUP('Données projet'!$B$12,Paramètres!$A$1:$I$89,3,0)*VLOOKUP('Données projet'!$B$12,Paramètres!$A$1:$I$89,5,0)</f>
        <v>-2.9262992029543964E-13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141.31558705818316</v>
      </c>
      <c r="CE191" s="60">
        <f t="shared" si="148"/>
        <v>67.142010893211364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-9.6633812063373625E-13</v>
      </c>
      <c r="CU191" s="18">
        <f>CT191*VLOOKUP('Données projet'!$B$13,Paramètres!$A$1:$I$89,3,0)*VLOOKUP('Données projet'!$B$13,Paramètres!$A$1:$I$89,5,0)</f>
        <v>-8.4419298218563211E-13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281.8501448773884</v>
      </c>
      <c r="CZ191" s="60">
        <f t="shared" si="150"/>
        <v>161.7340631691518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-9.6633812063373625E-13</v>
      </c>
      <c r="DP191" s="18">
        <f>DO191*VLOOKUP('Données projet'!$B$14,Paramètres!$A$1:$I$89,3,0)*VLOOKUP('Données projet'!$B$14,Paramètres!$A$1:$I$89,5,0)</f>
        <v>-8.7434273154940449E-13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295.19398489974265</v>
      </c>
      <c r="DU191" s="60">
        <f t="shared" si="152"/>
        <v>168.80998104712489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4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-9.7986685432260874E-13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341.82426415364569</v>
      </c>
      <c r="T192" s="60">
        <f t="shared" si="142"/>
        <v>193.53376539568887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-2.8421709430404007E-13</v>
      </c>
      <c r="AJ192" s="14">
        <f>AI192*VLOOKUP('Données projet'!$B$10,Paramètres!$A$1:$I$89,3,0)*VLOOKUP('Données projet'!$B$10,Paramètres!$A$1:$I$89,5,0)</f>
        <v>-1.69961822393816E-13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189.8516574130017</v>
      </c>
      <c r="AO192" s="60">
        <f t="shared" si="144"/>
        <v>191.91100863555891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0.60967978763524755</v>
      </c>
      <c r="AV192" s="23">
        <f>EXP(-LN(2)/25)*AV191+(1-EXP(-LN(2)/25))/(LN(2)/25)*Calculateur!AQ192*Calculateur!AS192*VLOOKUP('Données projet'!$B$10,Paramètres!$A$1:$I$89,3,0)*0.475*44/12</f>
        <v>0.21982102567133949</v>
      </c>
      <c r="AW192" s="23">
        <f>EXP(-LN(2)/2)*AW191+(1-EXP(-LN(2)/2))/(LN(2)/2)*AQ192*AT192*VLOOKUP('Données projet'!$B$10,Paramètres!$A$1:$I$89,3,0)*0.475*44/12</f>
        <v>7.070178793494841E-24</v>
      </c>
      <c r="AX192" s="23">
        <f t="shared" si="166"/>
        <v>0.82950081330658709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-5.1159076974727213E-13</v>
      </c>
      <c r="BE192" s="14">
        <f>BD192*VLOOKUP('Données projet'!$B$11,Paramètres!$A$1:$I$89,3,0)*VLOOKUP('Données projet'!$B$11,Paramètres!$A$1:$I$89,5,0)</f>
        <v>-5.3471467253984886E-13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373.7520752235389</v>
      </c>
      <c r="BJ192" s="60">
        <f t="shared" si="146"/>
        <v>205.19966474305761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-6.2527760746888816E-13</v>
      </c>
      <c r="BZ192" s="14">
        <f>BY192*VLOOKUP('Données projet'!$B$12,Paramètres!$A$1:$I$89,3,0)*VLOOKUP('Données projet'!$B$12,Paramètres!$A$1:$I$89,5,0)</f>
        <v>-2.9262992029543964E-13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141.31558705818316</v>
      </c>
      <c r="CE192" s="60">
        <f t="shared" si="148"/>
        <v>67.142010893211364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-9.6633812063373625E-13</v>
      </c>
      <c r="CU192" s="18">
        <f>CT192*VLOOKUP('Données projet'!$B$13,Paramètres!$A$1:$I$89,3,0)*VLOOKUP('Données projet'!$B$13,Paramètres!$A$1:$I$89,5,0)</f>
        <v>-8.4419298218563211E-13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281.8501448773884</v>
      </c>
      <c r="CZ192" s="60">
        <f t="shared" si="150"/>
        <v>161.7340631691518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-9.6633812063373625E-13</v>
      </c>
      <c r="DP192" s="18">
        <f>DO192*VLOOKUP('Données projet'!$B$14,Paramètres!$A$1:$I$89,3,0)*VLOOKUP('Données projet'!$B$14,Paramètres!$A$1:$I$89,5,0)</f>
        <v>-8.7434273154940449E-13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295.19398489974265</v>
      </c>
      <c r="DU192" s="60">
        <f t="shared" si="152"/>
        <v>168.80998104712489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4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-9.7986685432260874E-13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341.82426415364569</v>
      </c>
      <c r="T193" s="60">
        <f t="shared" si="142"/>
        <v>193.53376539568887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-2.8421709430404007E-13</v>
      </c>
      <c r="AJ193" s="14">
        <f>AI193*VLOOKUP('Données projet'!$B$10,Paramètres!$A$1:$I$89,3,0)*VLOOKUP('Données projet'!$B$10,Paramètres!$A$1:$I$89,5,0)</f>
        <v>-1.69961822393816E-13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189.8516574130017</v>
      </c>
      <c r="AO193" s="60">
        <f t="shared" si="144"/>
        <v>191.91100863555891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0.59772433886767184</v>
      </c>
      <c r="AV193" s="23">
        <f>EXP(-LN(2)/25)*AV192+(1-EXP(-LN(2)/25))/(LN(2)/25)*Calculateur!AQ193*Calculateur!AS193*VLOOKUP('Données projet'!$B$10,Paramètres!$A$1:$I$89,3,0)*0.475*44/12</f>
        <v>0.21381000816447138</v>
      </c>
      <c r="AW193" s="23">
        <f>EXP(-LN(2)/2)*AW192+(1-EXP(-LN(2)/2))/(LN(2)/2)*AQ193*AT193*VLOOKUP('Données projet'!$B$10,Paramètres!$A$1:$I$89,3,0)*0.475*44/12</f>
        <v>4.9993713690815251E-24</v>
      </c>
      <c r="AX193" s="23">
        <f t="shared" si="166"/>
        <v>0.81153434703214322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-5.1159076974727213E-13</v>
      </c>
      <c r="BE193" s="14">
        <f>BD193*VLOOKUP('Données projet'!$B$11,Paramètres!$A$1:$I$89,3,0)*VLOOKUP('Données projet'!$B$11,Paramètres!$A$1:$I$89,5,0)</f>
        <v>-5.3471467253984886E-13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373.7520752235389</v>
      </c>
      <c r="BJ193" s="60">
        <f t="shared" si="146"/>
        <v>205.19966474305761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-6.2527760746888816E-13</v>
      </c>
      <c r="BZ193" s="14">
        <f>BY193*VLOOKUP('Données projet'!$B$12,Paramètres!$A$1:$I$89,3,0)*VLOOKUP('Données projet'!$B$12,Paramètres!$A$1:$I$89,5,0)</f>
        <v>-2.9262992029543964E-13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141.31558705818316</v>
      </c>
      <c r="CE193" s="60">
        <f t="shared" si="148"/>
        <v>67.142010893211364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-9.6633812063373625E-13</v>
      </c>
      <c r="CU193" s="18">
        <f>CT193*VLOOKUP('Données projet'!$B$13,Paramètres!$A$1:$I$89,3,0)*VLOOKUP('Données projet'!$B$13,Paramètres!$A$1:$I$89,5,0)</f>
        <v>-8.4419298218563211E-13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281.8501448773884</v>
      </c>
      <c r="CZ193" s="60">
        <f t="shared" si="150"/>
        <v>161.7340631691518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-9.6633812063373625E-13</v>
      </c>
      <c r="DP193" s="18">
        <f>DO193*VLOOKUP('Données projet'!$B$14,Paramètres!$A$1:$I$89,3,0)*VLOOKUP('Données projet'!$B$14,Paramètres!$A$1:$I$89,5,0)</f>
        <v>-8.7434273154940449E-13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295.19398489974265</v>
      </c>
      <c r="DU193" s="60">
        <f t="shared" si="152"/>
        <v>168.80998104712489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4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-9.7986685432260874E-13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341.82426415364569</v>
      </c>
      <c r="T194" s="60">
        <f t="shared" si="142"/>
        <v>193.53376539568887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-2.8421709430404007E-13</v>
      </c>
      <c r="AJ194" s="14">
        <f>AI194*VLOOKUP('Données projet'!$B$10,Paramètres!$A$1:$I$89,3,0)*VLOOKUP('Données projet'!$B$10,Paramètres!$A$1:$I$89,5,0)</f>
        <v>-1.69961822393816E-13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189.8516574130017</v>
      </c>
      <c r="AO194" s="60">
        <f t="shared" si="144"/>
        <v>191.91100863555891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0.58600332915832465</v>
      </c>
      <c r="AV194" s="23">
        <f>EXP(-LN(2)/25)*AV193+(1-EXP(-LN(2)/25))/(LN(2)/25)*Calculateur!AQ194*Calculateur!AS194*VLOOKUP('Données projet'!$B$10,Paramètres!$A$1:$I$89,3,0)*0.475*44/12</f>
        <v>0.20796336224743425</v>
      </c>
      <c r="AW194" s="23">
        <f>EXP(-LN(2)/2)*AW193+(1-EXP(-LN(2)/2))/(LN(2)/2)*AQ194*AT194*VLOOKUP('Données projet'!$B$10,Paramètres!$A$1:$I$89,3,0)*0.475*44/12</f>
        <v>3.5350893967474205E-24</v>
      </c>
      <c r="AX194" s="23">
        <f t="shared" si="166"/>
        <v>0.79396669140575893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-5.1159076974727213E-13</v>
      </c>
      <c r="BE194" s="14">
        <f>BD194*VLOOKUP('Données projet'!$B$11,Paramètres!$A$1:$I$89,3,0)*VLOOKUP('Données projet'!$B$11,Paramètres!$A$1:$I$89,5,0)</f>
        <v>-5.3471467253984886E-13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373.7520752235389</v>
      </c>
      <c r="BJ194" s="60">
        <f t="shared" si="146"/>
        <v>205.19966474305761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-6.2527760746888816E-13</v>
      </c>
      <c r="BZ194" s="14">
        <f>BY194*VLOOKUP('Données projet'!$B$12,Paramètres!$A$1:$I$89,3,0)*VLOOKUP('Données projet'!$B$12,Paramètres!$A$1:$I$89,5,0)</f>
        <v>-2.9262992029543964E-13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141.31558705818316</v>
      </c>
      <c r="CE194" s="60">
        <f t="shared" si="148"/>
        <v>67.142010893211364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-9.6633812063373625E-13</v>
      </c>
      <c r="CU194" s="18">
        <f>CT194*VLOOKUP('Données projet'!$B$13,Paramètres!$A$1:$I$89,3,0)*VLOOKUP('Données projet'!$B$13,Paramètres!$A$1:$I$89,5,0)</f>
        <v>-8.4419298218563211E-13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281.8501448773884</v>
      </c>
      <c r="CZ194" s="60">
        <f t="shared" si="150"/>
        <v>161.7340631691518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-9.6633812063373625E-13</v>
      </c>
      <c r="DP194" s="18">
        <f>DO194*VLOOKUP('Données projet'!$B$14,Paramètres!$A$1:$I$89,3,0)*VLOOKUP('Données projet'!$B$14,Paramètres!$A$1:$I$89,5,0)</f>
        <v>-8.7434273154940449E-13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295.19398489974265</v>
      </c>
      <c r="DU194" s="60">
        <f t="shared" si="152"/>
        <v>168.80998104712489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4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-9.7986685432260874E-13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341.82426415364569</v>
      </c>
      <c r="T195" s="60">
        <f t="shared" si="142"/>
        <v>193.53376539568887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-2.8421709430404007E-13</v>
      </c>
      <c r="AJ195" s="14">
        <f>AI195*VLOOKUP('Données projet'!$B$10,Paramètres!$A$1:$I$89,3,0)*VLOOKUP('Données projet'!$B$10,Paramètres!$A$1:$I$89,5,0)</f>
        <v>-1.69961822393816E-13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189.8516574130017</v>
      </c>
      <c r="AO195" s="60">
        <f t="shared" si="144"/>
        <v>191.91100863555891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0.57451216130026772</v>
      </c>
      <c r="AV195" s="23">
        <f>EXP(-LN(2)/25)*AV194+(1-EXP(-LN(2)/25))/(LN(2)/25)*Calculateur!AQ195*Calculateur!AS195*VLOOKUP('Données projet'!$B$10,Paramètres!$A$1:$I$89,3,0)*0.475*44/12</f>
        <v>0.20227659317046026</v>
      </c>
      <c r="AW195" s="23">
        <f>EXP(-LN(2)/2)*AW194+(1-EXP(-LN(2)/2))/(LN(2)/2)*AQ195*AT195*VLOOKUP('Données projet'!$B$10,Paramètres!$A$1:$I$89,3,0)*0.475*44/12</f>
        <v>2.4996856845407626E-24</v>
      </c>
      <c r="AX195" s="23">
        <f t="shared" si="166"/>
        <v>0.77678875447072793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-5.1159076974727213E-13</v>
      </c>
      <c r="BE195" s="14">
        <f>BD195*VLOOKUP('Données projet'!$B$11,Paramètres!$A$1:$I$89,3,0)*VLOOKUP('Données projet'!$B$11,Paramètres!$A$1:$I$89,5,0)</f>
        <v>-5.3471467253984886E-13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373.7520752235389</v>
      </c>
      <c r="BJ195" s="60">
        <f t="shared" si="146"/>
        <v>205.19966474305761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-6.2527760746888816E-13</v>
      </c>
      <c r="BZ195" s="14">
        <f>BY195*VLOOKUP('Données projet'!$B$12,Paramètres!$A$1:$I$89,3,0)*VLOOKUP('Données projet'!$B$12,Paramètres!$A$1:$I$89,5,0)</f>
        <v>-2.9262992029543964E-13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141.31558705818316</v>
      </c>
      <c r="CE195" s="60">
        <f t="shared" si="148"/>
        <v>67.142010893211364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-9.6633812063373625E-13</v>
      </c>
      <c r="CU195" s="18">
        <f>CT195*VLOOKUP('Données projet'!$B$13,Paramètres!$A$1:$I$89,3,0)*VLOOKUP('Données projet'!$B$13,Paramètres!$A$1:$I$89,5,0)</f>
        <v>-8.4419298218563211E-13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281.8501448773884</v>
      </c>
      <c r="CZ195" s="60">
        <f t="shared" si="150"/>
        <v>161.7340631691518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-9.6633812063373625E-13</v>
      </c>
      <c r="DP195" s="18">
        <f>DO195*VLOOKUP('Données projet'!$B$14,Paramètres!$A$1:$I$89,3,0)*VLOOKUP('Données projet'!$B$14,Paramètres!$A$1:$I$89,5,0)</f>
        <v>-8.7434273154940449E-13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295.19398489974265</v>
      </c>
      <c r="DU195" s="60">
        <f t="shared" si="152"/>
        <v>168.80998104712489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4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-9.7986685432260874E-13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341.82426415364569</v>
      </c>
      <c r="T196" s="60">
        <f t="shared" si="142"/>
        <v>193.53376539568887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-2.8421709430404007E-13</v>
      </c>
      <c r="AJ196" s="14">
        <f>AI196*VLOOKUP('Données projet'!$B$10,Paramètres!$A$1:$I$89,3,0)*VLOOKUP('Données projet'!$B$10,Paramètres!$A$1:$I$89,5,0)</f>
        <v>-1.69961822393816E-13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189.8516574130017</v>
      </c>
      <c r="AO196" s="60">
        <f t="shared" si="144"/>
        <v>191.91100863555891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0.56324632823498699</v>
      </c>
      <c r="AV196" s="23">
        <f>EXP(-LN(2)/25)*AV195+(1-EXP(-LN(2)/25))/(LN(2)/25)*Calculateur!AQ196*Calculateur!AS196*VLOOKUP('Données projet'!$B$10,Paramètres!$A$1:$I$89,3,0)*0.475*44/12</f>
        <v>0.19674532909295031</v>
      </c>
      <c r="AW196" s="23">
        <f>EXP(-LN(2)/2)*AW195+(1-EXP(-LN(2)/2))/(LN(2)/2)*AQ196*AT196*VLOOKUP('Données projet'!$B$10,Paramètres!$A$1:$I$89,3,0)*0.475*44/12</f>
        <v>1.7675446983737103E-24</v>
      </c>
      <c r="AX196" s="23">
        <f t="shared" si="166"/>
        <v>0.75999165732793728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-5.1159076974727213E-13</v>
      </c>
      <c r="BE196" s="14">
        <f>BD196*VLOOKUP('Données projet'!$B$11,Paramètres!$A$1:$I$89,3,0)*VLOOKUP('Données projet'!$B$11,Paramètres!$A$1:$I$89,5,0)</f>
        <v>-5.3471467253984886E-13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373.7520752235389</v>
      </c>
      <c r="BJ196" s="60">
        <f t="shared" si="146"/>
        <v>205.19966474305761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-6.2527760746888816E-13</v>
      </c>
      <c r="BZ196" s="14">
        <f>BY196*VLOOKUP('Données projet'!$B$12,Paramètres!$A$1:$I$89,3,0)*VLOOKUP('Données projet'!$B$12,Paramètres!$A$1:$I$89,5,0)</f>
        <v>-2.9262992029543964E-13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141.31558705818316</v>
      </c>
      <c r="CE196" s="60">
        <f t="shared" si="148"/>
        <v>67.142010893211364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-9.6633812063373625E-13</v>
      </c>
      <c r="CU196" s="18">
        <f>CT196*VLOOKUP('Données projet'!$B$13,Paramètres!$A$1:$I$89,3,0)*VLOOKUP('Données projet'!$B$13,Paramètres!$A$1:$I$89,5,0)</f>
        <v>-8.4419298218563211E-13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281.8501448773884</v>
      </c>
      <c r="CZ196" s="60">
        <f t="shared" si="150"/>
        <v>161.7340631691518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-9.6633812063373625E-13</v>
      </c>
      <c r="DP196" s="18">
        <f>DO196*VLOOKUP('Données projet'!$B$14,Paramètres!$A$1:$I$89,3,0)*VLOOKUP('Données projet'!$B$14,Paramètres!$A$1:$I$89,5,0)</f>
        <v>-8.7434273154940449E-13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295.19398489974265</v>
      </c>
      <c r="DU196" s="60">
        <f t="shared" si="152"/>
        <v>168.80998104712489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4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-9.7986685432260874E-13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341.82426415364569</v>
      </c>
      <c r="T197" s="60">
        <f t="shared" ref="T197:T203" si="204">$T$3</f>
        <v>193.53376539568887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-2.8421709430404007E-13</v>
      </c>
      <c r="AJ197" s="14">
        <f>AI197*VLOOKUP('Données projet'!$B$10,Paramètres!$A$1:$I$89,3,0)*VLOOKUP('Données projet'!$B$10,Paramètres!$A$1:$I$89,5,0)</f>
        <v>-1.69961822393816E-13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189.8516574130017</v>
      </c>
      <c r="AO197" s="60">
        <f t="shared" ref="AO197:AO203" si="205">$AO$3</f>
        <v>191.91100863555891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0.55220141128463673</v>
      </c>
      <c r="AV197" s="23">
        <f>EXP(-LN(2)/25)*AV196+(1-EXP(-LN(2)/25))/(LN(2)/25)*Calculateur!AQ197*Calculateur!AS197*VLOOKUP('Données projet'!$B$10,Paramètres!$A$1:$I$89,3,0)*0.475*44/12</f>
        <v>0.19136531772251639</v>
      </c>
      <c r="AW197" s="23">
        <f>EXP(-LN(2)/2)*AW196+(1-EXP(-LN(2)/2))/(LN(2)/2)*AQ197*AT197*VLOOKUP('Données projet'!$B$10,Paramètres!$A$1:$I$89,3,0)*0.475*44/12</f>
        <v>1.2498428422703813E-24</v>
      </c>
      <c r="AX197" s="23">
        <f t="shared" si="166"/>
        <v>0.74356672900715315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-5.1159076974727213E-13</v>
      </c>
      <c r="BE197" s="14">
        <f>BD197*VLOOKUP('Données projet'!$B$11,Paramètres!$A$1:$I$89,3,0)*VLOOKUP('Données projet'!$B$11,Paramètres!$A$1:$I$89,5,0)</f>
        <v>-5.3471467253984886E-13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373.7520752235389</v>
      </c>
      <c r="BJ197" s="60">
        <f t="shared" ref="BJ197:BJ203" si="206">$BJ$3</f>
        <v>205.19966474305761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-6.2527760746888816E-13</v>
      </c>
      <c r="BZ197" s="14">
        <f>BY197*VLOOKUP('Données projet'!$B$12,Paramètres!$A$1:$I$89,3,0)*VLOOKUP('Données projet'!$B$12,Paramètres!$A$1:$I$89,5,0)</f>
        <v>-2.9262992029543964E-13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141.31558705818316</v>
      </c>
      <c r="CE197" s="60">
        <f t="shared" ref="CE197:CE203" si="207">$CE$3</f>
        <v>67.142010893211364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-9.6633812063373625E-13</v>
      </c>
      <c r="CU197" s="18">
        <f>CT197*VLOOKUP('Données projet'!$B$13,Paramètres!$A$1:$I$89,3,0)*VLOOKUP('Données projet'!$B$13,Paramètres!$A$1:$I$89,5,0)</f>
        <v>-8.4419298218563211E-13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281.8501448773884</v>
      </c>
      <c r="CZ197" s="60">
        <f t="shared" ref="CZ197:CZ203" si="208">$CZ$3</f>
        <v>161.7340631691518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-9.6633812063373625E-13</v>
      </c>
      <c r="DP197" s="18">
        <f>DO197*VLOOKUP('Données projet'!$B$14,Paramètres!$A$1:$I$89,3,0)*VLOOKUP('Données projet'!$B$14,Paramètres!$A$1:$I$89,5,0)</f>
        <v>-8.7434273154940449E-13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295.19398489974265</v>
      </c>
      <c r="DU197" s="60">
        <f t="shared" ref="DU197:DU203" si="209">$DU$3</f>
        <v>168.80998104712489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4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-9.7986685432260874E-13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341.82426415364569</v>
      </c>
      <c r="T198" s="60">
        <f t="shared" si="204"/>
        <v>193.53376539568887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-2.8421709430404007E-13</v>
      </c>
      <c r="AJ198" s="14">
        <f>AI198*VLOOKUP('Données projet'!$B$10,Paramètres!$A$1:$I$89,3,0)*VLOOKUP('Données projet'!$B$10,Paramètres!$A$1:$I$89,5,0)</f>
        <v>-1.69961822393816E-13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189.8516574130017</v>
      </c>
      <c r="AO198" s="60">
        <f t="shared" si="205"/>
        <v>191.91100863555891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0.54137307841894866</v>
      </c>
      <c r="AV198" s="23">
        <f>EXP(-LN(2)/25)*AV197+(1-EXP(-LN(2)/25))/(LN(2)/25)*Calculateur!AQ198*Calculateur!AS198*VLOOKUP('Données projet'!$B$10,Paramètres!$A$1:$I$89,3,0)*0.475*44/12</f>
        <v>0.1861324230459295</v>
      </c>
      <c r="AW198" s="23">
        <f>EXP(-LN(2)/2)*AW197+(1-EXP(-LN(2)/2))/(LN(2)/2)*AQ198*AT198*VLOOKUP('Données projet'!$B$10,Paramètres!$A$1:$I$89,3,0)*0.475*44/12</f>
        <v>8.8377234918685513E-25</v>
      </c>
      <c r="AX198" s="23">
        <f t="shared" si="166"/>
        <v>0.72750550146487813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-5.1159076974727213E-13</v>
      </c>
      <c r="BE198" s="14">
        <f>BD198*VLOOKUP('Données projet'!$B$11,Paramètres!$A$1:$I$89,3,0)*VLOOKUP('Données projet'!$B$11,Paramètres!$A$1:$I$89,5,0)</f>
        <v>-5.3471467253984886E-13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373.7520752235389</v>
      </c>
      <c r="BJ198" s="60">
        <f t="shared" si="206"/>
        <v>205.19966474305761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-6.2527760746888816E-13</v>
      </c>
      <c r="BZ198" s="14">
        <f>BY198*VLOOKUP('Données projet'!$B$12,Paramètres!$A$1:$I$89,3,0)*VLOOKUP('Données projet'!$B$12,Paramètres!$A$1:$I$89,5,0)</f>
        <v>-2.9262992029543964E-13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141.31558705818316</v>
      </c>
      <c r="CE198" s="60">
        <f t="shared" si="207"/>
        <v>67.142010893211364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-9.6633812063373625E-13</v>
      </c>
      <c r="CU198" s="18">
        <f>CT198*VLOOKUP('Données projet'!$B$13,Paramètres!$A$1:$I$89,3,0)*VLOOKUP('Données projet'!$B$13,Paramètres!$A$1:$I$89,5,0)</f>
        <v>-8.4419298218563211E-13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281.8501448773884</v>
      </c>
      <c r="CZ198" s="60">
        <f t="shared" si="208"/>
        <v>161.7340631691518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-9.6633812063373625E-13</v>
      </c>
      <c r="DP198" s="18">
        <f>DO198*VLOOKUP('Données projet'!$B$14,Paramètres!$A$1:$I$89,3,0)*VLOOKUP('Données projet'!$B$14,Paramètres!$A$1:$I$89,5,0)</f>
        <v>-8.7434273154940449E-13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295.19398489974265</v>
      </c>
      <c r="DU198" s="60">
        <f t="shared" si="209"/>
        <v>168.80998104712489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4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-9.7986685432260874E-13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341.82426415364569</v>
      </c>
      <c r="T199" s="60">
        <f t="shared" si="204"/>
        <v>193.53376539568887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-2.8421709430404007E-13</v>
      </c>
      <c r="AJ199" s="14">
        <f>AI199*VLOOKUP('Données projet'!$B$10,Paramètres!$A$1:$I$89,3,0)*VLOOKUP('Données projet'!$B$10,Paramètres!$A$1:$I$89,5,0)</f>
        <v>-1.69961822393816E-13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189.8516574130017</v>
      </c>
      <c r="AO199" s="60">
        <f t="shared" si="205"/>
        <v>191.91100863555891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0.53075708255612586</v>
      </c>
      <c r="AV199" s="23">
        <f>EXP(-LN(2)/25)*AV198+(1-EXP(-LN(2)/25))/(LN(2)/25)*Calculateur!AQ199*Calculateur!AS199*VLOOKUP('Données projet'!$B$10,Paramètres!$A$1:$I$89,3,0)*0.475*44/12</f>
        <v>0.18104262214945985</v>
      </c>
      <c r="AW199" s="23">
        <f>EXP(-LN(2)/2)*AW198+(1-EXP(-LN(2)/2))/(LN(2)/2)*AQ199*AT199*VLOOKUP('Données projet'!$B$10,Paramètres!$A$1:$I$89,3,0)*0.475*44/12</f>
        <v>6.2492142113519064E-25</v>
      </c>
      <c r="AX199" s="23">
        <f t="shared" si="166"/>
        <v>0.71179970470558573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-5.1159076974727213E-13</v>
      </c>
      <c r="BE199" s="14">
        <f>BD199*VLOOKUP('Données projet'!$B$11,Paramètres!$A$1:$I$89,3,0)*VLOOKUP('Données projet'!$B$11,Paramètres!$A$1:$I$89,5,0)</f>
        <v>-5.3471467253984886E-13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373.7520752235389</v>
      </c>
      <c r="BJ199" s="60">
        <f t="shared" si="206"/>
        <v>205.19966474305761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-6.2527760746888816E-13</v>
      </c>
      <c r="BZ199" s="14">
        <f>BY199*VLOOKUP('Données projet'!$B$12,Paramètres!$A$1:$I$89,3,0)*VLOOKUP('Données projet'!$B$12,Paramètres!$A$1:$I$89,5,0)</f>
        <v>-2.9262992029543964E-13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141.31558705818316</v>
      </c>
      <c r="CE199" s="60">
        <f t="shared" si="207"/>
        <v>67.142010893211364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-9.6633812063373625E-13</v>
      </c>
      <c r="CU199" s="18">
        <f>CT199*VLOOKUP('Données projet'!$B$13,Paramètres!$A$1:$I$89,3,0)*VLOOKUP('Données projet'!$B$13,Paramètres!$A$1:$I$89,5,0)</f>
        <v>-8.4419298218563211E-13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281.8501448773884</v>
      </c>
      <c r="CZ199" s="60">
        <f t="shared" si="208"/>
        <v>161.7340631691518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-9.6633812063373625E-13</v>
      </c>
      <c r="DP199" s="18">
        <f>DO199*VLOOKUP('Données projet'!$B$14,Paramètres!$A$1:$I$89,3,0)*VLOOKUP('Données projet'!$B$14,Paramètres!$A$1:$I$89,5,0)</f>
        <v>-8.7434273154940449E-13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295.19398489974265</v>
      </c>
      <c r="DU199" s="60">
        <f t="shared" si="209"/>
        <v>168.80998104712489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4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-9.7986685432260874E-13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341.82426415364569</v>
      </c>
      <c r="T200" s="60">
        <f t="shared" si="204"/>
        <v>193.53376539568887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-2.8421709430404007E-13</v>
      </c>
      <c r="AJ200" s="14">
        <f>AI200*VLOOKUP('Données projet'!$B$10,Paramètres!$A$1:$I$89,3,0)*VLOOKUP('Données projet'!$B$10,Paramètres!$A$1:$I$89,5,0)</f>
        <v>-1.69961822393816E-13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189.8516574130017</v>
      </c>
      <c r="AO200" s="60">
        <f t="shared" si="205"/>
        <v>191.91100863555891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0.52034925989705494</v>
      </c>
      <c r="AV200" s="23">
        <f>EXP(-LN(2)/25)*AV199+(1-EXP(-LN(2)/25))/(LN(2)/25)*Calculateur!AQ200*Calculateur!AS200*VLOOKUP('Données projet'!$B$10,Paramètres!$A$1:$I$89,3,0)*0.475*44/12</f>
        <v>0.17609200212616516</v>
      </c>
      <c r="AW200" s="23">
        <f>EXP(-LN(2)/2)*AW199+(1-EXP(-LN(2)/2))/(LN(2)/2)*AQ200*AT200*VLOOKUP('Données projet'!$B$10,Paramètres!$A$1:$I$89,3,0)*0.475*44/12</f>
        <v>4.4188617459342756E-25</v>
      </c>
      <c r="AX200" s="23">
        <f t="shared" si="166"/>
        <v>0.6964412620232201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-5.1159076974727213E-13</v>
      </c>
      <c r="BE200" s="14">
        <f>BD200*VLOOKUP('Données projet'!$B$11,Paramètres!$A$1:$I$89,3,0)*VLOOKUP('Données projet'!$B$11,Paramètres!$A$1:$I$89,5,0)</f>
        <v>-5.3471467253984886E-13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373.7520752235389</v>
      </c>
      <c r="BJ200" s="60">
        <f t="shared" si="206"/>
        <v>205.19966474305761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-6.2527760746888816E-13</v>
      </c>
      <c r="BZ200" s="14">
        <f>BY200*VLOOKUP('Données projet'!$B$12,Paramètres!$A$1:$I$89,3,0)*VLOOKUP('Données projet'!$B$12,Paramètres!$A$1:$I$89,5,0)</f>
        <v>-2.9262992029543964E-13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141.31558705818316</v>
      </c>
      <c r="CE200" s="60">
        <f t="shared" si="207"/>
        <v>67.142010893211364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-9.6633812063373625E-13</v>
      </c>
      <c r="CU200" s="18">
        <f>CT200*VLOOKUP('Données projet'!$B$13,Paramètres!$A$1:$I$89,3,0)*VLOOKUP('Données projet'!$B$13,Paramètres!$A$1:$I$89,5,0)</f>
        <v>-8.4419298218563211E-13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281.8501448773884</v>
      </c>
      <c r="CZ200" s="60">
        <f t="shared" si="208"/>
        <v>161.7340631691518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-9.6633812063373625E-13</v>
      </c>
      <c r="DP200" s="18">
        <f>DO200*VLOOKUP('Données projet'!$B$14,Paramètres!$A$1:$I$89,3,0)*VLOOKUP('Données projet'!$B$14,Paramètres!$A$1:$I$89,5,0)</f>
        <v>-8.7434273154940449E-13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295.19398489974265</v>
      </c>
      <c r="DU200" s="60">
        <f t="shared" si="209"/>
        <v>168.80998104712489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4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-9.7986685432260874E-13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341.82426415364569</v>
      </c>
      <c r="T201" s="60">
        <f t="shared" si="204"/>
        <v>193.53376539568887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-2.8421709430404007E-13</v>
      </c>
      <c r="AJ201" s="14">
        <f>AI201*VLOOKUP('Données projet'!$B$10,Paramètres!$A$1:$I$89,3,0)*VLOOKUP('Données projet'!$B$10,Paramètres!$A$1:$I$89,5,0)</f>
        <v>-1.69961822393816E-13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189.8516574130017</v>
      </c>
      <c r="AO201" s="60">
        <f t="shared" si="205"/>
        <v>191.91100863555891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0.5101455282921834</v>
      </c>
      <c r="AV201" s="23">
        <f>EXP(-LN(2)/25)*AV200+(1-EXP(-LN(2)/25))/(LN(2)/25)*Calculateur!AQ201*Calculateur!AS201*VLOOKUP('Données projet'!$B$10,Paramètres!$A$1:$I$89,3,0)*0.475*44/12</f>
        <v>0.17127675706774925</v>
      </c>
      <c r="AW201" s="23">
        <f>EXP(-LN(2)/2)*AW200+(1-EXP(-LN(2)/2))/(LN(2)/2)*AQ201*AT201*VLOOKUP('Données projet'!$B$10,Paramètres!$A$1:$I$89,3,0)*0.475*44/12</f>
        <v>3.1246071056759532E-25</v>
      </c>
      <c r="AX201" s="23">
        <f t="shared" si="166"/>
        <v>0.68142228535993266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-5.1159076974727213E-13</v>
      </c>
      <c r="BE201" s="14">
        <f>BD201*VLOOKUP('Données projet'!$B$11,Paramètres!$A$1:$I$89,3,0)*VLOOKUP('Données projet'!$B$11,Paramètres!$A$1:$I$89,5,0)</f>
        <v>-5.3471467253984886E-13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373.7520752235389</v>
      </c>
      <c r="BJ201" s="60">
        <f t="shared" si="206"/>
        <v>205.19966474305761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-6.2527760746888816E-13</v>
      </c>
      <c r="BZ201" s="14">
        <f>BY201*VLOOKUP('Données projet'!$B$12,Paramètres!$A$1:$I$89,3,0)*VLOOKUP('Données projet'!$B$12,Paramètres!$A$1:$I$89,5,0)</f>
        <v>-2.9262992029543964E-13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141.31558705818316</v>
      </c>
      <c r="CE201" s="60">
        <f t="shared" si="207"/>
        <v>67.142010893211364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-9.6633812063373625E-13</v>
      </c>
      <c r="CU201" s="18">
        <f>CT201*VLOOKUP('Données projet'!$B$13,Paramètres!$A$1:$I$89,3,0)*VLOOKUP('Données projet'!$B$13,Paramètres!$A$1:$I$89,5,0)</f>
        <v>-8.4419298218563211E-13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281.8501448773884</v>
      </c>
      <c r="CZ201" s="60">
        <f t="shared" si="208"/>
        <v>161.7340631691518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-9.6633812063373625E-13</v>
      </c>
      <c r="DP201" s="18">
        <f>DO201*VLOOKUP('Données projet'!$B$14,Paramètres!$A$1:$I$89,3,0)*VLOOKUP('Données projet'!$B$14,Paramètres!$A$1:$I$89,5,0)</f>
        <v>-8.7434273154940449E-13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295.19398489974265</v>
      </c>
      <c r="DU201" s="60">
        <f t="shared" si="209"/>
        <v>168.80998104712489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4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-9.7986685432260874E-13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341.82426415364569</v>
      </c>
      <c r="T202" s="60">
        <f t="shared" si="204"/>
        <v>193.53376539568887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-2.8421709430404007E-13</v>
      </c>
      <c r="AJ202" s="14">
        <f>AI202*VLOOKUP('Données projet'!$B$10,Paramètres!$A$1:$I$89,3,0)*VLOOKUP('Données projet'!$B$10,Paramètres!$A$1:$I$89,5,0)</f>
        <v>-1.69961822393816E-13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189.8516574130017</v>
      </c>
      <c r="AO202" s="60">
        <f t="shared" si="205"/>
        <v>191.91100863555891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0.50014188564042161</v>
      </c>
      <c r="AV202" s="23">
        <f>EXP(-LN(2)/25)*AV201+(1-EXP(-LN(2)/25))/(LN(2)/25)*Calculateur!AQ202*Calculateur!AS202*VLOOKUP('Données projet'!$B$10,Paramètres!$A$1:$I$89,3,0)*0.475*44/12</f>
        <v>0.16659318513867846</v>
      </c>
      <c r="AW202" s="23">
        <f>EXP(-LN(2)/2)*AW201+(1-EXP(-LN(2)/2))/(LN(2)/2)*AQ202*AT202*VLOOKUP('Données projet'!$B$10,Paramètres!$A$1:$I$89,3,0)*0.475*44/12</f>
        <v>2.2094308729671378E-25</v>
      </c>
      <c r="AX202" s="23">
        <f t="shared" si="166"/>
        <v>0.6667350707791001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-5.1159076974727213E-13</v>
      </c>
      <c r="BE202" s="14">
        <f>BD202*VLOOKUP('Données projet'!$B$11,Paramètres!$A$1:$I$89,3,0)*VLOOKUP('Données projet'!$B$11,Paramètres!$A$1:$I$89,5,0)</f>
        <v>-5.3471467253984886E-13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373.7520752235389</v>
      </c>
      <c r="BJ202" s="60">
        <f t="shared" si="206"/>
        <v>205.19966474305761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-6.2527760746888816E-13</v>
      </c>
      <c r="BZ202" s="14">
        <f>BY202*VLOOKUP('Données projet'!$B$12,Paramètres!$A$1:$I$89,3,0)*VLOOKUP('Données projet'!$B$12,Paramètres!$A$1:$I$89,5,0)</f>
        <v>-2.9262992029543964E-13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141.31558705818316</v>
      </c>
      <c r="CE202" s="60">
        <f t="shared" si="207"/>
        <v>67.142010893211364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-9.6633812063373625E-13</v>
      </c>
      <c r="CU202" s="18">
        <f>CT202*VLOOKUP('Données projet'!$B$13,Paramètres!$A$1:$I$89,3,0)*VLOOKUP('Données projet'!$B$13,Paramètres!$A$1:$I$89,5,0)</f>
        <v>-8.4419298218563211E-13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281.8501448773884</v>
      </c>
      <c r="CZ202" s="60">
        <f t="shared" si="208"/>
        <v>161.7340631691518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-9.6633812063373625E-13</v>
      </c>
      <c r="DP202" s="18">
        <f>DO202*VLOOKUP('Données projet'!$B$14,Paramètres!$A$1:$I$89,3,0)*VLOOKUP('Données projet'!$B$14,Paramètres!$A$1:$I$89,5,0)</f>
        <v>-8.7434273154940449E-13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295.19398489974265</v>
      </c>
      <c r="DU202" s="60">
        <f t="shared" si="209"/>
        <v>168.80998104712489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4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-9.7986685432260874E-13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341.82426415364569</v>
      </c>
      <c r="T203" s="60">
        <f t="shared" si="204"/>
        <v>193.53376539568887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-2.8421709430404007E-13</v>
      </c>
      <c r="AJ203" s="14">
        <f>AI203*VLOOKUP('Données projet'!$B$10,Paramètres!$A$1:$I$89,3,0)*VLOOKUP('Données projet'!$B$10,Paramètres!$A$1:$I$89,5,0)</f>
        <v>-1.69961822393816E-13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189.8516574130017</v>
      </c>
      <c r="AO203" s="60">
        <f t="shared" si="205"/>
        <v>191.91100863555891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0.49033440831944136</v>
      </c>
      <c r="AV203" s="23">
        <f>EXP(-LN(2)/25)*AV202+(1-EXP(-LN(2)/25))/(LN(2)/25)*Calculateur!AQ203*Calculateur!AS203*VLOOKUP('Données projet'!$B$10,Paramètres!$A$1:$I$89,3,0)*0.475*44/12</f>
        <v>0.16203768573030644</v>
      </c>
      <c r="AW203" s="23">
        <f>EXP(-LN(2)/2)*AW202+(1-EXP(-LN(2)/2))/(LN(2)/2)*AQ203*AT203*VLOOKUP('Données projet'!$B$10,Paramètres!$A$1:$I$89,3,0)*0.475*44/12</f>
        <v>1.5623035528379766E-25</v>
      </c>
      <c r="AX203" s="23">
        <f t="shared" si="166"/>
        <v>0.65237209404974783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-5.1159076974727213E-13</v>
      </c>
      <c r="BE203" s="14">
        <f>BD203*VLOOKUP('Données projet'!$B$11,Paramètres!$A$1:$I$89,3,0)*VLOOKUP('Données projet'!$B$11,Paramètres!$A$1:$I$89,5,0)</f>
        <v>-5.3471467253984886E-13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373.7520752235389</v>
      </c>
      <c r="BJ203" s="60">
        <f t="shared" si="206"/>
        <v>205.19966474305761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-6.2527760746888816E-13</v>
      </c>
      <c r="BZ203" s="14">
        <f>BY203*VLOOKUP('Données projet'!$B$12,Paramètres!$A$1:$I$89,3,0)*VLOOKUP('Données projet'!$B$12,Paramètres!$A$1:$I$89,5,0)</f>
        <v>-2.9262992029543964E-13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141.31558705818316</v>
      </c>
      <c r="CE203" s="60">
        <f t="shared" si="207"/>
        <v>67.142010893211364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-9.6633812063373625E-13</v>
      </c>
      <c r="CU203" s="18">
        <f>CT203*VLOOKUP('Données projet'!$B$13,Paramètres!$A$1:$I$89,3,0)*VLOOKUP('Données projet'!$B$13,Paramètres!$A$1:$I$89,5,0)</f>
        <v>-8.4419298218563211E-13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281.8501448773884</v>
      </c>
      <c r="CZ203" s="60">
        <f t="shared" si="208"/>
        <v>161.7340631691518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-9.6633812063373625E-13</v>
      </c>
      <c r="DP203" s="18">
        <f>DO203*VLOOKUP('Données projet'!$B$14,Paramètres!$A$1:$I$89,3,0)*VLOOKUP('Données projet'!$B$14,Paramètres!$A$1:$I$89,5,0)</f>
        <v>-8.7434273154940449E-13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295.19398489974265</v>
      </c>
      <c r="DU203" s="60">
        <f t="shared" si="209"/>
        <v>168.80998104712489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5" thickBot="1" x14ac:dyDescent="0.35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1.2054868146447177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1.3292852468636394</v>
      </c>
      <c r="BA205" s="85">
        <f>EXP(LN('Données projet'!B88)/'Données projet'!A88)</f>
        <v>1.2548684989282006</v>
      </c>
      <c r="BV205" s="85">
        <f>EXP(LN('Données projet'!B114)/'Données projet'!A114)</f>
        <v>1.167092777711815</v>
      </c>
      <c r="CQ205" s="85">
        <f>EXP(LN('Données projet'!B140)/'Données projet'!A140)</f>
        <v>1.2054868146447177</v>
      </c>
      <c r="DL205" s="85">
        <f>EXP(LN('Données projet'!B166)/'Données projet'!A166)</f>
        <v>1.2054868146447177</v>
      </c>
      <c r="EG205" s="85" t="e">
        <f>EXP(LN('Données projet'!B192)/'Données projet'!A192)</f>
        <v>#NUM!</v>
      </c>
      <c r="FB205" s="85" t="e">
        <f>EXP(LN('Données projet'!B218)/'Données projet'!A218)</f>
        <v>#NUM!</v>
      </c>
      <c r="FW205" s="85" t="e">
        <f>EXP(LN('Données projet'!B244)/'Données projet'!A244)</f>
        <v>#NUM!</v>
      </c>
      <c r="GR205" s="85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6" t="s">
        <v>0</v>
      </c>
      <c r="B1" s="117" t="s">
        <v>106</v>
      </c>
      <c r="C1" s="118" t="s">
        <v>144</v>
      </c>
      <c r="D1" s="117" t="s">
        <v>100</v>
      </c>
      <c r="E1" s="118" t="s">
        <v>145</v>
      </c>
      <c r="F1" s="118" t="s">
        <v>100</v>
      </c>
      <c r="G1" s="118" t="s">
        <v>146</v>
      </c>
      <c r="H1" s="118" t="s">
        <v>100</v>
      </c>
      <c r="I1" s="119" t="s">
        <v>147</v>
      </c>
      <c r="J1" s="96"/>
      <c r="K1" s="96"/>
      <c r="L1" s="96"/>
      <c r="M1" s="96"/>
      <c r="N1" s="96"/>
    </row>
    <row r="2" spans="1:16" x14ac:dyDescent="0.3">
      <c r="A2" s="120" t="s">
        <v>1</v>
      </c>
      <c r="B2" s="121" t="s">
        <v>53</v>
      </c>
      <c r="C2" s="122">
        <v>0.62</v>
      </c>
      <c r="D2" s="122" t="s">
        <v>161</v>
      </c>
      <c r="E2" s="122">
        <v>1.56</v>
      </c>
      <c r="F2" s="122" t="s">
        <v>274</v>
      </c>
      <c r="G2" s="123">
        <v>0.43</v>
      </c>
      <c r="H2" s="124" t="s">
        <v>278</v>
      </c>
      <c r="I2" s="125">
        <v>0.25</v>
      </c>
      <c r="J2" s="96"/>
      <c r="K2" s="96"/>
      <c r="L2" s="96"/>
      <c r="M2" s="96"/>
      <c r="N2" s="96"/>
      <c r="O2" s="313" t="s">
        <v>238</v>
      </c>
      <c r="P2" s="126">
        <v>0</v>
      </c>
    </row>
    <row r="3" spans="1:16" ht="15" thickBot="1" x14ac:dyDescent="0.35">
      <c r="A3" s="127" t="s">
        <v>2</v>
      </c>
      <c r="B3" s="128" t="s">
        <v>54</v>
      </c>
      <c r="C3" s="129">
        <v>0.64</v>
      </c>
      <c r="D3" s="129" t="s">
        <v>161</v>
      </c>
      <c r="E3" s="129">
        <v>1.56</v>
      </c>
      <c r="F3" s="130" t="s">
        <v>274</v>
      </c>
      <c r="G3" s="131">
        <v>0.43</v>
      </c>
      <c r="H3" s="129" t="s">
        <v>278</v>
      </c>
      <c r="I3" s="132">
        <v>0.25</v>
      </c>
      <c r="J3" s="96"/>
      <c r="K3" s="96"/>
      <c r="L3" s="96"/>
      <c r="M3" s="96"/>
      <c r="N3" s="96"/>
      <c r="O3" s="314"/>
      <c r="P3" s="133">
        <v>0.2</v>
      </c>
    </row>
    <row r="4" spans="1:16" ht="15" thickBot="1" x14ac:dyDescent="0.35">
      <c r="A4" s="127" t="s">
        <v>98</v>
      </c>
      <c r="B4" s="128" t="s">
        <v>99</v>
      </c>
      <c r="C4" s="129">
        <v>0.42</v>
      </c>
      <c r="D4" s="129" t="s">
        <v>161</v>
      </c>
      <c r="E4" s="129">
        <v>1.56</v>
      </c>
      <c r="F4" s="130" t="s">
        <v>274</v>
      </c>
      <c r="G4" s="131">
        <v>0.43</v>
      </c>
      <c r="H4" s="129" t="s">
        <v>278</v>
      </c>
      <c r="I4" s="132">
        <v>0.25</v>
      </c>
      <c r="J4" s="96"/>
      <c r="K4" s="96"/>
      <c r="L4" s="96"/>
      <c r="M4" s="96"/>
      <c r="N4" s="96"/>
    </row>
    <row r="5" spans="1:16" x14ac:dyDescent="0.3">
      <c r="A5" s="127" t="s">
        <v>4</v>
      </c>
      <c r="B5" s="128" t="s">
        <v>55</v>
      </c>
      <c r="C5" s="129">
        <v>0.42</v>
      </c>
      <c r="D5" s="129" t="s">
        <v>161</v>
      </c>
      <c r="E5" s="129">
        <v>1.56</v>
      </c>
      <c r="F5" s="130" t="s">
        <v>274</v>
      </c>
      <c r="G5" s="131">
        <v>0.43</v>
      </c>
      <c r="H5" s="129" t="s">
        <v>278</v>
      </c>
      <c r="I5" s="132">
        <v>0.25</v>
      </c>
      <c r="J5" s="96"/>
      <c r="K5" s="96"/>
      <c r="L5" s="96"/>
      <c r="M5" s="96"/>
      <c r="N5" s="96"/>
      <c r="O5" s="313" t="s">
        <v>237</v>
      </c>
      <c r="P5" s="126">
        <v>0</v>
      </c>
    </row>
    <row r="6" spans="1:16" x14ac:dyDescent="0.3">
      <c r="A6" s="127" t="s">
        <v>3</v>
      </c>
      <c r="B6" s="128" t="s">
        <v>97</v>
      </c>
      <c r="C6" s="129">
        <v>0.42</v>
      </c>
      <c r="D6" s="129" t="s">
        <v>161</v>
      </c>
      <c r="E6" s="129">
        <v>1.56</v>
      </c>
      <c r="F6" s="130" t="s">
        <v>274</v>
      </c>
      <c r="G6" s="131">
        <v>0.43</v>
      </c>
      <c r="H6" s="129" t="s">
        <v>278</v>
      </c>
      <c r="I6" s="132">
        <v>0.25</v>
      </c>
      <c r="J6" s="96"/>
      <c r="K6" s="96"/>
      <c r="L6" s="96"/>
      <c r="M6" s="96"/>
      <c r="N6" s="96"/>
      <c r="O6" s="315"/>
      <c r="P6" s="134">
        <v>0.05</v>
      </c>
    </row>
    <row r="7" spans="1:16" x14ac:dyDescent="0.3">
      <c r="A7" s="127" t="s">
        <v>5</v>
      </c>
      <c r="B7" s="128" t="s">
        <v>56</v>
      </c>
      <c r="C7" s="129">
        <v>0.52</v>
      </c>
      <c r="D7" s="129" t="s">
        <v>161</v>
      </c>
      <c r="E7" s="129">
        <v>1.56</v>
      </c>
      <c r="F7" s="130" t="s">
        <v>274</v>
      </c>
      <c r="G7" s="131">
        <v>0.43</v>
      </c>
      <c r="H7" s="129" t="s">
        <v>278</v>
      </c>
      <c r="I7" s="132">
        <v>0.25</v>
      </c>
      <c r="J7" s="96"/>
      <c r="K7" s="96"/>
      <c r="L7" s="96"/>
      <c r="M7" s="96"/>
      <c r="N7" s="96"/>
      <c r="O7" s="315"/>
      <c r="P7" s="134">
        <v>0.1</v>
      </c>
    </row>
    <row r="8" spans="1:16" ht="15" thickBot="1" x14ac:dyDescent="0.35">
      <c r="A8" s="127" t="s">
        <v>164</v>
      </c>
      <c r="B8" s="128" t="s">
        <v>57</v>
      </c>
      <c r="C8" s="129">
        <v>0.36</v>
      </c>
      <c r="D8" s="129" t="s">
        <v>161</v>
      </c>
      <c r="E8" s="129">
        <v>1.3</v>
      </c>
      <c r="F8" s="130" t="s">
        <v>274</v>
      </c>
      <c r="G8" s="131">
        <v>0.55000000000000004</v>
      </c>
      <c r="H8" s="129" t="s">
        <v>153</v>
      </c>
      <c r="I8" s="132">
        <v>0.43</v>
      </c>
      <c r="J8" s="96"/>
      <c r="K8" s="96"/>
      <c r="L8" s="96"/>
      <c r="M8" s="96"/>
      <c r="N8" s="96"/>
      <c r="O8" s="314"/>
      <c r="P8" s="133">
        <v>0.15</v>
      </c>
    </row>
    <row r="9" spans="1:16" ht="15" thickBot="1" x14ac:dyDescent="0.35">
      <c r="A9" s="127" t="s">
        <v>6</v>
      </c>
      <c r="B9" s="128" t="s">
        <v>58</v>
      </c>
      <c r="C9" s="129">
        <v>0.61</v>
      </c>
      <c r="D9" s="129" t="s">
        <v>161</v>
      </c>
      <c r="E9" s="129">
        <v>1.56</v>
      </c>
      <c r="F9" s="130" t="s">
        <v>274</v>
      </c>
      <c r="G9" s="131">
        <v>0.43</v>
      </c>
      <c r="H9" s="129" t="s">
        <v>278</v>
      </c>
      <c r="I9" s="132">
        <v>0.25</v>
      </c>
      <c r="J9" s="96"/>
      <c r="K9" s="96"/>
      <c r="L9" s="96"/>
      <c r="M9" s="96"/>
      <c r="N9" s="96"/>
    </row>
    <row r="10" spans="1:16" x14ac:dyDescent="0.3">
      <c r="A10" s="127" t="s">
        <v>7</v>
      </c>
      <c r="B10" s="128" t="s">
        <v>59</v>
      </c>
      <c r="C10" s="129">
        <v>0.66</v>
      </c>
      <c r="D10" s="129" t="s">
        <v>161</v>
      </c>
      <c r="E10" s="129">
        <v>1.56</v>
      </c>
      <c r="F10" s="130" t="s">
        <v>274</v>
      </c>
      <c r="G10" s="131">
        <v>0.43</v>
      </c>
      <c r="H10" s="129" t="s">
        <v>278</v>
      </c>
      <c r="I10" s="132">
        <v>0.25</v>
      </c>
      <c r="J10" s="96"/>
      <c r="K10" s="96"/>
      <c r="L10" s="96"/>
      <c r="M10" s="96"/>
      <c r="N10" s="96"/>
      <c r="O10" s="313" t="s">
        <v>236</v>
      </c>
      <c r="P10" s="126">
        <v>0</v>
      </c>
    </row>
    <row r="11" spans="1:16" ht="15" thickBot="1" x14ac:dyDescent="0.35">
      <c r="A11" s="127" t="s">
        <v>8</v>
      </c>
      <c r="B11" s="128" t="s">
        <v>60</v>
      </c>
      <c r="C11" s="129">
        <v>0.47</v>
      </c>
      <c r="D11" s="129" t="s">
        <v>161</v>
      </c>
      <c r="E11" s="129">
        <v>1.56</v>
      </c>
      <c r="F11" s="130" t="s">
        <v>274</v>
      </c>
      <c r="G11" s="131">
        <v>0.43</v>
      </c>
      <c r="H11" s="129" t="s">
        <v>278</v>
      </c>
      <c r="I11" s="132">
        <v>0.25</v>
      </c>
      <c r="J11" s="96"/>
      <c r="K11" s="96"/>
      <c r="L11" s="96"/>
      <c r="M11" s="96"/>
      <c r="N11" s="96"/>
      <c r="O11" s="314"/>
      <c r="P11" s="133">
        <v>0.1</v>
      </c>
    </row>
    <row r="12" spans="1:16" x14ac:dyDescent="0.3">
      <c r="A12" s="127" t="s">
        <v>9</v>
      </c>
      <c r="B12" s="128" t="s">
        <v>61</v>
      </c>
      <c r="C12" s="129">
        <v>0.67</v>
      </c>
      <c r="D12" s="129" t="s">
        <v>161</v>
      </c>
      <c r="E12" s="129">
        <v>1.56</v>
      </c>
      <c r="F12" s="130" t="s">
        <v>274</v>
      </c>
      <c r="G12" s="131">
        <v>0.43</v>
      </c>
      <c r="H12" s="129" t="s">
        <v>152</v>
      </c>
      <c r="I12" s="132">
        <v>0.25</v>
      </c>
      <c r="J12" s="96"/>
      <c r="K12" s="96"/>
      <c r="L12" s="96"/>
      <c r="M12" s="96"/>
      <c r="N12" s="96"/>
    </row>
    <row r="13" spans="1:16" x14ac:dyDescent="0.3">
      <c r="A13" s="127" t="s">
        <v>10</v>
      </c>
      <c r="B13" s="128" t="s">
        <v>62</v>
      </c>
      <c r="C13" s="129">
        <v>0.7</v>
      </c>
      <c r="D13" s="129" t="s">
        <v>161</v>
      </c>
      <c r="E13" s="129">
        <v>1.56</v>
      </c>
      <c r="F13" s="130" t="s">
        <v>274</v>
      </c>
      <c r="G13" s="131">
        <v>0.43</v>
      </c>
      <c r="H13" s="129" t="s">
        <v>152</v>
      </c>
      <c r="I13" s="132">
        <v>0.25</v>
      </c>
      <c r="J13" s="96"/>
      <c r="K13" s="96"/>
      <c r="L13" s="96"/>
      <c r="M13" s="96"/>
      <c r="N13" s="96"/>
    </row>
    <row r="14" spans="1:16" x14ac:dyDescent="0.3">
      <c r="A14" s="127" t="s">
        <v>11</v>
      </c>
      <c r="B14" s="128" t="s">
        <v>63</v>
      </c>
      <c r="C14" s="129">
        <v>0.54</v>
      </c>
      <c r="D14" s="129" t="s">
        <v>161</v>
      </c>
      <c r="E14" s="129">
        <v>1.56</v>
      </c>
      <c r="F14" s="130" t="s">
        <v>274</v>
      </c>
      <c r="G14" s="131">
        <v>0.43</v>
      </c>
      <c r="H14" s="129" t="s">
        <v>152</v>
      </c>
      <c r="I14" s="132">
        <v>0.25</v>
      </c>
      <c r="J14" s="96"/>
      <c r="K14" s="96"/>
      <c r="L14" s="96"/>
      <c r="M14" s="96"/>
      <c r="N14" s="96"/>
    </row>
    <row r="15" spans="1:16" x14ac:dyDescent="0.3">
      <c r="A15" s="127" t="s">
        <v>12</v>
      </c>
      <c r="B15" s="128" t="s">
        <v>64</v>
      </c>
      <c r="C15" s="129">
        <v>0.65</v>
      </c>
      <c r="D15" s="129" t="s">
        <v>161</v>
      </c>
      <c r="E15" s="129">
        <v>1.56</v>
      </c>
      <c r="F15" s="130" t="s">
        <v>274</v>
      </c>
      <c r="G15" s="131">
        <v>0.43</v>
      </c>
      <c r="H15" s="129" t="s">
        <v>152</v>
      </c>
      <c r="I15" s="132">
        <v>0.25</v>
      </c>
      <c r="J15" s="96"/>
      <c r="K15" s="96"/>
      <c r="L15" s="96"/>
      <c r="M15" s="96"/>
      <c r="N15" s="96"/>
    </row>
    <row r="16" spans="1:16" x14ac:dyDescent="0.3">
      <c r="A16" s="127" t="s">
        <v>13</v>
      </c>
      <c r="B16" s="128" t="s">
        <v>65</v>
      </c>
      <c r="C16" s="129">
        <v>0.56000000000000005</v>
      </c>
      <c r="D16" s="129" t="s">
        <v>161</v>
      </c>
      <c r="E16" s="129">
        <v>1.56</v>
      </c>
      <c r="F16" s="130" t="s">
        <v>274</v>
      </c>
      <c r="G16" s="131">
        <v>0.43</v>
      </c>
      <c r="H16" s="129" t="s">
        <v>152</v>
      </c>
      <c r="I16" s="132">
        <v>0.25</v>
      </c>
      <c r="J16" s="96"/>
      <c r="K16" s="96"/>
      <c r="L16" s="96"/>
      <c r="M16" s="96"/>
      <c r="N16" s="96"/>
    </row>
    <row r="17" spans="1:14" x14ac:dyDescent="0.3">
      <c r="A17" s="127" t="s">
        <v>14</v>
      </c>
      <c r="B17" s="128" t="s">
        <v>66</v>
      </c>
      <c r="C17" s="129">
        <v>0.57999999999999996</v>
      </c>
      <c r="D17" s="129" t="s">
        <v>161</v>
      </c>
      <c r="E17" s="129">
        <v>1.56</v>
      </c>
      <c r="F17" s="130" t="s">
        <v>274</v>
      </c>
      <c r="G17" s="131">
        <v>0.43</v>
      </c>
      <c r="H17" s="129" t="s">
        <v>152</v>
      </c>
      <c r="I17" s="132">
        <v>0.25</v>
      </c>
      <c r="J17" s="96"/>
      <c r="K17" s="96"/>
      <c r="L17" s="96"/>
      <c r="M17" s="96"/>
      <c r="N17" s="96"/>
    </row>
    <row r="18" spans="1:14" x14ac:dyDescent="0.3">
      <c r="A18" s="127" t="s">
        <v>15</v>
      </c>
      <c r="B18" s="128" t="s">
        <v>67</v>
      </c>
      <c r="C18" s="129">
        <v>0.64</v>
      </c>
      <c r="D18" s="129" t="s">
        <v>161</v>
      </c>
      <c r="E18" s="129">
        <v>1.56</v>
      </c>
      <c r="F18" s="130" t="s">
        <v>274</v>
      </c>
      <c r="G18" s="131">
        <v>0.43</v>
      </c>
      <c r="H18" s="129" t="s">
        <v>152</v>
      </c>
      <c r="I18" s="132">
        <v>0.25</v>
      </c>
      <c r="J18" s="96"/>
      <c r="K18" s="96"/>
      <c r="L18" s="96"/>
      <c r="M18" s="96"/>
      <c r="N18" s="96"/>
    </row>
    <row r="19" spans="1:14" x14ac:dyDescent="0.3">
      <c r="A19" s="127" t="s">
        <v>16</v>
      </c>
      <c r="B19" s="128" t="s">
        <v>68</v>
      </c>
      <c r="C19" s="129">
        <v>0.73</v>
      </c>
      <c r="D19" s="129" t="s">
        <v>161</v>
      </c>
      <c r="E19" s="129">
        <v>1.56</v>
      </c>
      <c r="F19" s="130" t="s">
        <v>274</v>
      </c>
      <c r="G19" s="131">
        <v>0.43</v>
      </c>
      <c r="H19" s="129" t="s">
        <v>152</v>
      </c>
      <c r="I19" s="132">
        <v>0.25</v>
      </c>
      <c r="J19" s="96"/>
      <c r="K19" s="96"/>
      <c r="L19" s="96"/>
      <c r="M19" s="96"/>
      <c r="N19" s="96"/>
    </row>
    <row r="20" spans="1:14" x14ac:dyDescent="0.3">
      <c r="A20" s="127" t="s">
        <v>52</v>
      </c>
      <c r="B20" s="128" t="s">
        <v>69</v>
      </c>
      <c r="C20" s="129">
        <v>0.69</v>
      </c>
      <c r="D20" s="129" t="s">
        <v>131</v>
      </c>
      <c r="E20" s="129">
        <v>1.56</v>
      </c>
      <c r="F20" s="130" t="s">
        <v>274</v>
      </c>
      <c r="G20" s="131">
        <v>0.43</v>
      </c>
      <c r="H20" s="129" t="s">
        <v>282</v>
      </c>
      <c r="I20" s="132">
        <v>0.25</v>
      </c>
      <c r="J20" s="96"/>
      <c r="K20" s="96"/>
      <c r="L20" s="96"/>
      <c r="M20" s="96"/>
      <c r="N20" s="96"/>
    </row>
    <row r="21" spans="1:14" x14ac:dyDescent="0.3">
      <c r="A21" s="127" t="s">
        <v>154</v>
      </c>
      <c r="B21" s="128" t="s">
        <v>155</v>
      </c>
      <c r="C21" s="129">
        <v>0.36</v>
      </c>
      <c r="D21" s="129" t="s">
        <v>161</v>
      </c>
      <c r="E21" s="129">
        <v>1.3</v>
      </c>
      <c r="F21" s="130" t="s">
        <v>274</v>
      </c>
      <c r="G21" s="131">
        <v>0.55000000000000004</v>
      </c>
      <c r="H21" s="129" t="s">
        <v>153</v>
      </c>
      <c r="I21" s="132">
        <v>0.43</v>
      </c>
      <c r="J21" s="96"/>
      <c r="K21" s="96"/>
      <c r="L21" s="96"/>
      <c r="M21" s="96"/>
      <c r="N21" s="96"/>
    </row>
    <row r="22" spans="1:14" x14ac:dyDescent="0.3">
      <c r="A22" s="127" t="s">
        <v>17</v>
      </c>
      <c r="B22" s="128" t="s">
        <v>70</v>
      </c>
      <c r="C22" s="129">
        <v>0.4</v>
      </c>
      <c r="D22" s="129" t="s">
        <v>161</v>
      </c>
      <c r="E22" s="129">
        <v>1.3</v>
      </c>
      <c r="F22" s="130" t="s">
        <v>274</v>
      </c>
      <c r="G22" s="131">
        <v>0.55000000000000004</v>
      </c>
      <c r="H22" s="129" t="s">
        <v>153</v>
      </c>
      <c r="I22" s="132">
        <v>0.43</v>
      </c>
      <c r="J22" s="96"/>
      <c r="K22" s="96"/>
      <c r="L22" s="96"/>
      <c r="M22" s="96"/>
      <c r="N22" s="96"/>
    </row>
    <row r="23" spans="1:14" x14ac:dyDescent="0.3">
      <c r="A23" s="127" t="s">
        <v>18</v>
      </c>
      <c r="B23" s="128" t="s">
        <v>71</v>
      </c>
      <c r="C23" s="129">
        <v>0.43</v>
      </c>
      <c r="D23" s="129" t="s">
        <v>161</v>
      </c>
      <c r="E23" s="129">
        <v>1.3</v>
      </c>
      <c r="F23" s="130" t="s">
        <v>274</v>
      </c>
      <c r="G23" s="131">
        <v>0.55000000000000004</v>
      </c>
      <c r="H23" s="129" t="s">
        <v>153</v>
      </c>
      <c r="I23" s="132">
        <v>0.43</v>
      </c>
      <c r="J23" s="96"/>
      <c r="K23" s="96"/>
      <c r="L23" s="96"/>
      <c r="M23" s="96"/>
      <c r="N23" s="96"/>
    </row>
    <row r="24" spans="1:14" x14ac:dyDescent="0.3">
      <c r="A24" s="127" t="s">
        <v>19</v>
      </c>
      <c r="B24" s="128" t="s">
        <v>72</v>
      </c>
      <c r="C24" s="129">
        <v>0.37</v>
      </c>
      <c r="D24" s="129" t="s">
        <v>161</v>
      </c>
      <c r="E24" s="129">
        <v>1.3</v>
      </c>
      <c r="F24" s="130" t="s">
        <v>274</v>
      </c>
      <c r="G24" s="131">
        <v>0.55000000000000004</v>
      </c>
      <c r="H24" s="129" t="s">
        <v>152</v>
      </c>
      <c r="I24" s="132">
        <v>0.43</v>
      </c>
      <c r="J24" s="96"/>
      <c r="K24" s="96"/>
      <c r="L24" s="96"/>
      <c r="M24" s="96"/>
      <c r="N24" s="96"/>
    </row>
    <row r="25" spans="1:14" x14ac:dyDescent="0.3">
      <c r="A25" s="127" t="s">
        <v>20</v>
      </c>
      <c r="B25" s="128" t="s">
        <v>73</v>
      </c>
      <c r="C25" s="129">
        <v>0.36</v>
      </c>
      <c r="D25" s="129" t="s">
        <v>161</v>
      </c>
      <c r="E25" s="129">
        <v>1.3</v>
      </c>
      <c r="F25" s="130" t="s">
        <v>274</v>
      </c>
      <c r="G25" s="131">
        <v>0.55000000000000004</v>
      </c>
      <c r="H25" s="129" t="s">
        <v>152</v>
      </c>
      <c r="I25" s="132">
        <v>0.43</v>
      </c>
      <c r="J25" s="96"/>
      <c r="K25" s="96"/>
      <c r="L25" s="96"/>
      <c r="M25" s="96"/>
      <c r="N25" s="96"/>
    </row>
    <row r="26" spans="1:14" x14ac:dyDescent="0.3">
      <c r="A26" s="127" t="s">
        <v>21</v>
      </c>
      <c r="B26" s="128" t="s">
        <v>74</v>
      </c>
      <c r="C26" s="129">
        <v>0.56000000000000005</v>
      </c>
      <c r="D26" s="129" t="s">
        <v>161</v>
      </c>
      <c r="E26" s="129">
        <v>1.56</v>
      </c>
      <c r="F26" s="130" t="s">
        <v>274</v>
      </c>
      <c r="G26" s="131">
        <v>0.53</v>
      </c>
      <c r="H26" s="129" t="s">
        <v>275</v>
      </c>
      <c r="I26" s="132">
        <v>0.25</v>
      </c>
      <c r="J26" s="96"/>
      <c r="K26" s="96"/>
      <c r="L26" s="96"/>
      <c r="M26" s="96"/>
      <c r="N26" s="96"/>
    </row>
    <row r="27" spans="1:14" x14ac:dyDescent="0.3">
      <c r="A27" s="127" t="s">
        <v>22</v>
      </c>
      <c r="B27" s="128" t="s">
        <v>75</v>
      </c>
      <c r="C27" s="129">
        <v>0.51</v>
      </c>
      <c r="D27" s="129" t="s">
        <v>161</v>
      </c>
      <c r="E27" s="129">
        <v>1.56</v>
      </c>
      <c r="F27" s="130" t="s">
        <v>274</v>
      </c>
      <c r="G27" s="131">
        <v>0.53</v>
      </c>
      <c r="H27" s="129" t="s">
        <v>275</v>
      </c>
      <c r="I27" s="132">
        <v>0.25</v>
      </c>
      <c r="J27" s="96"/>
      <c r="K27" s="96"/>
      <c r="L27" s="96"/>
      <c r="M27" s="96"/>
      <c r="N27" s="96"/>
    </row>
    <row r="28" spans="1:14" x14ac:dyDescent="0.3">
      <c r="A28" s="127" t="s">
        <v>23</v>
      </c>
      <c r="B28" s="128" t="s">
        <v>76</v>
      </c>
      <c r="C28" s="129">
        <v>0.51</v>
      </c>
      <c r="D28" s="129" t="s">
        <v>161</v>
      </c>
      <c r="E28" s="129">
        <v>1.56</v>
      </c>
      <c r="F28" s="130" t="s">
        <v>274</v>
      </c>
      <c r="G28" s="131">
        <v>0.53</v>
      </c>
      <c r="H28" s="129" t="s">
        <v>275</v>
      </c>
      <c r="I28" s="132">
        <v>0.25</v>
      </c>
      <c r="J28" s="96"/>
      <c r="K28" s="96"/>
      <c r="L28" s="96"/>
      <c r="M28" s="96"/>
      <c r="N28" s="96"/>
    </row>
    <row r="29" spans="1:14" x14ac:dyDescent="0.3">
      <c r="A29" s="127" t="s">
        <v>24</v>
      </c>
      <c r="B29" s="128" t="s">
        <v>24</v>
      </c>
      <c r="C29" s="129">
        <v>0.56000000000000005</v>
      </c>
      <c r="D29" s="129" t="s">
        <v>161</v>
      </c>
      <c r="E29" s="129">
        <v>1.56</v>
      </c>
      <c r="F29" s="130" t="s">
        <v>274</v>
      </c>
      <c r="G29" s="131">
        <v>0.53</v>
      </c>
      <c r="H29" s="129" t="s">
        <v>275</v>
      </c>
      <c r="I29" s="132">
        <v>0.25</v>
      </c>
      <c r="J29" s="96"/>
      <c r="K29" s="96"/>
      <c r="L29" s="96"/>
      <c r="M29" s="96"/>
      <c r="N29" s="96"/>
    </row>
    <row r="30" spans="1:14" x14ac:dyDescent="0.3">
      <c r="A30" s="127" t="s">
        <v>25</v>
      </c>
      <c r="B30" s="128" t="s">
        <v>77</v>
      </c>
      <c r="C30" s="129">
        <v>0.55000000000000004</v>
      </c>
      <c r="D30" s="129" t="s">
        <v>161</v>
      </c>
      <c r="E30" s="129">
        <v>1.56</v>
      </c>
      <c r="F30" s="130" t="s">
        <v>274</v>
      </c>
      <c r="G30" s="131">
        <v>0.53</v>
      </c>
      <c r="H30" s="129" t="s">
        <v>152</v>
      </c>
      <c r="I30" s="132">
        <v>0.25</v>
      </c>
      <c r="J30" s="96"/>
      <c r="K30" s="96"/>
      <c r="L30" s="96"/>
      <c r="M30" s="96"/>
      <c r="N30" s="96"/>
    </row>
    <row r="31" spans="1:14" x14ac:dyDescent="0.3">
      <c r="A31" s="127" t="s">
        <v>26</v>
      </c>
      <c r="B31" s="128" t="s">
        <v>78</v>
      </c>
      <c r="C31" s="129">
        <v>0.56000000000000005</v>
      </c>
      <c r="D31" s="129" t="s">
        <v>161</v>
      </c>
      <c r="E31" s="129">
        <v>1.56</v>
      </c>
      <c r="F31" s="130" t="s">
        <v>274</v>
      </c>
      <c r="G31" s="131">
        <v>0.43</v>
      </c>
      <c r="H31" s="129" t="s">
        <v>278</v>
      </c>
      <c r="I31" s="132">
        <v>0.25</v>
      </c>
      <c r="J31" s="96"/>
      <c r="K31" s="96"/>
      <c r="L31" s="96"/>
      <c r="M31" s="96"/>
      <c r="N31" s="96"/>
    </row>
    <row r="32" spans="1:14" x14ac:dyDescent="0.3">
      <c r="A32" s="127" t="s">
        <v>27</v>
      </c>
      <c r="B32" s="128" t="s">
        <v>79</v>
      </c>
      <c r="C32" s="129">
        <v>0.48</v>
      </c>
      <c r="D32" s="129" t="s">
        <v>161</v>
      </c>
      <c r="E32" s="129">
        <v>1.3</v>
      </c>
      <c r="F32" s="130" t="s">
        <v>274</v>
      </c>
      <c r="G32" s="131">
        <v>0.6</v>
      </c>
      <c r="H32" s="129" t="s">
        <v>281</v>
      </c>
      <c r="I32" s="132">
        <v>0.43</v>
      </c>
      <c r="J32" s="96"/>
      <c r="K32" s="96"/>
      <c r="L32" s="96"/>
      <c r="M32" s="96"/>
      <c r="N32" s="96"/>
    </row>
    <row r="33" spans="1:14" x14ac:dyDescent="0.3">
      <c r="A33" s="127" t="s">
        <v>28</v>
      </c>
      <c r="B33" s="128" t="s">
        <v>80</v>
      </c>
      <c r="C33" s="129">
        <v>0.42</v>
      </c>
      <c r="D33" s="129" t="s">
        <v>161</v>
      </c>
      <c r="E33" s="129">
        <v>1.3</v>
      </c>
      <c r="F33" s="130" t="s">
        <v>274</v>
      </c>
      <c r="G33" s="131">
        <v>0.6</v>
      </c>
      <c r="H33" s="129" t="s">
        <v>281</v>
      </c>
      <c r="I33" s="132">
        <v>0.43</v>
      </c>
      <c r="J33" s="96"/>
      <c r="K33" s="96"/>
      <c r="L33" s="96"/>
      <c r="M33" s="96"/>
      <c r="N33" s="96"/>
    </row>
    <row r="34" spans="1:14" x14ac:dyDescent="0.3">
      <c r="A34" s="127" t="s">
        <v>81</v>
      </c>
      <c r="B34" s="128" t="s">
        <v>163</v>
      </c>
      <c r="C34" s="129">
        <v>0.42</v>
      </c>
      <c r="D34" s="129" t="s">
        <v>103</v>
      </c>
      <c r="E34" s="129">
        <v>1.3</v>
      </c>
      <c r="F34" s="130" t="s">
        <v>274</v>
      </c>
      <c r="G34" s="131">
        <v>0.6</v>
      </c>
      <c r="H34" s="128" t="s">
        <v>280</v>
      </c>
      <c r="I34" s="132">
        <v>0.43</v>
      </c>
      <c r="J34" s="96"/>
      <c r="K34" s="96"/>
      <c r="L34" s="96"/>
      <c r="M34" s="96"/>
      <c r="N34" s="96"/>
    </row>
    <row r="35" spans="1:14" x14ac:dyDescent="0.3">
      <c r="A35" s="127" t="s">
        <v>29</v>
      </c>
      <c r="B35" s="128" t="s">
        <v>82</v>
      </c>
      <c r="C35" s="129">
        <v>0.5</v>
      </c>
      <c r="D35" s="129" t="s">
        <v>161</v>
      </c>
      <c r="E35" s="129">
        <v>1.56</v>
      </c>
      <c r="F35" s="130" t="s">
        <v>274</v>
      </c>
      <c r="G35" s="131">
        <v>0.43</v>
      </c>
      <c r="H35" s="129" t="s">
        <v>278</v>
      </c>
      <c r="I35" s="132">
        <v>0.25</v>
      </c>
      <c r="J35" s="96"/>
      <c r="K35" s="96"/>
      <c r="L35" s="96"/>
      <c r="M35" s="96"/>
      <c r="N35" s="96"/>
    </row>
    <row r="36" spans="1:14" x14ac:dyDescent="0.3">
      <c r="A36" s="127" t="s">
        <v>102</v>
      </c>
      <c r="B36" s="128" t="s">
        <v>101</v>
      </c>
      <c r="C36" s="129">
        <v>0.55000000000000004</v>
      </c>
      <c r="D36" s="129" t="s">
        <v>161</v>
      </c>
      <c r="E36" s="129">
        <v>1.56</v>
      </c>
      <c r="F36" s="130" t="s">
        <v>274</v>
      </c>
      <c r="G36" s="131">
        <v>0.53</v>
      </c>
      <c r="H36" s="129" t="s">
        <v>275</v>
      </c>
      <c r="I36" s="132">
        <v>0.25</v>
      </c>
      <c r="J36" s="96"/>
      <c r="K36" s="96"/>
      <c r="L36" s="96"/>
      <c r="M36" s="96"/>
      <c r="N36" s="96"/>
    </row>
    <row r="37" spans="1:14" x14ac:dyDescent="0.3">
      <c r="A37" s="127" t="s">
        <v>30</v>
      </c>
      <c r="B37" s="128" t="s">
        <v>104</v>
      </c>
      <c r="C37" s="129">
        <v>0.52</v>
      </c>
      <c r="D37" s="129" t="s">
        <v>161</v>
      </c>
      <c r="E37" s="129">
        <v>1.56</v>
      </c>
      <c r="F37" s="130" t="s">
        <v>274</v>
      </c>
      <c r="G37" s="131">
        <v>0.53</v>
      </c>
      <c r="H37" s="129" t="s">
        <v>275</v>
      </c>
      <c r="I37" s="132">
        <v>0.25</v>
      </c>
      <c r="J37" s="96"/>
      <c r="K37" s="96"/>
      <c r="L37" s="96"/>
      <c r="M37" s="96"/>
      <c r="N37" s="96"/>
    </row>
    <row r="38" spans="1:14" x14ac:dyDescent="0.3">
      <c r="A38" s="127" t="s">
        <v>31</v>
      </c>
      <c r="B38" s="128" t="s">
        <v>105</v>
      </c>
      <c r="C38" s="129">
        <v>0.52</v>
      </c>
      <c r="D38" s="129" t="s">
        <v>161</v>
      </c>
      <c r="E38" s="129">
        <v>1.56</v>
      </c>
      <c r="F38" s="130" t="s">
        <v>274</v>
      </c>
      <c r="G38" s="131">
        <v>0.43</v>
      </c>
      <c r="H38" s="129" t="s">
        <v>278</v>
      </c>
      <c r="I38" s="132">
        <v>0.25</v>
      </c>
      <c r="J38" s="96"/>
      <c r="K38" s="96"/>
      <c r="L38" s="96"/>
      <c r="M38" s="96"/>
      <c r="N38" s="96"/>
    </row>
    <row r="39" spans="1:14" x14ac:dyDescent="0.3">
      <c r="A39" s="127" t="s">
        <v>107</v>
      </c>
      <c r="B39" s="128" t="s">
        <v>132</v>
      </c>
      <c r="C39" s="129">
        <v>0.313</v>
      </c>
      <c r="D39" s="129" t="s">
        <v>130</v>
      </c>
      <c r="E39" s="129">
        <v>1.56</v>
      </c>
      <c r="F39" s="130" t="s">
        <v>274</v>
      </c>
      <c r="G39" s="131">
        <v>0.6</v>
      </c>
      <c r="H39" s="129" t="s">
        <v>283</v>
      </c>
      <c r="I39" s="132">
        <v>1.03</v>
      </c>
      <c r="J39" s="96"/>
      <c r="K39" s="96"/>
      <c r="L39" s="96"/>
      <c r="M39" s="96"/>
      <c r="N39" s="96"/>
    </row>
    <row r="40" spans="1:14" x14ac:dyDescent="0.3">
      <c r="A40" s="127" t="s">
        <v>108</v>
      </c>
      <c r="B40" s="128" t="s">
        <v>132</v>
      </c>
      <c r="C40" s="129">
        <v>0.35199999999999998</v>
      </c>
      <c r="D40" s="129" t="s">
        <v>130</v>
      </c>
      <c r="E40" s="129">
        <v>1.56</v>
      </c>
      <c r="F40" s="130" t="s">
        <v>274</v>
      </c>
      <c r="G40" s="131">
        <v>0.6</v>
      </c>
      <c r="H40" s="129" t="s">
        <v>283</v>
      </c>
      <c r="I40" s="132">
        <v>1.03</v>
      </c>
      <c r="J40" s="96"/>
      <c r="K40" s="96"/>
      <c r="L40" s="96"/>
      <c r="M40" s="96"/>
      <c r="N40" s="96"/>
    </row>
    <row r="41" spans="1:14" x14ac:dyDescent="0.3">
      <c r="A41" s="127" t="s">
        <v>121</v>
      </c>
      <c r="B41" s="128" t="s">
        <v>132</v>
      </c>
      <c r="C41" s="129">
        <v>0.32200000000000001</v>
      </c>
      <c r="D41" s="129" t="s">
        <v>130</v>
      </c>
      <c r="E41" s="129">
        <v>1.56</v>
      </c>
      <c r="F41" s="130" t="s">
        <v>274</v>
      </c>
      <c r="G41" s="131">
        <v>0.6</v>
      </c>
      <c r="H41" s="129" t="s">
        <v>283</v>
      </c>
      <c r="I41" s="132">
        <v>1.03</v>
      </c>
      <c r="J41" s="96"/>
      <c r="K41" s="96"/>
      <c r="L41" s="96"/>
      <c r="M41" s="96"/>
      <c r="N41" s="96"/>
    </row>
    <row r="42" spans="1:14" x14ac:dyDescent="0.3">
      <c r="A42" s="127" t="s">
        <v>122</v>
      </c>
      <c r="B42" s="128" t="s">
        <v>132</v>
      </c>
      <c r="C42" s="129">
        <v>0.311</v>
      </c>
      <c r="D42" s="129" t="s">
        <v>130</v>
      </c>
      <c r="E42" s="129">
        <v>1.56</v>
      </c>
      <c r="F42" s="130" t="s">
        <v>274</v>
      </c>
      <c r="G42" s="131">
        <v>0.6</v>
      </c>
      <c r="H42" s="129" t="s">
        <v>283</v>
      </c>
      <c r="I42" s="132">
        <v>1.03</v>
      </c>
      <c r="J42" s="96"/>
      <c r="K42" s="96"/>
      <c r="L42" s="96"/>
      <c r="M42" s="96"/>
      <c r="N42" s="96"/>
    </row>
    <row r="43" spans="1:14" x14ac:dyDescent="0.3">
      <c r="A43" s="127" t="s">
        <v>109</v>
      </c>
      <c r="B43" s="128" t="s">
        <v>132</v>
      </c>
      <c r="C43" s="129">
        <v>0.33900000000000002</v>
      </c>
      <c r="D43" s="129" t="s">
        <v>130</v>
      </c>
      <c r="E43" s="129">
        <v>1.56</v>
      </c>
      <c r="F43" s="130" t="s">
        <v>274</v>
      </c>
      <c r="G43" s="131">
        <v>0.6</v>
      </c>
      <c r="H43" s="129" t="s">
        <v>283</v>
      </c>
      <c r="I43" s="132">
        <v>1.03</v>
      </c>
      <c r="J43" s="96"/>
      <c r="K43" s="96"/>
      <c r="L43" s="96"/>
      <c r="M43" s="96"/>
      <c r="N43" s="96"/>
    </row>
    <row r="44" spans="1:14" x14ac:dyDescent="0.3">
      <c r="A44" s="127" t="s">
        <v>123</v>
      </c>
      <c r="B44" s="128" t="s">
        <v>132</v>
      </c>
      <c r="C44" s="129">
        <v>0.33600000000000002</v>
      </c>
      <c r="D44" s="129" t="s">
        <v>130</v>
      </c>
      <c r="E44" s="129">
        <v>1.56</v>
      </c>
      <c r="F44" s="130" t="s">
        <v>274</v>
      </c>
      <c r="G44" s="131">
        <v>0.6</v>
      </c>
      <c r="H44" s="129" t="s">
        <v>283</v>
      </c>
      <c r="I44" s="132">
        <v>1.03</v>
      </c>
      <c r="J44" s="96"/>
      <c r="K44" s="96"/>
      <c r="L44" s="96"/>
      <c r="M44" s="96"/>
      <c r="N44" s="96"/>
    </row>
    <row r="45" spans="1:14" x14ac:dyDescent="0.3">
      <c r="A45" s="127" t="s">
        <v>110</v>
      </c>
      <c r="B45" s="128" t="s">
        <v>132</v>
      </c>
      <c r="C45" s="129">
        <v>0.32900000000000001</v>
      </c>
      <c r="D45" s="129" t="s">
        <v>130</v>
      </c>
      <c r="E45" s="129">
        <v>1.56</v>
      </c>
      <c r="F45" s="130" t="s">
        <v>274</v>
      </c>
      <c r="G45" s="131">
        <v>0.6</v>
      </c>
      <c r="H45" s="129" t="s">
        <v>283</v>
      </c>
      <c r="I45" s="132">
        <v>1.03</v>
      </c>
      <c r="J45" s="96"/>
      <c r="K45" s="96"/>
      <c r="L45" s="96"/>
      <c r="M45" s="96"/>
      <c r="N45" s="96"/>
    </row>
    <row r="46" spans="1:14" x14ac:dyDescent="0.3">
      <c r="A46" s="127" t="s">
        <v>124</v>
      </c>
      <c r="B46" s="128" t="s">
        <v>132</v>
      </c>
      <c r="C46" s="129">
        <v>0.34300000000000003</v>
      </c>
      <c r="D46" s="129" t="s">
        <v>130</v>
      </c>
      <c r="E46" s="129">
        <v>1.56</v>
      </c>
      <c r="F46" s="130" t="s">
        <v>274</v>
      </c>
      <c r="G46" s="131">
        <v>0.6</v>
      </c>
      <c r="H46" s="129" t="s">
        <v>283</v>
      </c>
      <c r="I46" s="132">
        <v>1.03</v>
      </c>
      <c r="J46" s="96"/>
      <c r="K46" s="96"/>
      <c r="L46" s="96"/>
      <c r="M46" s="96"/>
      <c r="N46" s="96"/>
    </row>
    <row r="47" spans="1:14" x14ac:dyDescent="0.3">
      <c r="A47" s="127" t="s">
        <v>125</v>
      </c>
      <c r="B47" s="128" t="s">
        <v>132</v>
      </c>
      <c r="C47" s="129">
        <v>0.32500000000000001</v>
      </c>
      <c r="D47" s="129" t="s">
        <v>130</v>
      </c>
      <c r="E47" s="129">
        <v>1.56</v>
      </c>
      <c r="F47" s="130" t="s">
        <v>274</v>
      </c>
      <c r="G47" s="131">
        <v>0.6</v>
      </c>
      <c r="H47" s="129" t="s">
        <v>283</v>
      </c>
      <c r="I47" s="132">
        <v>1.03</v>
      </c>
      <c r="J47" s="96"/>
      <c r="K47" s="96"/>
      <c r="L47" s="96"/>
      <c r="M47" s="96"/>
      <c r="N47" s="96"/>
    </row>
    <row r="48" spans="1:14" x14ac:dyDescent="0.3">
      <c r="A48" s="127" t="s">
        <v>126</v>
      </c>
      <c r="B48" s="128" t="s">
        <v>132</v>
      </c>
      <c r="C48" s="129">
        <v>0.32</v>
      </c>
      <c r="D48" s="129" t="s">
        <v>130</v>
      </c>
      <c r="E48" s="129">
        <v>1.56</v>
      </c>
      <c r="F48" s="130" t="s">
        <v>274</v>
      </c>
      <c r="G48" s="131">
        <v>0.6</v>
      </c>
      <c r="H48" s="129" t="s">
        <v>283</v>
      </c>
      <c r="I48" s="132">
        <v>1.03</v>
      </c>
      <c r="J48" s="96"/>
      <c r="K48" s="96"/>
      <c r="L48" s="96"/>
      <c r="M48" s="96"/>
      <c r="N48" s="96"/>
    </row>
    <row r="49" spans="1:14" x14ac:dyDescent="0.3">
      <c r="A49" s="127" t="s">
        <v>111</v>
      </c>
      <c r="B49" s="128" t="s">
        <v>132</v>
      </c>
      <c r="C49" s="129">
        <v>0.28199999999999997</v>
      </c>
      <c r="D49" s="129" t="s">
        <v>130</v>
      </c>
      <c r="E49" s="129">
        <v>1.56</v>
      </c>
      <c r="F49" s="130" t="s">
        <v>274</v>
      </c>
      <c r="G49" s="131">
        <v>0.6</v>
      </c>
      <c r="H49" s="129" t="s">
        <v>283</v>
      </c>
      <c r="I49" s="132">
        <v>1.03</v>
      </c>
      <c r="J49" s="96"/>
      <c r="K49" s="96"/>
      <c r="L49" s="96"/>
      <c r="M49" s="96"/>
      <c r="N49" s="96"/>
    </row>
    <row r="50" spans="1:14" x14ac:dyDescent="0.3">
      <c r="A50" s="127" t="s">
        <v>127</v>
      </c>
      <c r="B50" s="128" t="s">
        <v>132</v>
      </c>
      <c r="C50" s="129">
        <v>0.32800000000000001</v>
      </c>
      <c r="D50" s="129" t="s">
        <v>130</v>
      </c>
      <c r="E50" s="129">
        <v>1.56</v>
      </c>
      <c r="F50" s="130" t="s">
        <v>274</v>
      </c>
      <c r="G50" s="131">
        <v>0.6</v>
      </c>
      <c r="H50" s="129" t="s">
        <v>283</v>
      </c>
      <c r="I50" s="132">
        <v>1.03</v>
      </c>
      <c r="J50" s="96"/>
      <c r="K50" s="96"/>
      <c r="L50" s="96"/>
      <c r="M50" s="96"/>
      <c r="N50" s="96"/>
    </row>
    <row r="51" spans="1:14" x14ac:dyDescent="0.3">
      <c r="A51" s="127" t="s">
        <v>112</v>
      </c>
      <c r="B51" s="128" t="s">
        <v>132</v>
      </c>
      <c r="C51" s="129">
        <v>0.32600000000000001</v>
      </c>
      <c r="D51" s="129" t="s">
        <v>130</v>
      </c>
      <c r="E51" s="129">
        <v>1.56</v>
      </c>
      <c r="F51" s="130" t="s">
        <v>274</v>
      </c>
      <c r="G51" s="131">
        <v>0.6</v>
      </c>
      <c r="H51" s="129" t="s">
        <v>283</v>
      </c>
      <c r="I51" s="132">
        <v>1.03</v>
      </c>
      <c r="J51" s="96"/>
      <c r="K51" s="96"/>
      <c r="L51" s="96"/>
      <c r="M51" s="96"/>
      <c r="N51" s="96"/>
    </row>
    <row r="52" spans="1:14" x14ac:dyDescent="0.3">
      <c r="A52" s="127" t="s">
        <v>113</v>
      </c>
      <c r="B52" s="128" t="s">
        <v>132</v>
      </c>
      <c r="C52" s="129">
        <v>0.35899999999999999</v>
      </c>
      <c r="D52" s="129" t="s">
        <v>130</v>
      </c>
      <c r="E52" s="129">
        <v>1.56</v>
      </c>
      <c r="F52" s="130" t="s">
        <v>274</v>
      </c>
      <c r="G52" s="131">
        <v>0.6</v>
      </c>
      <c r="H52" s="129" t="s">
        <v>283</v>
      </c>
      <c r="I52" s="132">
        <v>1.03</v>
      </c>
      <c r="J52" s="96"/>
      <c r="K52" s="96"/>
      <c r="L52" s="96"/>
      <c r="M52" s="96"/>
      <c r="N52" s="96"/>
    </row>
    <row r="53" spans="1:14" x14ac:dyDescent="0.3">
      <c r="A53" s="127" t="s">
        <v>114</v>
      </c>
      <c r="B53" s="128" t="s">
        <v>132</v>
      </c>
      <c r="C53" s="129">
        <v>0.34599999999999997</v>
      </c>
      <c r="D53" s="129" t="s">
        <v>130</v>
      </c>
      <c r="E53" s="129">
        <v>1.56</v>
      </c>
      <c r="F53" s="130" t="s">
        <v>274</v>
      </c>
      <c r="G53" s="131">
        <v>0.6</v>
      </c>
      <c r="H53" s="129" t="s">
        <v>283</v>
      </c>
      <c r="I53" s="132">
        <v>1.03</v>
      </c>
      <c r="J53" s="96"/>
      <c r="K53" s="96"/>
      <c r="L53" s="96"/>
      <c r="M53" s="96"/>
      <c r="N53" s="96"/>
    </row>
    <row r="54" spans="1:14" x14ac:dyDescent="0.3">
      <c r="A54" s="127" t="s">
        <v>115</v>
      </c>
      <c r="B54" s="128" t="s">
        <v>132</v>
      </c>
      <c r="C54" s="129">
        <v>0.32600000000000001</v>
      </c>
      <c r="D54" s="129" t="s">
        <v>130</v>
      </c>
      <c r="E54" s="129">
        <v>1.56</v>
      </c>
      <c r="F54" s="130" t="s">
        <v>274</v>
      </c>
      <c r="G54" s="131">
        <v>0.6</v>
      </c>
      <c r="H54" s="129" t="s">
        <v>283</v>
      </c>
      <c r="I54" s="132">
        <v>1.03</v>
      </c>
      <c r="J54" s="96"/>
      <c r="K54" s="96"/>
      <c r="L54" s="96"/>
      <c r="M54" s="96"/>
      <c r="N54" s="96"/>
    </row>
    <row r="55" spans="1:14" x14ac:dyDescent="0.3">
      <c r="A55" s="127" t="s">
        <v>116</v>
      </c>
      <c r="B55" s="128" t="s">
        <v>132</v>
      </c>
      <c r="C55" s="129">
        <v>0.30499999999999999</v>
      </c>
      <c r="D55" s="129" t="s">
        <v>130</v>
      </c>
      <c r="E55" s="129">
        <v>1.56</v>
      </c>
      <c r="F55" s="130" t="s">
        <v>274</v>
      </c>
      <c r="G55" s="131">
        <v>0.6</v>
      </c>
      <c r="H55" s="129" t="s">
        <v>283</v>
      </c>
      <c r="I55" s="132">
        <v>1.03</v>
      </c>
      <c r="J55" s="96"/>
      <c r="K55" s="96"/>
      <c r="L55" s="96"/>
      <c r="M55" s="96"/>
      <c r="N55" s="96"/>
    </row>
    <row r="56" spans="1:14" x14ac:dyDescent="0.3">
      <c r="A56" s="127" t="s">
        <v>128</v>
      </c>
      <c r="B56" s="128" t="s">
        <v>132</v>
      </c>
      <c r="C56" s="129">
        <v>0.32300000000000001</v>
      </c>
      <c r="D56" s="129" t="s">
        <v>130</v>
      </c>
      <c r="E56" s="129">
        <v>1.56</v>
      </c>
      <c r="F56" s="130" t="s">
        <v>274</v>
      </c>
      <c r="G56" s="131">
        <v>0.6</v>
      </c>
      <c r="H56" s="129" t="s">
        <v>283</v>
      </c>
      <c r="I56" s="132">
        <v>1.03</v>
      </c>
      <c r="J56" s="96"/>
      <c r="K56" s="96"/>
      <c r="L56" s="96"/>
      <c r="M56" s="96"/>
      <c r="N56" s="96"/>
    </row>
    <row r="57" spans="1:14" x14ac:dyDescent="0.3">
      <c r="A57" s="127" t="s">
        <v>129</v>
      </c>
      <c r="B57" s="128" t="s">
        <v>132</v>
      </c>
      <c r="C57" s="129">
        <v>0.36699999999999999</v>
      </c>
      <c r="D57" s="129" t="s">
        <v>130</v>
      </c>
      <c r="E57" s="129">
        <v>1.56</v>
      </c>
      <c r="F57" s="130" t="s">
        <v>274</v>
      </c>
      <c r="G57" s="131">
        <v>0.6</v>
      </c>
      <c r="H57" s="129" t="s">
        <v>283</v>
      </c>
      <c r="I57" s="132">
        <v>1.03</v>
      </c>
      <c r="J57" s="96"/>
      <c r="K57" s="96"/>
      <c r="L57" s="96"/>
      <c r="M57" s="96"/>
      <c r="N57" s="96"/>
    </row>
    <row r="58" spans="1:14" x14ac:dyDescent="0.3">
      <c r="A58" s="127" t="s">
        <v>117</v>
      </c>
      <c r="B58" s="128" t="s">
        <v>132</v>
      </c>
      <c r="C58" s="129">
        <v>0.36</v>
      </c>
      <c r="D58" s="129" t="s">
        <v>130</v>
      </c>
      <c r="E58" s="129">
        <v>1.56</v>
      </c>
      <c r="F58" s="130" t="s">
        <v>274</v>
      </c>
      <c r="G58" s="131">
        <v>0.6</v>
      </c>
      <c r="H58" s="129" t="s">
        <v>283</v>
      </c>
      <c r="I58" s="132">
        <v>1.03</v>
      </c>
      <c r="J58" s="96"/>
      <c r="K58" s="96"/>
      <c r="L58" s="96"/>
      <c r="M58" s="96"/>
      <c r="N58" s="96"/>
    </row>
    <row r="59" spans="1:14" x14ac:dyDescent="0.3">
      <c r="A59" s="127" t="s">
        <v>118</v>
      </c>
      <c r="B59" s="128" t="s">
        <v>132</v>
      </c>
      <c r="C59" s="129">
        <v>0.36799999999999999</v>
      </c>
      <c r="D59" s="129" t="s">
        <v>130</v>
      </c>
      <c r="E59" s="129">
        <v>1.56</v>
      </c>
      <c r="F59" s="130" t="s">
        <v>274</v>
      </c>
      <c r="G59" s="131">
        <v>0.6</v>
      </c>
      <c r="H59" s="129" t="s">
        <v>283</v>
      </c>
      <c r="I59" s="132">
        <v>1.03</v>
      </c>
      <c r="J59" s="96"/>
      <c r="K59" s="96"/>
      <c r="L59" s="96"/>
      <c r="M59" s="96"/>
      <c r="N59" s="96"/>
    </row>
    <row r="60" spans="1:14" x14ac:dyDescent="0.3">
      <c r="A60" s="127" t="s">
        <v>119</v>
      </c>
      <c r="B60" s="128" t="s">
        <v>132</v>
      </c>
      <c r="C60" s="129">
        <v>0.30599999999999999</v>
      </c>
      <c r="D60" s="129" t="s">
        <v>130</v>
      </c>
      <c r="E60" s="129">
        <v>1.56</v>
      </c>
      <c r="F60" s="130" t="s">
        <v>274</v>
      </c>
      <c r="G60" s="131">
        <v>0.6</v>
      </c>
      <c r="H60" s="129" t="s">
        <v>283</v>
      </c>
      <c r="I60" s="132">
        <v>1.03</v>
      </c>
      <c r="J60" s="96"/>
      <c r="K60" s="96"/>
      <c r="L60" s="96"/>
      <c r="M60" s="96"/>
      <c r="N60" s="96"/>
    </row>
    <row r="61" spans="1:14" x14ac:dyDescent="0.3">
      <c r="A61" s="127" t="s">
        <v>120</v>
      </c>
      <c r="B61" s="128" t="s">
        <v>132</v>
      </c>
      <c r="C61" s="129">
        <v>0.313</v>
      </c>
      <c r="D61" s="129" t="s">
        <v>130</v>
      </c>
      <c r="E61" s="129">
        <v>1.56</v>
      </c>
      <c r="F61" s="130" t="s">
        <v>274</v>
      </c>
      <c r="G61" s="131">
        <v>0.6</v>
      </c>
      <c r="H61" s="129" t="s">
        <v>283</v>
      </c>
      <c r="I61" s="132">
        <v>1.03</v>
      </c>
      <c r="J61" s="96"/>
      <c r="K61" s="96"/>
      <c r="L61" s="96"/>
      <c r="M61" s="96"/>
      <c r="N61" s="96"/>
    </row>
    <row r="62" spans="1:14" x14ac:dyDescent="0.3">
      <c r="A62" s="127" t="s">
        <v>32</v>
      </c>
      <c r="B62" s="128" t="s">
        <v>133</v>
      </c>
      <c r="C62" s="129">
        <v>0.37</v>
      </c>
      <c r="D62" s="129" t="s">
        <v>161</v>
      </c>
      <c r="E62" s="129">
        <v>1.56</v>
      </c>
      <c r="F62" s="130" t="s">
        <v>274</v>
      </c>
      <c r="G62" s="131">
        <v>0.6</v>
      </c>
      <c r="H62" s="129" t="s">
        <v>283</v>
      </c>
      <c r="I62" s="132">
        <v>1.03</v>
      </c>
      <c r="J62" s="96"/>
      <c r="K62" s="96"/>
      <c r="L62" s="96"/>
      <c r="M62" s="96"/>
      <c r="N62" s="96"/>
    </row>
    <row r="63" spans="1:14" x14ac:dyDescent="0.3">
      <c r="A63" s="127" t="s">
        <v>90</v>
      </c>
      <c r="B63" s="128" t="s">
        <v>83</v>
      </c>
      <c r="C63" s="129">
        <v>0.45</v>
      </c>
      <c r="D63" s="129" t="s">
        <v>161</v>
      </c>
      <c r="E63" s="129">
        <v>1.3</v>
      </c>
      <c r="F63" s="130" t="s">
        <v>274</v>
      </c>
      <c r="G63" s="131">
        <v>0.45</v>
      </c>
      <c r="H63" s="129" t="s">
        <v>276</v>
      </c>
      <c r="I63" s="132">
        <v>0.43</v>
      </c>
      <c r="J63" s="96"/>
      <c r="K63" s="96"/>
      <c r="L63" s="96"/>
      <c r="M63" s="96"/>
      <c r="N63" s="96"/>
    </row>
    <row r="64" spans="1:14" x14ac:dyDescent="0.3">
      <c r="A64" s="127" t="s">
        <v>33</v>
      </c>
      <c r="B64" s="128" t="s">
        <v>134</v>
      </c>
      <c r="C64" s="129">
        <v>0.39</v>
      </c>
      <c r="D64" s="129" t="s">
        <v>161</v>
      </c>
      <c r="E64" s="129">
        <v>1.3</v>
      </c>
      <c r="F64" s="130" t="s">
        <v>274</v>
      </c>
      <c r="G64" s="131">
        <v>0.45</v>
      </c>
      <c r="H64" s="129" t="s">
        <v>276</v>
      </c>
      <c r="I64" s="132">
        <v>0.43</v>
      </c>
      <c r="J64" s="96"/>
      <c r="K64" s="96"/>
      <c r="L64" s="96"/>
      <c r="M64" s="96"/>
      <c r="N64" s="96"/>
    </row>
    <row r="65" spans="1:14" x14ac:dyDescent="0.3">
      <c r="A65" s="127" t="s">
        <v>34</v>
      </c>
      <c r="B65" s="128" t="s">
        <v>135</v>
      </c>
      <c r="C65" s="129">
        <v>0.44</v>
      </c>
      <c r="D65" s="129" t="s">
        <v>161</v>
      </c>
      <c r="E65" s="129">
        <v>1.3</v>
      </c>
      <c r="F65" s="130" t="s">
        <v>274</v>
      </c>
      <c r="G65" s="131">
        <v>0.45</v>
      </c>
      <c r="H65" s="129" t="s">
        <v>276</v>
      </c>
      <c r="I65" s="132">
        <v>0.43</v>
      </c>
      <c r="J65" s="96"/>
      <c r="K65" s="96"/>
      <c r="L65" s="96"/>
      <c r="M65" s="96"/>
      <c r="N65" s="96"/>
    </row>
    <row r="66" spans="1:14" x14ac:dyDescent="0.3">
      <c r="A66" s="127" t="s">
        <v>35</v>
      </c>
      <c r="B66" s="128" t="s">
        <v>84</v>
      </c>
      <c r="C66" s="129">
        <v>0.46</v>
      </c>
      <c r="D66" s="129" t="s">
        <v>161</v>
      </c>
      <c r="E66" s="129">
        <v>1.3</v>
      </c>
      <c r="F66" s="130" t="s">
        <v>274</v>
      </c>
      <c r="G66" s="131">
        <v>0.45</v>
      </c>
      <c r="H66" s="129" t="s">
        <v>276</v>
      </c>
      <c r="I66" s="132">
        <v>0.43</v>
      </c>
      <c r="J66" s="96"/>
      <c r="K66" s="96"/>
      <c r="L66" s="96"/>
      <c r="M66" s="96"/>
      <c r="N66" s="96"/>
    </row>
    <row r="67" spans="1:14" x14ac:dyDescent="0.3">
      <c r="A67" s="127" t="s">
        <v>36</v>
      </c>
      <c r="B67" s="128" t="s">
        <v>85</v>
      </c>
      <c r="C67" s="129">
        <v>0.46</v>
      </c>
      <c r="D67" s="129" t="s">
        <v>161</v>
      </c>
      <c r="E67" s="129">
        <v>1.3</v>
      </c>
      <c r="F67" s="130" t="s">
        <v>274</v>
      </c>
      <c r="G67" s="131">
        <v>0.45</v>
      </c>
      <c r="H67" s="129" t="s">
        <v>152</v>
      </c>
      <c r="I67" s="132">
        <v>0.59</v>
      </c>
      <c r="J67" s="96"/>
      <c r="K67" s="96"/>
      <c r="L67" s="96"/>
      <c r="M67" s="96"/>
      <c r="N67" s="96"/>
    </row>
    <row r="68" spans="1:14" x14ac:dyDescent="0.3">
      <c r="A68" s="127" t="s">
        <v>37</v>
      </c>
      <c r="B68" s="128" t="s">
        <v>136</v>
      </c>
      <c r="C68" s="129">
        <v>0.44</v>
      </c>
      <c r="D68" s="129" t="s">
        <v>161</v>
      </c>
      <c r="E68" s="129">
        <v>1.3</v>
      </c>
      <c r="F68" s="130" t="s">
        <v>274</v>
      </c>
      <c r="G68" s="131">
        <v>0.45</v>
      </c>
      <c r="H68" s="129" t="s">
        <v>276</v>
      </c>
      <c r="I68" s="132">
        <v>0.43</v>
      </c>
      <c r="J68" s="96"/>
      <c r="K68" s="96"/>
      <c r="L68" s="96"/>
      <c r="M68" s="96"/>
      <c r="N68" s="96"/>
    </row>
    <row r="69" spans="1:14" x14ac:dyDescent="0.3">
      <c r="A69" s="127" t="s">
        <v>38</v>
      </c>
      <c r="B69" s="128" t="s">
        <v>86</v>
      </c>
      <c r="C69" s="129">
        <v>0.46</v>
      </c>
      <c r="D69" s="129" t="s">
        <v>161</v>
      </c>
      <c r="E69" s="129">
        <v>1.3</v>
      </c>
      <c r="F69" s="130" t="s">
        <v>274</v>
      </c>
      <c r="G69" s="131">
        <v>0.45</v>
      </c>
      <c r="H69" s="129" t="s">
        <v>276</v>
      </c>
      <c r="I69" s="132">
        <v>0.43</v>
      </c>
      <c r="J69" s="96"/>
      <c r="K69" s="96"/>
      <c r="L69" s="96"/>
      <c r="M69" s="96"/>
      <c r="N69" s="96"/>
    </row>
    <row r="70" spans="1:14" x14ac:dyDescent="0.3">
      <c r="A70" s="127" t="s">
        <v>39</v>
      </c>
      <c r="B70" s="128" t="s">
        <v>137</v>
      </c>
      <c r="C70" s="129">
        <v>0.48</v>
      </c>
      <c r="D70" s="129" t="s">
        <v>161</v>
      </c>
      <c r="E70" s="129">
        <v>2.4</v>
      </c>
      <c r="F70" s="129" t="s">
        <v>284</v>
      </c>
      <c r="G70" s="131">
        <v>0.45</v>
      </c>
      <c r="H70" s="129" t="s">
        <v>276</v>
      </c>
      <c r="I70" s="132">
        <v>0.43</v>
      </c>
      <c r="J70" s="96"/>
      <c r="K70" s="96"/>
      <c r="L70" s="96"/>
      <c r="M70" s="96"/>
      <c r="N70" s="96"/>
    </row>
    <row r="71" spans="1:14" x14ac:dyDescent="0.3">
      <c r="A71" s="127" t="s">
        <v>40</v>
      </c>
      <c r="B71" s="128" t="s">
        <v>87</v>
      </c>
      <c r="C71" s="129">
        <v>0.46</v>
      </c>
      <c r="D71" s="129" t="s">
        <v>150</v>
      </c>
      <c r="E71" s="129">
        <v>1.3</v>
      </c>
      <c r="F71" s="130" t="s">
        <v>274</v>
      </c>
      <c r="G71" s="131">
        <v>0.45</v>
      </c>
      <c r="H71" s="129" t="s">
        <v>276</v>
      </c>
      <c r="I71" s="132">
        <v>0.43</v>
      </c>
      <c r="J71" s="96"/>
      <c r="K71" s="96"/>
      <c r="L71" s="96"/>
      <c r="M71" s="96"/>
      <c r="N71" s="96"/>
    </row>
    <row r="72" spans="1:14" x14ac:dyDescent="0.3">
      <c r="A72" s="127" t="s">
        <v>41</v>
      </c>
      <c r="B72" s="128" t="s">
        <v>88</v>
      </c>
      <c r="C72" s="129">
        <v>0.44</v>
      </c>
      <c r="D72" s="129" t="s">
        <v>161</v>
      </c>
      <c r="E72" s="129">
        <v>1.3</v>
      </c>
      <c r="F72" s="130" t="s">
        <v>274</v>
      </c>
      <c r="G72" s="131">
        <v>0.45</v>
      </c>
      <c r="H72" s="129" t="s">
        <v>276</v>
      </c>
      <c r="I72" s="132">
        <v>0.43</v>
      </c>
      <c r="J72" s="96"/>
      <c r="K72" s="96"/>
      <c r="L72" s="96"/>
      <c r="M72" s="96"/>
      <c r="N72" s="96"/>
    </row>
    <row r="73" spans="1:14" x14ac:dyDescent="0.3">
      <c r="A73" s="127" t="s">
        <v>138</v>
      </c>
      <c r="B73" s="128" t="s">
        <v>140</v>
      </c>
      <c r="C73" s="129">
        <v>0.46</v>
      </c>
      <c r="D73" s="129" t="s">
        <v>151</v>
      </c>
      <c r="E73" s="129">
        <v>1.3</v>
      </c>
      <c r="F73" s="130" t="s">
        <v>274</v>
      </c>
      <c r="G73" s="131">
        <v>0.45</v>
      </c>
      <c r="H73" s="129" t="s">
        <v>276</v>
      </c>
      <c r="I73" s="132">
        <v>0.43</v>
      </c>
      <c r="J73" s="96"/>
      <c r="K73" s="96"/>
      <c r="L73" s="96"/>
      <c r="M73" s="96"/>
      <c r="N73" s="96"/>
    </row>
    <row r="74" spans="1:14" x14ac:dyDescent="0.3">
      <c r="A74" s="127" t="s">
        <v>42</v>
      </c>
      <c r="B74" s="128" t="s">
        <v>139</v>
      </c>
      <c r="C74" s="129">
        <v>0.34</v>
      </c>
      <c r="D74" s="129" t="s">
        <v>161</v>
      </c>
      <c r="E74" s="129">
        <v>1.3</v>
      </c>
      <c r="F74" s="130" t="s">
        <v>274</v>
      </c>
      <c r="G74" s="131">
        <v>0.45</v>
      </c>
      <c r="H74" s="129" t="s">
        <v>276</v>
      </c>
      <c r="I74" s="132">
        <v>0.43</v>
      </c>
      <c r="J74" s="96"/>
      <c r="K74" s="96"/>
      <c r="L74" s="96"/>
      <c r="M74" s="96"/>
      <c r="N74" s="96"/>
    </row>
    <row r="75" spans="1:14" x14ac:dyDescent="0.3">
      <c r="A75" s="127" t="s">
        <v>43</v>
      </c>
      <c r="B75" s="128" t="s">
        <v>162</v>
      </c>
      <c r="C75" s="129">
        <v>0.5</v>
      </c>
      <c r="D75" s="129" t="s">
        <v>161</v>
      </c>
      <c r="E75" s="129">
        <v>1.56</v>
      </c>
      <c r="F75" s="130" t="s">
        <v>274</v>
      </c>
      <c r="G75" s="131">
        <v>0.53</v>
      </c>
      <c r="H75" s="129" t="s">
        <v>275</v>
      </c>
      <c r="I75" s="132">
        <v>0.25</v>
      </c>
      <c r="J75" s="96"/>
      <c r="K75" s="96"/>
      <c r="L75" s="96"/>
      <c r="M75" s="96"/>
      <c r="N75" s="96"/>
    </row>
    <row r="76" spans="1:14" x14ac:dyDescent="0.3">
      <c r="A76" s="127" t="s">
        <v>44</v>
      </c>
      <c r="B76" s="128" t="s">
        <v>89</v>
      </c>
      <c r="C76" s="129">
        <v>0.57999999999999996</v>
      </c>
      <c r="D76" s="129" t="s">
        <v>161</v>
      </c>
      <c r="E76" s="129">
        <v>1.56</v>
      </c>
      <c r="F76" s="130" t="s">
        <v>274</v>
      </c>
      <c r="G76" s="131">
        <v>0.3</v>
      </c>
      <c r="H76" s="129" t="s">
        <v>277</v>
      </c>
      <c r="I76" s="132">
        <v>0.25</v>
      </c>
      <c r="J76" s="96"/>
      <c r="K76" s="96"/>
      <c r="L76" s="96"/>
      <c r="M76" s="96"/>
      <c r="N76" s="96"/>
    </row>
    <row r="77" spans="1:14" x14ac:dyDescent="0.3">
      <c r="A77" s="127" t="s">
        <v>47</v>
      </c>
      <c r="B77" s="128" t="s">
        <v>141</v>
      </c>
      <c r="C77" s="129">
        <v>0.37</v>
      </c>
      <c r="D77" s="129" t="s">
        <v>161</v>
      </c>
      <c r="E77" s="129">
        <v>1.3</v>
      </c>
      <c r="F77" s="130" t="s">
        <v>274</v>
      </c>
      <c r="G77" s="131">
        <v>0.55000000000000004</v>
      </c>
      <c r="H77" s="129" t="s">
        <v>152</v>
      </c>
      <c r="I77" s="132">
        <v>0.43</v>
      </c>
      <c r="J77" s="96"/>
      <c r="K77" s="96"/>
      <c r="L77" s="96"/>
      <c r="M77" s="96"/>
      <c r="N77" s="96"/>
    </row>
    <row r="78" spans="1:14" x14ac:dyDescent="0.3">
      <c r="A78" s="127" t="s">
        <v>45</v>
      </c>
      <c r="B78" s="128" t="s">
        <v>96</v>
      </c>
      <c r="C78" s="129">
        <v>0.37</v>
      </c>
      <c r="D78" s="129" t="s">
        <v>161</v>
      </c>
      <c r="E78" s="129">
        <v>1.3</v>
      </c>
      <c r="F78" s="130" t="s">
        <v>274</v>
      </c>
      <c r="G78" s="131">
        <v>0.55000000000000004</v>
      </c>
      <c r="H78" s="129" t="s">
        <v>152</v>
      </c>
      <c r="I78" s="132">
        <v>0.43</v>
      </c>
      <c r="J78" s="96"/>
      <c r="K78" s="96"/>
      <c r="L78" s="96"/>
      <c r="M78" s="96"/>
      <c r="N78" s="96"/>
    </row>
    <row r="79" spans="1:14" x14ac:dyDescent="0.3">
      <c r="A79" s="127" t="s">
        <v>46</v>
      </c>
      <c r="B79" s="128" t="s">
        <v>95</v>
      </c>
      <c r="C79" s="129">
        <v>0.38</v>
      </c>
      <c r="D79" s="129" t="s">
        <v>161</v>
      </c>
      <c r="E79" s="129">
        <v>1.3</v>
      </c>
      <c r="F79" s="130" t="s">
        <v>274</v>
      </c>
      <c r="G79" s="131">
        <v>0.55000000000000004</v>
      </c>
      <c r="H79" s="129" t="s">
        <v>153</v>
      </c>
      <c r="I79" s="132">
        <v>0.43</v>
      </c>
      <c r="J79" s="96"/>
      <c r="K79" s="96"/>
      <c r="L79" s="96"/>
      <c r="M79" s="96"/>
      <c r="N79" s="96"/>
    </row>
    <row r="80" spans="1:14" x14ac:dyDescent="0.3">
      <c r="A80" s="127" t="s">
        <v>48</v>
      </c>
      <c r="B80" s="128" t="s">
        <v>94</v>
      </c>
      <c r="C80" s="129">
        <v>0.36</v>
      </c>
      <c r="D80" s="129" t="s">
        <v>161</v>
      </c>
      <c r="E80" s="129">
        <v>1.3</v>
      </c>
      <c r="F80" s="130" t="s">
        <v>274</v>
      </c>
      <c r="G80" s="131">
        <v>0.55000000000000004</v>
      </c>
      <c r="H80" s="129" t="s">
        <v>153</v>
      </c>
      <c r="I80" s="132">
        <v>0.43</v>
      </c>
      <c r="J80" s="96"/>
      <c r="K80" s="96"/>
      <c r="L80" s="96"/>
      <c r="M80" s="96"/>
      <c r="N80" s="96"/>
    </row>
    <row r="81" spans="1:14" x14ac:dyDescent="0.3">
      <c r="A81" s="127" t="s">
        <v>49</v>
      </c>
      <c r="B81" s="128" t="s">
        <v>142</v>
      </c>
      <c r="C81" s="129">
        <v>0.37</v>
      </c>
      <c r="D81" s="129" t="s">
        <v>161</v>
      </c>
      <c r="E81" s="129">
        <v>1.56</v>
      </c>
      <c r="F81" s="130" t="s">
        <v>274</v>
      </c>
      <c r="G81" s="131">
        <v>0.43</v>
      </c>
      <c r="H81" s="129" t="s">
        <v>278</v>
      </c>
      <c r="I81" s="132">
        <v>0.25</v>
      </c>
      <c r="J81" s="96"/>
      <c r="K81" s="96"/>
      <c r="L81" s="96"/>
      <c r="M81" s="96"/>
      <c r="N81" s="96"/>
    </row>
    <row r="82" spans="1:14" x14ac:dyDescent="0.3">
      <c r="A82" s="127" t="s">
        <v>158</v>
      </c>
      <c r="B82" s="128" t="s">
        <v>159</v>
      </c>
      <c r="C82" s="129">
        <v>0.35</v>
      </c>
      <c r="D82" s="129" t="s">
        <v>160</v>
      </c>
      <c r="E82" s="129">
        <v>1.3</v>
      </c>
      <c r="F82" s="130" t="s">
        <v>274</v>
      </c>
      <c r="G82" s="131">
        <v>0.55000000000000004</v>
      </c>
      <c r="H82" s="129" t="s">
        <v>153</v>
      </c>
      <c r="I82" s="132">
        <v>0.43</v>
      </c>
      <c r="J82" s="96"/>
      <c r="K82" s="96"/>
      <c r="L82" s="96"/>
      <c r="M82" s="96"/>
      <c r="N82" s="96"/>
    </row>
    <row r="83" spans="1:14" x14ac:dyDescent="0.3">
      <c r="A83" s="127" t="s">
        <v>156</v>
      </c>
      <c r="B83" s="128" t="s">
        <v>157</v>
      </c>
      <c r="C83" s="129">
        <v>0.34</v>
      </c>
      <c r="D83" s="129" t="s">
        <v>161</v>
      </c>
      <c r="E83" s="129">
        <v>1.3</v>
      </c>
      <c r="F83" s="130" t="s">
        <v>274</v>
      </c>
      <c r="G83" s="131">
        <v>0.55000000000000004</v>
      </c>
      <c r="H83" s="129" t="s">
        <v>153</v>
      </c>
      <c r="I83" s="132">
        <v>0.43</v>
      </c>
      <c r="J83" s="96"/>
      <c r="K83" s="96"/>
      <c r="L83" s="96"/>
      <c r="M83" s="96"/>
      <c r="N83" s="96"/>
    </row>
    <row r="84" spans="1:14" x14ac:dyDescent="0.3">
      <c r="A84" s="127" t="s">
        <v>92</v>
      </c>
      <c r="B84" s="128" t="s">
        <v>93</v>
      </c>
      <c r="C84" s="129">
        <v>0.31</v>
      </c>
      <c r="D84" s="129" t="s">
        <v>161</v>
      </c>
      <c r="E84" s="129">
        <v>1.3</v>
      </c>
      <c r="F84" s="130" t="s">
        <v>274</v>
      </c>
      <c r="G84" s="131">
        <v>0.55000000000000004</v>
      </c>
      <c r="H84" s="129" t="s">
        <v>153</v>
      </c>
      <c r="I84" s="132">
        <v>0.43</v>
      </c>
      <c r="J84" s="96"/>
      <c r="K84" s="96"/>
      <c r="L84" s="96"/>
      <c r="M84" s="96"/>
      <c r="N84" s="96"/>
    </row>
    <row r="85" spans="1:14" x14ac:dyDescent="0.3">
      <c r="A85" s="127" t="s">
        <v>50</v>
      </c>
      <c r="B85" s="128" t="s">
        <v>143</v>
      </c>
      <c r="C85" s="129">
        <v>0.43</v>
      </c>
      <c r="D85" s="129" t="s">
        <v>161</v>
      </c>
      <c r="E85" s="129">
        <v>1.56</v>
      </c>
      <c r="F85" s="130" t="s">
        <v>274</v>
      </c>
      <c r="G85" s="131">
        <v>0.53</v>
      </c>
      <c r="H85" s="129" t="s">
        <v>275</v>
      </c>
      <c r="I85" s="132">
        <v>0.25</v>
      </c>
      <c r="J85" s="96"/>
      <c r="K85" s="96"/>
      <c r="L85" s="96"/>
      <c r="M85" s="96"/>
      <c r="N85" s="96"/>
    </row>
    <row r="86" spans="1:14" x14ac:dyDescent="0.3">
      <c r="A86" s="127" t="s">
        <v>51</v>
      </c>
      <c r="B86" s="128" t="s">
        <v>91</v>
      </c>
      <c r="C86" s="129">
        <v>0.38</v>
      </c>
      <c r="D86" s="129" t="s">
        <v>161</v>
      </c>
      <c r="E86" s="129">
        <v>1.56</v>
      </c>
      <c r="F86" s="130" t="s">
        <v>274</v>
      </c>
      <c r="G86" s="131">
        <v>0.6</v>
      </c>
      <c r="H86" s="129" t="s">
        <v>279</v>
      </c>
      <c r="I86" s="132">
        <v>0.25</v>
      </c>
      <c r="J86" s="96"/>
      <c r="K86" s="96"/>
      <c r="L86" s="96"/>
      <c r="M86" s="96"/>
      <c r="N86" s="96"/>
    </row>
    <row r="87" spans="1:14" x14ac:dyDescent="0.3">
      <c r="A87" s="282" t="s">
        <v>321</v>
      </c>
      <c r="B87" s="283" t="s">
        <v>322</v>
      </c>
      <c r="C87" s="284">
        <v>0.41</v>
      </c>
      <c r="D87" s="284" t="s">
        <v>323</v>
      </c>
      <c r="E87" s="284">
        <v>1.56</v>
      </c>
      <c r="F87" s="285" t="s">
        <v>274</v>
      </c>
      <c r="G87" s="286">
        <v>0.43</v>
      </c>
      <c r="H87" s="284" t="s">
        <v>278</v>
      </c>
      <c r="I87" s="287">
        <v>0.25</v>
      </c>
      <c r="J87" s="96"/>
      <c r="K87" s="96"/>
      <c r="L87" s="96"/>
      <c r="M87" s="96"/>
      <c r="N87" s="96"/>
    </row>
    <row r="88" spans="1:14" x14ac:dyDescent="0.3">
      <c r="A88" s="127" t="s">
        <v>148</v>
      </c>
      <c r="B88" s="135"/>
      <c r="C88" s="129">
        <v>0.42</v>
      </c>
      <c r="D88" s="129" t="s">
        <v>161</v>
      </c>
      <c r="E88" s="129">
        <v>1.3</v>
      </c>
      <c r="F88" s="130" t="s">
        <v>274</v>
      </c>
      <c r="G88" s="136"/>
      <c r="H88" s="135"/>
      <c r="I88" s="137"/>
    </row>
    <row r="89" spans="1:14" ht="15" thickBot="1" x14ac:dyDescent="0.35">
      <c r="A89" s="138" t="s">
        <v>149</v>
      </c>
      <c r="B89" s="139"/>
      <c r="C89" s="140">
        <v>0.56999999999999995</v>
      </c>
      <c r="D89" s="141" t="s">
        <v>161</v>
      </c>
      <c r="E89" s="140">
        <v>1.56</v>
      </c>
      <c r="F89" s="140" t="s">
        <v>274</v>
      </c>
      <c r="G89" s="139"/>
      <c r="H89" s="139"/>
      <c r="I89" s="142"/>
    </row>
    <row r="93" spans="1:14" x14ac:dyDescent="0.3">
      <c r="A93" s="127" t="s">
        <v>208</v>
      </c>
    </row>
    <row r="94" spans="1:14" x14ac:dyDescent="0.3">
      <c r="A94" s="127" t="s">
        <v>209</v>
      </c>
    </row>
    <row r="95" spans="1:14" x14ac:dyDescent="0.3">
      <c r="A95" s="127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115" zoomScaleNormal="115" workbookViewId="0">
      <selection activeCell="A24" sqref="A2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4" t="s">
        <v>271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6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7"/>
      <c r="J3" s="227"/>
      <c r="K3" s="227"/>
      <c r="L3" s="227"/>
      <c r="M3" s="227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7"/>
      <c r="J4" s="227"/>
      <c r="K4" s="227"/>
      <c r="L4" s="227"/>
      <c r="M4" s="227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3" t="s">
        <v>207</v>
      </c>
      <c r="B5" s="144" t="s">
        <v>250</v>
      </c>
      <c r="C5" s="145" t="str">
        <f>Calculateur!S2</f>
        <v>ΔStock moyen de long terme (tCO₂/ha)</v>
      </c>
      <c r="D5" s="145" t="str">
        <f>Calculateur!T2</f>
        <v>Δstock CO₂ 30 ans (tCO₂/ha)</v>
      </c>
      <c r="E5" s="145" t="s">
        <v>228</v>
      </c>
      <c r="F5" s="145" t="s">
        <v>239</v>
      </c>
      <c r="G5" s="145" t="s">
        <v>240</v>
      </c>
      <c r="H5" s="146" t="s">
        <v>241</v>
      </c>
      <c r="I5" s="147" t="s">
        <v>242</v>
      </c>
      <c r="J5" s="148" t="s">
        <v>243</v>
      </c>
      <c r="K5" s="149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0" t="str">
        <f>IF('Données projet'!$B$9="","",'Données projet'!$B$9)</f>
        <v>Chêne pubescent</v>
      </c>
      <c r="B6" s="151">
        <f>'Données projet'!D9</f>
        <v>0.83000000000000007</v>
      </c>
      <c r="C6" s="152">
        <f ca="1">IF(OR('Données projet'!B9="",'Données projet'!C9="",'Données projet'!C9=0%),0,Calculateur!S3)</f>
        <v>341.82426415364569</v>
      </c>
      <c r="D6" s="152">
        <f>IF(OR('Données projet'!B9="",'Données projet'!C9="",'Données projet'!C9=0%),0,Calculateur!T3)</f>
        <v>193.53376539568887</v>
      </c>
      <c r="E6" s="152">
        <f ca="1">MIN(C6,D6)</f>
        <v>193.53376539568887</v>
      </c>
      <c r="F6" s="152">
        <f ca="1">E6*B6</f>
        <v>160.63302527842177</v>
      </c>
      <c r="G6" s="152">
        <f ca="1">F6*(100%-'Données projet'!$C$24)*(100%-'Données projet'!$C$25)*(100%-'Données projet'!$C$26)*(100%-'Données projet'!$C$27)</f>
        <v>122.88426433799265</v>
      </c>
      <c r="H6" s="153">
        <f>IF(OR('Données projet'!B9="",'Données projet'!C9="",'Données projet'!C9=0%),0,AVERAGE(Calculateur!$AC$3:$AC$33)*B6)</f>
        <v>0</v>
      </c>
      <c r="I6" s="154">
        <f>H6*(100%-'Données projet'!$C$24)*(100%-'Données projet'!$C$25)*(100%-'Données projet'!$C$26)*(100%-'Données projet'!$C$27)</f>
        <v>0</v>
      </c>
      <c r="J6" s="155">
        <f>IF(OR('Données projet'!B9="",'Données projet'!C9="",'Données projet'!C9=0%),0,SUM(Calculateur!$V$3:$V$33)*VLOOKUP('Données projet'!$B$9,Paramètres!$A$1:$I$89,9,0)*B6)</f>
        <v>6.0175000000000001</v>
      </c>
      <c r="K6" s="156">
        <f>J6*(100%-'Données projet'!$C$24)*(100%-'Données projet'!$C$25)*(100%-'Données projet'!$C$26)*(100%-'Données projet'!$C$27)</f>
        <v>4.6033875000000002</v>
      </c>
      <c r="L6" s="157">
        <f ca="1">G6+I6+K6</f>
        <v>127.48765183799264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58" t="str">
        <f>IF('Données projet'!$B$10="","",'Données projet'!$B$10)</f>
        <v>Pin maritime</v>
      </c>
      <c r="B7" s="159">
        <f>'Données projet'!D10</f>
        <v>4.1500000000000004</v>
      </c>
      <c r="C7" s="152">
        <f ca="1">IF(OR('Données projet'!B10="",'Données projet'!C10="",'Données projet'!C10=0%),0,Calculateur!AN3)</f>
        <v>189.8516574130017</v>
      </c>
      <c r="D7" s="152">
        <f>IF(OR('Données projet'!B10="",'Données projet'!C10="",'Données projet'!C10=0%),0,Calculateur!AO3)</f>
        <v>191.91100863555891</v>
      </c>
      <c r="E7" s="152">
        <f t="shared" ref="E7:E15" ca="1" si="0">MIN(C7,D7)</f>
        <v>189.8516574130017</v>
      </c>
      <c r="F7" s="152">
        <f t="shared" ref="F7:F15" ca="1" si="1">E7*B7</f>
        <v>787.88437826395716</v>
      </c>
      <c r="G7" s="152">
        <f ca="1">F7*(100%-'Données projet'!$C$24)*(100%-'Données projet'!$C$25)*(100%-'Données projet'!$C$26)*(100%-'Données projet'!$C$27)</f>
        <v>602.73154937192726</v>
      </c>
      <c r="H7" s="160">
        <f>IF(OR('Données projet'!B10="",'Données projet'!C10="",'Données projet'!C10=0%),0,AVERAGE(Calculateur!$AX$3:$AX$33)*B7)</f>
        <v>53.650580748558959</v>
      </c>
      <c r="I7" s="154">
        <f>H7*(100%-'Données projet'!$C$24)*(100%-'Données projet'!$C$25)*(100%-'Données projet'!$C$26)*(100%-'Données projet'!$C$27)</f>
        <v>41.042694272647601</v>
      </c>
      <c r="J7" s="155">
        <f>IF(OR('Données projet'!B10="",'Données projet'!C10="",'Données projet'!C10=0%),0,SUM(Calculateur!$AQ$3:$AQ$33)*VLOOKUP('Données projet'!$B$10,Paramètres!$A$1:$I$89,9,0)*B7)</f>
        <v>423.30779242307693</v>
      </c>
      <c r="K7" s="156">
        <f>J7*(100%-'Données projet'!$C$24)*(100%-'Données projet'!$C$25)*(100%-'Données projet'!$C$26)*(100%-'Données projet'!$C$27)</f>
        <v>323.83046120365384</v>
      </c>
      <c r="L7" s="157">
        <f t="shared" ref="L7:L15" ca="1" si="2">G7+I7+K7</f>
        <v>967.60470484822872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58" t="str">
        <f>IF('Données projet'!$B$11="","",'Données projet'!$B$11)</f>
        <v>Chêne chevelu</v>
      </c>
      <c r="B8" s="159">
        <f>'Données projet'!D11</f>
        <v>1.0790000000000002</v>
      </c>
      <c r="C8" s="152">
        <f ca="1">IF(OR('Données projet'!B11="",'Données projet'!C11="",'Données projet'!C11=0%),0,Calculateur!BI3)</f>
        <v>373.7520752235389</v>
      </c>
      <c r="D8" s="152">
        <f>IF(OR('Données projet'!B11="",'Données projet'!C11="",'Données projet'!C11=0%),0,Calculateur!BJ3)</f>
        <v>205.19966474305761</v>
      </c>
      <c r="E8" s="152">
        <f t="shared" ca="1" si="0"/>
        <v>205.19966474305761</v>
      </c>
      <c r="F8" s="152">
        <f t="shared" ca="1" si="1"/>
        <v>221.41043825775921</v>
      </c>
      <c r="G8" s="152">
        <f ca="1">F8*(100%-'Données projet'!$C$24)*(100%-'Données projet'!$C$25)*(100%-'Données projet'!$C$26)*(100%-'Données projet'!$C$27)</f>
        <v>169.37898526718581</v>
      </c>
      <c r="H8" s="160">
        <f>IF(OR('Données projet'!B11="",'Données projet'!C11="",'Données projet'!C11=0%),0,AVERAGE(Calculateur!$BS$3:$BS$33)*B8)</f>
        <v>0</v>
      </c>
      <c r="I8" s="154">
        <f>H8*(100%-'Données projet'!$C$24)*(100%-'Données projet'!$C$25)*(100%-'Données projet'!$C$26)*(100%-'Données projet'!$C$27)</f>
        <v>0</v>
      </c>
      <c r="J8" s="155">
        <f>IF(OR('Données projet'!B11="",'Données projet'!C11="",'Données projet'!C11=0%),0,SUM(Calculateur!$BL$3:$BL$33)*VLOOKUP('Données projet'!$B$11,Paramètres!$A$1:$I$89,9,0)*B8)</f>
        <v>5.0145833333333334</v>
      </c>
      <c r="K8" s="156">
        <f>J8*(100%-'Données projet'!$C$24)*(100%-'Données projet'!$C$25)*(100%-'Données projet'!$C$26)*(100%-'Données projet'!$C$27)</f>
        <v>3.8361562500000002</v>
      </c>
      <c r="L8" s="157">
        <f t="shared" ca="1" si="2"/>
        <v>173.2151415171858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58" t="str">
        <f>IF('Données projet'!$B$12="","",'Données projet'!$B$12)</f>
        <v>Cèdre de l'Atlas</v>
      </c>
      <c r="B9" s="159">
        <f>'Données projet'!D12</f>
        <v>1.0790000000000002</v>
      </c>
      <c r="C9" s="152">
        <f ca="1">IF(OR('Données projet'!B12="",'Données projet'!C12="",'Données projet'!C12=0%),0,Calculateur!CD3)</f>
        <v>141.31558705818316</v>
      </c>
      <c r="D9" s="152">
        <f>IF(OR('Données projet'!B12="",'Données projet'!C12="",'Données projet'!C12=0%),0,Calculateur!CE3)</f>
        <v>67.142010893211364</v>
      </c>
      <c r="E9" s="152">
        <f t="shared" ca="1" si="0"/>
        <v>67.142010893211364</v>
      </c>
      <c r="F9" s="152">
        <f t="shared" ca="1" si="1"/>
        <v>72.446229753775071</v>
      </c>
      <c r="G9" s="152">
        <f ca="1">F9*(100%-'Données projet'!$C$24)*(100%-'Données projet'!$C$25)*(100%-'Données projet'!$C$26)*(100%-'Données projet'!$C$27)</f>
        <v>55.421365761637922</v>
      </c>
      <c r="H9" s="160">
        <f>IF(OR('Données projet'!B12="",'Données projet'!C12="",'Données projet'!C12=0%),0,AVERAGE(Calculateur!$CN$3:$CN$33)*B9)</f>
        <v>0</v>
      </c>
      <c r="I9" s="154">
        <f>H9*(100%-'Données projet'!$C$24)*(100%-'Données projet'!$C$25)*(100%-'Données projet'!$C$26)*(100%-'Données projet'!$C$27)</f>
        <v>0</v>
      </c>
      <c r="J9" s="155">
        <f>IF(OR('Données projet'!B12="",'Données projet'!C12="",'Données projet'!C12=0%),0,SUM(Calculateur!$CG$3:$CG$33)*VLOOKUP('Données projet'!$B$12,Paramètres!$A$1:$I$89,9,0)*B9)</f>
        <v>0</v>
      </c>
      <c r="K9" s="156">
        <f>J9*(100%-'Données projet'!$C$24)*(100%-'Données projet'!$C$25)*(100%-'Données projet'!$C$26)*(100%-'Données projet'!$C$27)</f>
        <v>0</v>
      </c>
      <c r="L9" s="157">
        <f t="shared" ca="1" si="2"/>
        <v>55.421365761637922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58" t="str">
        <f>IF('Données projet'!$B$13="","",'Données projet'!$B$13)</f>
        <v>Chêne rouge d'Amérique</v>
      </c>
      <c r="B10" s="159">
        <f>'Données projet'!D13</f>
        <v>0.33200000000000002</v>
      </c>
      <c r="C10" s="152">
        <f ca="1">IF(OR('Données projet'!B13="",'Données projet'!C13="",'Données projet'!C13=0%),0,Calculateur!CY3)</f>
        <v>281.8501448773884</v>
      </c>
      <c r="D10" s="152">
        <f>IF(OR('Données projet'!B13="",'Données projet'!C13="",'Données projet'!C13=0%),0,Calculateur!CZ3)</f>
        <v>161.7340631691518</v>
      </c>
      <c r="E10" s="152">
        <f t="shared" ca="1" si="0"/>
        <v>161.7340631691518</v>
      </c>
      <c r="F10" s="152">
        <f t="shared" ca="1" si="1"/>
        <v>53.6957089721584</v>
      </c>
      <c r="G10" s="152">
        <f ca="1">F10*(100%-'Données projet'!$C$24)*(100%-'Données projet'!$C$25)*(100%-'Données projet'!$C$26)*(100%-'Données projet'!$C$27)</f>
        <v>41.07721736370118</v>
      </c>
      <c r="H10" s="160">
        <f>IF(OR('Données projet'!B13="",'Données projet'!C13="",'Données projet'!C13=0%),0,AVERAGE(Calculateur!$DI$3:$DI$33)*B10)</f>
        <v>0</v>
      </c>
      <c r="I10" s="154">
        <f>H10*(100%-'Données projet'!$C$24)*(100%-'Données projet'!$C$25)*(100%-'Données projet'!$C$26)*(100%-'Données projet'!$C$27)</f>
        <v>0</v>
      </c>
      <c r="J10" s="155">
        <f>IF(OR('Données projet'!B13="",'Données projet'!C13="",'Données projet'!C13=0%),0,SUM(Calculateur!$DB$3:$DB$33)*VLOOKUP('Données projet'!$B$13,Paramètres!$A$1:$I$89,9,0)*B10)</f>
        <v>2.407</v>
      </c>
      <c r="K10" s="156">
        <f>J10*(100%-'Données projet'!$C$24)*(100%-'Données projet'!$C$25)*(100%-'Données projet'!$C$26)*(100%-'Données projet'!$C$27)</f>
        <v>1.8413550000000001</v>
      </c>
      <c r="L10" s="157">
        <f t="shared" ca="1" si="2"/>
        <v>42.91857236370118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58" t="str">
        <f>IF('Données projet'!$B$14="","",'Données projet'!$B$14)</f>
        <v>Chêne sessile</v>
      </c>
      <c r="B11" s="159">
        <f>'Données projet'!D14</f>
        <v>0.83000000000000007</v>
      </c>
      <c r="C11" s="152">
        <f ca="1">IF(OR('Données projet'!B14="",'Données projet'!C14="",'Données projet'!C14=0%),0,Calculateur!DT3)</f>
        <v>295.19398489974265</v>
      </c>
      <c r="D11" s="152">
        <f>IF(OR('Données projet'!B14="",'Données projet'!C14="",'Données projet'!C14=0%),0,Calculateur!DU3)</f>
        <v>168.80998104712489</v>
      </c>
      <c r="E11" s="152">
        <f t="shared" ca="1" si="0"/>
        <v>168.80998104712489</v>
      </c>
      <c r="F11" s="152">
        <f t="shared" ca="1" si="1"/>
        <v>140.11228426911367</v>
      </c>
      <c r="G11" s="152">
        <f ca="1">F11*(100%-'Données projet'!$C$24)*(100%-'Données projet'!$C$25)*(100%-'Données projet'!$C$26)*(100%-'Données projet'!$C$27)</f>
        <v>107.18589746587196</v>
      </c>
      <c r="H11" s="160">
        <f>IF(OR('Données projet'!B14="",'Données projet'!C14="",'Données projet'!C14=0%),0,AVERAGE(Calculateur!$ED$3:$ED$33)*B11)</f>
        <v>0</v>
      </c>
      <c r="I11" s="154">
        <f>H11*(100%-'Données projet'!$C$24)*(100%-'Données projet'!$C$25)*(100%-'Données projet'!$C$26)*(100%-'Données projet'!$C$27)</f>
        <v>0</v>
      </c>
      <c r="J11" s="155">
        <f>IF(OR('Données projet'!B14="",'Données projet'!C14="",'Données projet'!C14=0%),0,SUM(Calculateur!$DW$3:$DW$33)*VLOOKUP('Données projet'!$B$14,Paramètres!$A$1:$I$89,9,0)*B11)</f>
        <v>6.0175000000000001</v>
      </c>
      <c r="K11" s="156">
        <f>J11*(100%-'Données projet'!$C$24)*(100%-'Données projet'!$C$25)*(100%-'Données projet'!$C$26)*(100%-'Données projet'!$C$27)</f>
        <v>4.6033875000000002</v>
      </c>
      <c r="L11" s="157">
        <f t="shared" ca="1" si="2"/>
        <v>111.78928496587196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58" t="str">
        <f>IF('Données projet'!$B$15="","",'Données projet'!$B$15)</f>
        <v/>
      </c>
      <c r="B12" s="159">
        <f>'Données projet'!D15</f>
        <v>0</v>
      </c>
      <c r="C12" s="152">
        <f>IF(OR('Données projet'!B15="",'Données projet'!C15="",'Données projet'!C15=0%),0,Calculateur!EO3)</f>
        <v>0</v>
      </c>
      <c r="D12" s="152">
        <f>IF(OR('Données projet'!B15="",'Données projet'!C15="",'Données projet'!C15=0%),0,Calculateur!EP3)</f>
        <v>0</v>
      </c>
      <c r="E12" s="152">
        <f t="shared" si="0"/>
        <v>0</v>
      </c>
      <c r="F12" s="152">
        <f t="shared" si="1"/>
        <v>0</v>
      </c>
      <c r="G12" s="152">
        <f>F12*(100%-'Données projet'!$C$24)*(100%-'Données projet'!$C$25)*(100%-'Données projet'!$C$26)*(100%-'Données projet'!$C$27)</f>
        <v>0</v>
      </c>
      <c r="H12" s="160">
        <f>IF(OR('Données projet'!B15="",'Données projet'!C15="",'Données projet'!C15=0%),0,AVERAGE(Calculateur!$EY$3:$EY$33)*B12)</f>
        <v>0</v>
      </c>
      <c r="I12" s="154">
        <f>H12*(100%-'Données projet'!$C$24)*(100%-'Données projet'!$C$25)*(100%-'Données projet'!$C$26)*(100%-'Données projet'!$C$27)</f>
        <v>0</v>
      </c>
      <c r="J12" s="155">
        <f>IF(OR('Données projet'!B15="",'Données projet'!C15="",'Données projet'!C15=0%),0,SUM(Calculateur!$ER$3:$ER$33)*VLOOKUP('Données projet'!$B$15,Paramètres!$A$1:$I$89,9,0)*B12)</f>
        <v>0</v>
      </c>
      <c r="K12" s="156">
        <f>J12*(100%-'Données projet'!$C$24)*(100%-'Données projet'!$C$25)*(100%-'Données projet'!$C$26)*(100%-'Données projet'!$C$27)</f>
        <v>0</v>
      </c>
      <c r="L12" s="157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58" t="str">
        <f>IF('Données projet'!$B$16="","",'Données projet'!$B$16)</f>
        <v/>
      </c>
      <c r="B13" s="159">
        <f>'Données projet'!D16</f>
        <v>0</v>
      </c>
      <c r="C13" s="152">
        <f>IF(OR('Données projet'!B16="",'Données projet'!C16="",'Données projet'!C16=0%),0,Calculateur!FJ3)</f>
        <v>0</v>
      </c>
      <c r="D13" s="152">
        <f>IF(OR('Données projet'!B16="",'Données projet'!C16="",'Données projet'!C16=0%),0,Calculateur!FK3)</f>
        <v>0</v>
      </c>
      <c r="E13" s="152">
        <f t="shared" si="0"/>
        <v>0</v>
      </c>
      <c r="F13" s="152">
        <f t="shared" si="1"/>
        <v>0</v>
      </c>
      <c r="G13" s="152">
        <f>F13*(100%-'Données projet'!$C$24)*(100%-'Données projet'!$C$25)*(100%-'Données projet'!$C$26)*(100%-'Données projet'!$C$27)</f>
        <v>0</v>
      </c>
      <c r="H13" s="160">
        <f>IF(OR('Données projet'!B16="",'Données projet'!C16="",'Données projet'!C16=0%),0,AVERAGE(Calculateur!$FT$3:$FT$33)*B13)</f>
        <v>0</v>
      </c>
      <c r="I13" s="154">
        <f>H13*(100%-'Données projet'!$C$24)*(100%-'Données projet'!$C$25)*(100%-'Données projet'!$C$26)*(100%-'Données projet'!$C$27)</f>
        <v>0</v>
      </c>
      <c r="J13" s="155">
        <f>IF(OR('Données projet'!C16="",'Données projet'!C16=0%),0,SUM(Calculateur!$FM$3:$FM$33)*VLOOKUP('Données projet'!$B$16,Paramètres!$A$1:$I$89,9,0)*B13)</f>
        <v>0</v>
      </c>
      <c r="K13" s="156">
        <f>J13*(100%-'Données projet'!$C$24)*(100%-'Données projet'!$C$25)*(100%-'Données projet'!$C$26)*(100%-'Données projet'!$C$27)</f>
        <v>0</v>
      </c>
      <c r="L13" s="157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58" t="str">
        <f>IF('Données projet'!$B$17="","",'Données projet'!$B$17)</f>
        <v/>
      </c>
      <c r="B14" s="159">
        <f>'Données projet'!D17</f>
        <v>0</v>
      </c>
      <c r="C14" s="152">
        <f>IF(OR('Données projet'!B17="",'Données projet'!C17="",'Données projet'!C17=0%),0,Calculateur!GE3)</f>
        <v>0</v>
      </c>
      <c r="D14" s="152">
        <f>IF(OR('Données projet'!B17="",'Données projet'!C17="",'Données projet'!C17=0%),0,Calculateur!GF3)</f>
        <v>0</v>
      </c>
      <c r="E14" s="152">
        <f t="shared" si="0"/>
        <v>0</v>
      </c>
      <c r="F14" s="152">
        <f t="shared" si="1"/>
        <v>0</v>
      </c>
      <c r="G14" s="152">
        <f>F14*(100%-'Données projet'!$C$24)*(100%-'Données projet'!$C$25)*(100%-'Données projet'!$C$26)*(100%-'Données projet'!$C$27)</f>
        <v>0</v>
      </c>
      <c r="H14" s="160">
        <f>IF(OR('Données projet'!B17="",'Données projet'!C17="",'Données projet'!C17=0%),0,AVERAGE(Calculateur!$GO$3:$GO$33)*B14)</f>
        <v>0</v>
      </c>
      <c r="I14" s="154">
        <f>H14*(100%-'Données projet'!$C$24)*(100%-'Données projet'!$C$25)*(100%-'Données projet'!$C$26)*(100%-'Données projet'!$C$27)</f>
        <v>0</v>
      </c>
      <c r="J14" s="155">
        <f>IF(OR('Données projet'!B17="",'Données projet'!C17="",'Données projet'!C17=0%),0,SUM(Calculateur!$GH$3:$GH$33)*VLOOKUP('Données projet'!$B$17,Paramètres!$A$1:$I$89,9,0)*B14)</f>
        <v>0</v>
      </c>
      <c r="K14" s="156">
        <f>J14*(100%-'Données projet'!$C$24)*(100%-'Données projet'!$C$25)*(100%-'Données projet'!$C$26)*(100%-'Données projet'!$C$27)</f>
        <v>0</v>
      </c>
      <c r="L14" s="157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1" t="str">
        <f>IF('Données projet'!B18="","",'Données projet'!B18)</f>
        <v/>
      </c>
      <c r="B15" s="162">
        <f>'Données projet'!D18</f>
        <v>0</v>
      </c>
      <c r="C15" s="163">
        <f>IF(OR('Données projet'!B18="",'Données projet'!C18="",'Données projet'!C18=0%),0,Calculateur!GZ3)</f>
        <v>0</v>
      </c>
      <c r="D15" s="163">
        <f>IF(OR('Données projet'!B18="",'Données projet'!C18="",'Données projet'!C18=0%),0,Calculateur!HA3)</f>
        <v>0</v>
      </c>
      <c r="E15" s="163">
        <f t="shared" si="0"/>
        <v>0</v>
      </c>
      <c r="F15" s="164">
        <f t="shared" si="1"/>
        <v>0</v>
      </c>
      <c r="G15" s="164">
        <f>F15*(100%-'Données projet'!$C$24)*(100%-'Données projet'!$C$25)*(100%-'Données projet'!$C$26)*(100%-'Données projet'!$C$27)</f>
        <v>0</v>
      </c>
      <c r="H15" s="165">
        <f>IF(OR('Données projet'!B18="",'Données projet'!C18="",'Données projet'!C18=0%),0,AVERAGE(Calculateur!$HJ$3:$HJ$33)*B15)</f>
        <v>0</v>
      </c>
      <c r="I15" s="166">
        <f>H15*(100%-'Données projet'!$C$24)*(100%-'Données projet'!$C$25)*(100%-'Données projet'!$C$26)*(100%-'Données projet'!$C$27)</f>
        <v>0</v>
      </c>
      <c r="J15" s="167">
        <f>IF(OR('Données projet'!B18="",'Données projet'!C18="",'Données projet'!C18=0%),0,SUM(Calculateur!$HC$3:$HC$33)*VLOOKUP('Données projet'!$B$18,Paramètres!$A$1:$I$89,9,0)*B15)</f>
        <v>0</v>
      </c>
      <c r="K15" s="168">
        <f>J15*(100%-'Données projet'!$C$24)*(100%-'Données projet'!$C$25)*(100%-'Données projet'!$C$26)*(100%-'Données projet'!$C$27)</f>
        <v>0</v>
      </c>
      <c r="L15" s="169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2"/>
      <c r="B16" s="229"/>
      <c r="C16" s="230"/>
      <c r="D16" s="25"/>
      <c r="E16" s="25"/>
      <c r="F16" s="170">
        <f t="shared" ref="F16:L16" ca="1" si="3">SUM(F6:F15)</f>
        <v>1436.1820647951852</v>
      </c>
      <c r="G16" s="171">
        <f t="shared" ca="1" si="3"/>
        <v>1098.6792795683168</v>
      </c>
      <c r="H16" s="172">
        <f t="shared" si="3"/>
        <v>53.650580748558959</v>
      </c>
      <c r="I16" s="172">
        <f t="shared" si="3"/>
        <v>41.042694272647601</v>
      </c>
      <c r="J16" s="173">
        <f t="shared" si="3"/>
        <v>442.76437575641023</v>
      </c>
      <c r="K16" s="173">
        <f t="shared" si="3"/>
        <v>338.71474745365384</v>
      </c>
      <c r="L16" s="174">
        <f t="shared" ca="1" si="3"/>
        <v>1478.4367212946183</v>
      </c>
      <c r="M16" s="25">
        <f ca="1">L16/9.24</f>
        <v>160.00397416608422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2"/>
      <c r="B17" s="229"/>
      <c r="C17" s="230"/>
      <c r="D17" s="227"/>
      <c r="E17" s="227"/>
      <c r="F17" s="316" t="s">
        <v>246</v>
      </c>
      <c r="G17" s="317"/>
      <c r="H17" s="317"/>
      <c r="I17" s="317"/>
      <c r="J17" s="317"/>
      <c r="K17" s="317"/>
      <c r="L17" s="317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2"/>
      <c r="B18" s="229"/>
      <c r="C18" s="230"/>
      <c r="D18" s="227"/>
      <c r="E18" s="227"/>
      <c r="F18" s="318"/>
      <c r="G18" s="318"/>
      <c r="H18" s="318"/>
      <c r="I18" s="318"/>
      <c r="J18" s="318"/>
      <c r="K18" s="318"/>
      <c r="L18" s="318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7"/>
      <c r="J19" s="227"/>
      <c r="K19" s="227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7"/>
      <c r="J20" s="227"/>
      <c r="K20" s="227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5" t="str">
        <f>A6</f>
        <v>Chêne pubescent</v>
      </c>
      <c r="B21" s="5"/>
      <c r="C21" s="5"/>
      <c r="D21" s="5"/>
      <c r="E21" s="5"/>
      <c r="F21" s="5"/>
      <c r="G21" s="5"/>
      <c r="H21" s="5"/>
      <c r="I21" s="227"/>
      <c r="J21" s="227"/>
      <c r="K21" s="227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7"/>
      <c r="J22" s="227"/>
      <c r="K22" s="227"/>
      <c r="L22" s="227"/>
      <c r="M22" s="227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7"/>
      <c r="J23" s="227"/>
      <c r="K23" s="227"/>
      <c r="L23" s="227"/>
      <c r="M23" s="227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7"/>
      <c r="J24" s="227"/>
      <c r="K24" s="227"/>
      <c r="L24" s="227"/>
      <c r="M24" s="227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7"/>
      <c r="J25" s="227"/>
      <c r="K25" s="227"/>
      <c r="L25" s="227"/>
      <c r="M25" s="227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7"/>
      <c r="J26" s="227"/>
      <c r="K26" s="227"/>
      <c r="L26" s="227"/>
      <c r="M26" s="227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7"/>
      <c r="J27" s="227"/>
      <c r="K27" s="227"/>
      <c r="L27" s="227"/>
      <c r="M27" s="227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7"/>
      <c r="J28" s="227"/>
      <c r="K28" s="227"/>
      <c r="L28" s="227"/>
      <c r="M28" s="227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7"/>
      <c r="J29" s="227"/>
      <c r="K29" s="227"/>
      <c r="L29" s="227"/>
      <c r="M29" s="227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7"/>
      <c r="J30" s="227"/>
      <c r="K30" s="227"/>
      <c r="L30" s="227"/>
      <c r="M30" s="227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7"/>
      <c r="J31" s="227"/>
      <c r="K31" s="227"/>
      <c r="L31" s="227"/>
      <c r="M31" s="227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7"/>
      <c r="J32" s="227"/>
      <c r="K32" s="227"/>
      <c r="L32" s="227"/>
      <c r="M32" s="227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7"/>
      <c r="J33" s="227"/>
      <c r="K33" s="227"/>
      <c r="L33" s="227"/>
      <c r="M33" s="227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7"/>
      <c r="J34" s="227"/>
      <c r="K34" s="227"/>
      <c r="L34" s="227"/>
      <c r="M34" s="227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7"/>
      <c r="J35" s="227"/>
      <c r="K35" s="227"/>
      <c r="L35" s="227"/>
      <c r="M35" s="227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7"/>
      <c r="J36" s="227"/>
      <c r="K36" s="227"/>
      <c r="L36" s="227"/>
      <c r="M36" s="227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7"/>
      <c r="J37" s="227"/>
      <c r="K37" s="227"/>
      <c r="L37" s="227"/>
      <c r="M37" s="227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7"/>
      <c r="J38" s="227"/>
      <c r="K38" s="227"/>
      <c r="L38" s="227"/>
      <c r="M38" s="227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5" t="str">
        <f>A7</f>
        <v>Pin maritime</v>
      </c>
      <c r="B39" s="5"/>
      <c r="C39" s="5"/>
      <c r="D39" s="5"/>
      <c r="E39" s="5"/>
      <c r="F39" s="5"/>
      <c r="G39" s="5"/>
      <c r="H39" s="5"/>
      <c r="I39" s="227"/>
      <c r="J39" s="227"/>
      <c r="K39" s="227"/>
      <c r="L39" s="227"/>
      <c r="M39" s="227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7"/>
      <c r="J40" s="227"/>
      <c r="K40" s="227"/>
      <c r="L40" s="227"/>
      <c r="M40" s="227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7"/>
      <c r="J41" s="227"/>
      <c r="K41" s="227"/>
      <c r="L41" s="227"/>
      <c r="M41" s="227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7"/>
      <c r="J42" s="227"/>
      <c r="K42" s="227"/>
      <c r="L42" s="227"/>
      <c r="M42" s="227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7"/>
      <c r="J43" s="227"/>
      <c r="K43" s="227"/>
      <c r="L43" s="227"/>
      <c r="M43" s="227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7"/>
      <c r="J44" s="227"/>
      <c r="K44" s="227"/>
      <c r="L44" s="227"/>
      <c r="M44" s="227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7"/>
      <c r="J45" s="227"/>
      <c r="K45" s="227"/>
      <c r="L45" s="227"/>
      <c r="M45" s="227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7"/>
      <c r="J46" s="227"/>
      <c r="K46" s="227"/>
      <c r="L46" s="227"/>
      <c r="M46" s="227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7"/>
      <c r="J47" s="227"/>
      <c r="K47" s="227"/>
      <c r="L47" s="227"/>
      <c r="M47" s="227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7"/>
      <c r="J48" s="227"/>
      <c r="K48" s="227"/>
      <c r="L48" s="227"/>
      <c r="M48" s="227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7"/>
      <c r="J49" s="227"/>
      <c r="K49" s="227"/>
      <c r="L49" s="227"/>
      <c r="M49" s="227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7"/>
      <c r="J50" s="227"/>
      <c r="K50" s="227"/>
      <c r="L50" s="227"/>
      <c r="M50" s="227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7"/>
      <c r="J51" s="227"/>
      <c r="K51" s="227"/>
      <c r="L51" s="227"/>
      <c r="M51" s="227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7"/>
      <c r="J52" s="227"/>
      <c r="K52" s="227"/>
      <c r="L52" s="227"/>
      <c r="M52" s="227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7"/>
      <c r="J53" s="227"/>
      <c r="K53" s="227"/>
      <c r="L53" s="227"/>
      <c r="M53" s="227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7"/>
      <c r="J54" s="227"/>
      <c r="K54" s="227"/>
      <c r="L54" s="227"/>
      <c r="M54" s="227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7"/>
      <c r="J55" s="227"/>
      <c r="K55" s="227"/>
      <c r="L55" s="227"/>
      <c r="M55" s="227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7"/>
      <c r="J56" s="227"/>
      <c r="K56" s="227"/>
      <c r="L56" s="227"/>
      <c r="M56" s="227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5" t="str">
        <f>A8</f>
        <v>Chêne chevelu</v>
      </c>
      <c r="B57" s="5"/>
      <c r="C57" s="5"/>
      <c r="D57" s="5"/>
      <c r="E57" s="5"/>
      <c r="F57" s="5"/>
      <c r="G57" s="5"/>
      <c r="H57" s="5"/>
      <c r="I57" s="227"/>
      <c r="J57" s="227"/>
      <c r="K57" s="227"/>
      <c r="L57" s="227"/>
      <c r="M57" s="227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7"/>
      <c r="J58" s="227"/>
      <c r="K58" s="227"/>
      <c r="L58" s="227"/>
      <c r="M58" s="227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7"/>
      <c r="J59" s="227"/>
      <c r="K59" s="227"/>
      <c r="L59" s="227"/>
      <c r="M59" s="227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7"/>
      <c r="J60" s="227"/>
      <c r="K60" s="227"/>
      <c r="L60" s="227"/>
      <c r="M60" s="227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7"/>
      <c r="J61" s="227"/>
      <c r="K61" s="227"/>
      <c r="L61" s="227"/>
      <c r="M61" s="227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7"/>
      <c r="J62" s="227"/>
      <c r="K62" s="227"/>
      <c r="L62" s="227"/>
      <c r="M62" s="227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7"/>
      <c r="J63" s="227"/>
      <c r="K63" s="227"/>
      <c r="L63" s="227"/>
      <c r="M63" s="227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7"/>
      <c r="J64" s="227"/>
      <c r="K64" s="227"/>
      <c r="L64" s="227"/>
      <c r="M64" s="227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7"/>
      <c r="J65" s="227"/>
      <c r="K65" s="227"/>
      <c r="L65" s="227"/>
      <c r="M65" s="227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7"/>
      <c r="J66" s="227"/>
      <c r="K66" s="227"/>
      <c r="L66" s="227"/>
      <c r="M66" s="227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7"/>
      <c r="J67" s="227"/>
      <c r="K67" s="227"/>
      <c r="L67" s="227"/>
      <c r="M67" s="227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7"/>
      <c r="J68" s="227"/>
      <c r="K68" s="227"/>
      <c r="L68" s="227"/>
      <c r="M68" s="227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7"/>
      <c r="J69" s="227"/>
      <c r="K69" s="227"/>
      <c r="L69" s="227"/>
      <c r="M69" s="227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7"/>
      <c r="J70" s="227"/>
      <c r="K70" s="227"/>
      <c r="L70" s="227"/>
      <c r="M70" s="227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7"/>
      <c r="J71" s="227"/>
      <c r="K71" s="227"/>
      <c r="L71" s="227"/>
      <c r="M71" s="227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7"/>
      <c r="J72" s="227"/>
      <c r="K72" s="227"/>
      <c r="L72" s="227"/>
      <c r="M72" s="227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7"/>
      <c r="J73" s="227"/>
      <c r="K73" s="227"/>
      <c r="L73" s="227"/>
      <c r="M73" s="227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7"/>
      <c r="J74" s="227"/>
      <c r="K74" s="227"/>
      <c r="L74" s="227"/>
      <c r="M74" s="227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7"/>
      <c r="J75" s="227"/>
      <c r="K75" s="227"/>
      <c r="L75" s="227"/>
      <c r="M75" s="227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5" t="str">
        <f>A9</f>
        <v>Cèdre de l'Atlas</v>
      </c>
      <c r="B76" s="5"/>
      <c r="C76" s="5"/>
      <c r="D76" s="5"/>
      <c r="E76" s="5"/>
      <c r="F76" s="5"/>
      <c r="G76" s="5"/>
      <c r="H76" s="5"/>
      <c r="I76" s="227"/>
      <c r="J76" s="227"/>
      <c r="K76" s="227"/>
      <c r="L76" s="227"/>
      <c r="M76" s="227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7"/>
      <c r="J77" s="227"/>
      <c r="K77" s="227"/>
      <c r="L77" s="227"/>
      <c r="M77" s="227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7"/>
      <c r="J78" s="227"/>
      <c r="K78" s="227"/>
      <c r="L78" s="227"/>
      <c r="M78" s="227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7"/>
      <c r="J79" s="227"/>
      <c r="K79" s="227"/>
      <c r="L79" s="227"/>
      <c r="M79" s="227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7"/>
      <c r="J80" s="227"/>
      <c r="K80" s="227"/>
      <c r="L80" s="227"/>
      <c r="M80" s="227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7"/>
      <c r="J81" s="227"/>
      <c r="K81" s="227"/>
      <c r="L81" s="227"/>
      <c r="M81" s="227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7"/>
      <c r="J82" s="227"/>
      <c r="K82" s="227"/>
      <c r="L82" s="227"/>
      <c r="M82" s="227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7"/>
      <c r="J83" s="227"/>
      <c r="K83" s="227"/>
      <c r="L83" s="227"/>
      <c r="M83" s="227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7"/>
      <c r="J84" s="227"/>
      <c r="K84" s="227"/>
      <c r="L84" s="227"/>
      <c r="M84" s="227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7"/>
      <c r="J85" s="227"/>
      <c r="K85" s="227"/>
      <c r="L85" s="227"/>
      <c r="M85" s="227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7"/>
      <c r="J86" s="227"/>
      <c r="K86" s="227"/>
      <c r="L86" s="227"/>
      <c r="M86" s="227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7"/>
      <c r="J87" s="227"/>
      <c r="K87" s="227"/>
      <c r="L87" s="227"/>
      <c r="M87" s="227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7"/>
      <c r="J88" s="227"/>
      <c r="K88" s="227"/>
      <c r="L88" s="227"/>
      <c r="M88" s="227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7"/>
      <c r="J89" s="227"/>
      <c r="K89" s="227"/>
      <c r="L89" s="227"/>
      <c r="M89" s="227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7"/>
      <c r="J90" s="227"/>
      <c r="K90" s="227"/>
      <c r="L90" s="227"/>
      <c r="M90" s="227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7"/>
      <c r="J91" s="227"/>
      <c r="K91" s="227"/>
      <c r="L91" s="227"/>
      <c r="M91" s="227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7"/>
      <c r="J92" s="227"/>
      <c r="K92" s="227"/>
      <c r="L92" s="227"/>
      <c r="M92" s="227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7"/>
      <c r="J93" s="227"/>
      <c r="K93" s="227"/>
      <c r="L93" s="227"/>
      <c r="M93" s="227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5" t="str">
        <f>A10</f>
        <v>Chêne rouge d'Amérique</v>
      </c>
      <c r="B94" s="5"/>
      <c r="C94" s="5"/>
      <c r="D94" s="5"/>
      <c r="E94" s="5"/>
      <c r="F94" s="5"/>
      <c r="G94" s="5"/>
      <c r="H94" s="5"/>
      <c r="I94" s="227"/>
      <c r="J94" s="227"/>
      <c r="K94" s="227"/>
      <c r="L94" s="227"/>
      <c r="M94" s="227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7"/>
      <c r="J95" s="227"/>
      <c r="K95" s="227"/>
      <c r="L95" s="227"/>
      <c r="M95" s="227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7"/>
      <c r="J96" s="227"/>
      <c r="K96" s="227"/>
      <c r="L96" s="227"/>
      <c r="M96" s="227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7"/>
      <c r="J97" s="227"/>
      <c r="K97" s="227"/>
      <c r="L97" s="227"/>
      <c r="M97" s="227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7"/>
      <c r="J98" s="227"/>
      <c r="K98" s="227"/>
      <c r="L98" s="227"/>
      <c r="M98" s="227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7"/>
      <c r="J99" s="227"/>
      <c r="K99" s="227"/>
      <c r="L99" s="227"/>
      <c r="M99" s="227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7"/>
      <c r="J100" s="227"/>
      <c r="K100" s="227"/>
      <c r="L100" s="227"/>
      <c r="M100" s="227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7"/>
      <c r="J101" s="227"/>
      <c r="K101" s="227"/>
      <c r="L101" s="227"/>
      <c r="M101" s="227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7"/>
      <c r="J102" s="227"/>
      <c r="K102" s="227"/>
      <c r="L102" s="227"/>
      <c r="M102" s="227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7"/>
      <c r="J103" s="227"/>
      <c r="K103" s="227"/>
      <c r="L103" s="227"/>
      <c r="M103" s="227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7"/>
      <c r="J104" s="227"/>
      <c r="K104" s="227"/>
      <c r="L104" s="227"/>
      <c r="M104" s="227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7"/>
      <c r="J105" s="227"/>
      <c r="K105" s="227"/>
      <c r="L105" s="227"/>
      <c r="M105" s="227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7"/>
      <c r="J106" s="227"/>
      <c r="K106" s="227"/>
      <c r="L106" s="227"/>
      <c r="M106" s="227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7"/>
      <c r="J107" s="227"/>
      <c r="K107" s="227"/>
      <c r="L107" s="227"/>
      <c r="M107" s="227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7"/>
      <c r="J108" s="227"/>
      <c r="K108" s="227"/>
      <c r="L108" s="227"/>
      <c r="M108" s="227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7"/>
      <c r="J109" s="227"/>
      <c r="K109" s="227"/>
      <c r="L109" s="227"/>
      <c r="M109" s="227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7"/>
      <c r="J110" s="227"/>
      <c r="K110" s="227"/>
      <c r="L110" s="227"/>
      <c r="M110" s="227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7"/>
      <c r="J111" s="227"/>
      <c r="K111" s="227"/>
      <c r="L111" s="227"/>
      <c r="M111" s="227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5" t="str">
        <f>A11</f>
        <v>Chêne sessile</v>
      </c>
      <c r="B112" s="5"/>
      <c r="C112" s="5"/>
      <c r="D112" s="5"/>
      <c r="E112" s="5"/>
      <c r="F112" s="5"/>
      <c r="G112" s="5"/>
      <c r="H112" s="5"/>
      <c r="I112" s="227"/>
      <c r="J112" s="227"/>
      <c r="K112" s="227"/>
      <c r="L112" s="227"/>
      <c r="M112" s="227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7"/>
      <c r="J113" s="227"/>
      <c r="K113" s="227"/>
      <c r="L113" s="227"/>
      <c r="M113" s="227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7"/>
      <c r="J114" s="227"/>
      <c r="K114" s="227"/>
      <c r="L114" s="227"/>
      <c r="M114" s="227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7"/>
      <c r="J115" s="227"/>
      <c r="K115" s="227"/>
      <c r="L115" s="227"/>
      <c r="M115" s="227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7"/>
      <c r="J116" s="227"/>
      <c r="K116" s="227"/>
      <c r="L116" s="227"/>
      <c r="M116" s="227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7"/>
      <c r="J117" s="227"/>
      <c r="K117" s="227"/>
      <c r="L117" s="227"/>
      <c r="M117" s="227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7"/>
      <c r="J118" s="227"/>
      <c r="K118" s="227"/>
      <c r="L118" s="227"/>
      <c r="M118" s="227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7"/>
      <c r="J119" s="227"/>
      <c r="K119" s="227"/>
      <c r="L119" s="227"/>
      <c r="M119" s="227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7"/>
      <c r="J120" s="227"/>
      <c r="K120" s="227"/>
      <c r="L120" s="227"/>
      <c r="M120" s="227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7"/>
      <c r="J121" s="227"/>
      <c r="K121" s="227"/>
      <c r="L121" s="227"/>
      <c r="M121" s="227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7"/>
      <c r="J122" s="227"/>
      <c r="K122" s="227"/>
      <c r="L122" s="227"/>
      <c r="M122" s="227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7"/>
      <c r="J123" s="227"/>
      <c r="K123" s="227"/>
      <c r="L123" s="227"/>
      <c r="M123" s="227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7"/>
      <c r="J124" s="227"/>
      <c r="K124" s="227"/>
      <c r="L124" s="227"/>
      <c r="M124" s="227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7"/>
      <c r="J125" s="227"/>
      <c r="K125" s="227"/>
      <c r="L125" s="227"/>
      <c r="M125" s="227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7"/>
      <c r="J126" s="227"/>
      <c r="K126" s="227"/>
      <c r="L126" s="227"/>
      <c r="M126" s="227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7"/>
      <c r="J127" s="227"/>
      <c r="K127" s="227"/>
      <c r="L127" s="227"/>
      <c r="M127" s="227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7"/>
      <c r="J128" s="227"/>
      <c r="K128" s="227"/>
      <c r="L128" s="227"/>
      <c r="M128" s="227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7"/>
      <c r="J129" s="227"/>
      <c r="K129" s="227"/>
      <c r="L129" s="227"/>
      <c r="M129" s="227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5" t="str">
        <f>A12</f>
        <v/>
      </c>
      <c r="B130" s="5"/>
      <c r="C130" s="5"/>
      <c r="D130" s="5"/>
      <c r="E130" s="5"/>
      <c r="F130" s="5"/>
      <c r="G130" s="5"/>
      <c r="H130" s="5"/>
      <c r="I130" s="227"/>
      <c r="J130" s="227"/>
      <c r="K130" s="227"/>
      <c r="L130" s="227"/>
      <c r="M130" s="227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7"/>
      <c r="J131" s="227"/>
      <c r="K131" s="227"/>
      <c r="L131" s="227"/>
      <c r="M131" s="227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7"/>
      <c r="J132" s="227"/>
      <c r="K132" s="227"/>
      <c r="L132" s="227"/>
      <c r="M132" s="227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7"/>
      <c r="J133" s="227"/>
      <c r="K133" s="227"/>
      <c r="L133" s="227"/>
      <c r="M133" s="227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7"/>
      <c r="J134" s="227"/>
      <c r="K134" s="227"/>
      <c r="L134" s="227"/>
      <c r="M134" s="227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7"/>
      <c r="J135" s="227"/>
      <c r="K135" s="227"/>
      <c r="L135" s="227"/>
      <c r="M135" s="227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7"/>
      <c r="J136" s="227"/>
      <c r="K136" s="227"/>
      <c r="L136" s="227"/>
      <c r="M136" s="227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7"/>
      <c r="J137" s="227"/>
      <c r="K137" s="227"/>
      <c r="L137" s="227"/>
      <c r="M137" s="227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7"/>
      <c r="J138" s="227"/>
      <c r="K138" s="227"/>
      <c r="L138" s="227"/>
      <c r="M138" s="227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7"/>
      <c r="J139" s="227"/>
      <c r="K139" s="227"/>
      <c r="L139" s="227"/>
      <c r="M139" s="227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7"/>
      <c r="J140" s="227"/>
      <c r="K140" s="227"/>
      <c r="L140" s="227"/>
      <c r="M140" s="227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7"/>
      <c r="J141" s="227"/>
      <c r="K141" s="227"/>
      <c r="L141" s="227"/>
      <c r="M141" s="227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7"/>
      <c r="J142" s="227"/>
      <c r="K142" s="227"/>
      <c r="L142" s="227"/>
      <c r="M142" s="227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7"/>
      <c r="J143" s="227"/>
      <c r="K143" s="227"/>
      <c r="L143" s="227"/>
      <c r="M143" s="227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7"/>
      <c r="J144" s="227"/>
      <c r="K144" s="227"/>
      <c r="L144" s="227"/>
      <c r="M144" s="227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7"/>
      <c r="J145" s="227"/>
      <c r="K145" s="227"/>
      <c r="L145" s="227"/>
      <c r="M145" s="227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7"/>
      <c r="J146" s="227"/>
      <c r="K146" s="227"/>
      <c r="L146" s="227"/>
      <c r="M146" s="227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7"/>
      <c r="J147" s="227"/>
      <c r="K147" s="227"/>
      <c r="L147" s="227"/>
      <c r="M147" s="227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5" t="str">
        <f>A13</f>
        <v/>
      </c>
      <c r="B148" s="5"/>
      <c r="C148" s="5"/>
      <c r="D148" s="5"/>
      <c r="E148" s="5"/>
      <c r="F148" s="5"/>
      <c r="G148" s="5"/>
      <c r="H148" s="5"/>
      <c r="I148" s="227"/>
      <c r="J148" s="227"/>
      <c r="K148" s="227"/>
      <c r="L148" s="227"/>
      <c r="M148" s="227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7"/>
      <c r="J149" s="227"/>
      <c r="K149" s="227"/>
      <c r="L149" s="227"/>
      <c r="M149" s="227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7"/>
      <c r="J150" s="227"/>
      <c r="K150" s="227"/>
      <c r="L150" s="227"/>
      <c r="M150" s="227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7"/>
      <c r="J151" s="227"/>
      <c r="K151" s="227"/>
      <c r="L151" s="227"/>
      <c r="M151" s="227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7"/>
      <c r="J152" s="227"/>
      <c r="K152" s="227"/>
      <c r="L152" s="227"/>
      <c r="M152" s="227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7"/>
      <c r="J153" s="227"/>
      <c r="K153" s="227"/>
      <c r="L153" s="227"/>
      <c r="M153" s="227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7"/>
      <c r="J154" s="227"/>
      <c r="K154" s="227"/>
      <c r="L154" s="227"/>
      <c r="M154" s="227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7"/>
      <c r="J155" s="227"/>
      <c r="K155" s="227"/>
      <c r="L155" s="227"/>
      <c r="M155" s="227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7"/>
      <c r="J156" s="227"/>
      <c r="K156" s="227"/>
      <c r="L156" s="227"/>
      <c r="M156" s="227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7"/>
      <c r="J157" s="227"/>
      <c r="K157" s="227"/>
      <c r="L157" s="227"/>
      <c r="M157" s="227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7"/>
      <c r="J158" s="227"/>
      <c r="K158" s="227"/>
      <c r="L158" s="227"/>
      <c r="M158" s="227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7"/>
      <c r="J159" s="227"/>
      <c r="K159" s="227"/>
      <c r="L159" s="227"/>
      <c r="M159" s="227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7"/>
      <c r="J160" s="227"/>
      <c r="K160" s="227"/>
      <c r="L160" s="227"/>
      <c r="M160" s="227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7"/>
      <c r="J161" s="227"/>
      <c r="K161" s="227"/>
      <c r="L161" s="227"/>
      <c r="M161" s="227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7"/>
      <c r="J162" s="227"/>
      <c r="K162" s="227"/>
      <c r="L162" s="227"/>
      <c r="M162" s="227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7"/>
      <c r="J163" s="227"/>
      <c r="K163" s="227"/>
      <c r="L163" s="227"/>
      <c r="M163" s="227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7"/>
      <c r="J164" s="227"/>
      <c r="K164" s="227"/>
      <c r="L164" s="227"/>
      <c r="M164" s="227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7"/>
      <c r="J165" s="227"/>
      <c r="K165" s="227"/>
      <c r="L165" s="227"/>
      <c r="M165" s="227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5" t="str">
        <f>A14</f>
        <v/>
      </c>
      <c r="B166" s="5"/>
      <c r="C166" s="5"/>
      <c r="D166" s="5"/>
      <c r="E166" s="5"/>
      <c r="F166" s="5"/>
      <c r="G166" s="5"/>
      <c r="H166" s="5"/>
      <c r="I166" s="227"/>
      <c r="J166" s="227"/>
      <c r="K166" s="227"/>
      <c r="L166" s="227"/>
      <c r="M166" s="227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7"/>
      <c r="J167" s="227"/>
      <c r="K167" s="227"/>
      <c r="L167" s="227"/>
      <c r="M167" s="227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7"/>
      <c r="J168" s="227"/>
      <c r="K168" s="227"/>
      <c r="L168" s="227"/>
      <c r="M168" s="227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7"/>
      <c r="J169" s="227"/>
      <c r="K169" s="227"/>
      <c r="L169" s="227"/>
      <c r="M169" s="227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7"/>
      <c r="J170" s="227"/>
      <c r="K170" s="227"/>
      <c r="L170" s="227"/>
      <c r="M170" s="227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7"/>
      <c r="J171" s="227"/>
      <c r="K171" s="227"/>
      <c r="L171" s="227"/>
      <c r="M171" s="227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7"/>
      <c r="J172" s="227"/>
      <c r="K172" s="227"/>
      <c r="L172" s="227"/>
      <c r="M172" s="227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7"/>
      <c r="J173" s="227"/>
      <c r="K173" s="227"/>
      <c r="L173" s="227"/>
      <c r="M173" s="227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7"/>
      <c r="J174" s="227"/>
      <c r="K174" s="227"/>
      <c r="L174" s="227"/>
      <c r="M174" s="227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7"/>
      <c r="J175" s="227"/>
      <c r="K175" s="227"/>
      <c r="L175" s="227"/>
      <c r="M175" s="227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7"/>
      <c r="J176" s="227"/>
      <c r="K176" s="227"/>
      <c r="L176" s="227"/>
      <c r="M176" s="227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7"/>
      <c r="J177" s="227"/>
      <c r="K177" s="227"/>
      <c r="L177" s="227"/>
      <c r="M177" s="227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7"/>
      <c r="J178" s="227"/>
      <c r="K178" s="227"/>
      <c r="L178" s="227"/>
      <c r="M178" s="227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7"/>
      <c r="J179" s="227"/>
      <c r="K179" s="227"/>
      <c r="L179" s="227"/>
      <c r="M179" s="227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7"/>
      <c r="J180" s="227"/>
      <c r="K180" s="227"/>
      <c r="L180" s="227"/>
      <c r="M180" s="227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7"/>
      <c r="J181" s="227"/>
      <c r="K181" s="227"/>
      <c r="L181" s="227"/>
      <c r="M181" s="227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7"/>
      <c r="J182" s="227"/>
      <c r="K182" s="227"/>
      <c r="L182" s="227"/>
      <c r="M182" s="227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7"/>
      <c r="J183" s="227"/>
      <c r="K183" s="227"/>
      <c r="L183" s="227"/>
      <c r="M183" s="227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5" t="str">
        <f>A15</f>
        <v/>
      </c>
      <c r="B184" s="5"/>
      <c r="C184" s="5"/>
      <c r="D184" s="5"/>
      <c r="E184" s="5"/>
      <c r="F184" s="5"/>
      <c r="G184" s="5"/>
      <c r="H184" s="5"/>
      <c r="I184" s="227"/>
      <c r="J184" s="227"/>
      <c r="K184" s="227"/>
      <c r="L184" s="227"/>
      <c r="M184" s="227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7"/>
      <c r="J185" s="227"/>
      <c r="K185" s="227"/>
      <c r="L185" s="227"/>
      <c r="M185" s="227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7"/>
      <c r="J186" s="227"/>
      <c r="K186" s="227"/>
      <c r="L186" s="227"/>
      <c r="M186" s="227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7"/>
      <c r="J187" s="227"/>
      <c r="K187" s="227"/>
      <c r="L187" s="227"/>
      <c r="M187" s="227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7"/>
      <c r="J188" s="227"/>
      <c r="K188" s="227"/>
      <c r="L188" s="227"/>
      <c r="M188" s="227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7"/>
      <c r="J189" s="227"/>
      <c r="K189" s="227"/>
      <c r="L189" s="227"/>
      <c r="M189" s="227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7"/>
      <c r="J190" s="227"/>
      <c r="K190" s="227"/>
      <c r="L190" s="227"/>
      <c r="M190" s="227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7"/>
      <c r="J191" s="227"/>
      <c r="K191" s="227"/>
      <c r="L191" s="227"/>
      <c r="M191" s="227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7"/>
      <c r="J192" s="227"/>
      <c r="K192" s="227"/>
      <c r="L192" s="227"/>
      <c r="M192" s="227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7"/>
      <c r="J193" s="227"/>
      <c r="K193" s="227"/>
      <c r="L193" s="227"/>
      <c r="M193" s="227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7"/>
      <c r="J194" s="227"/>
      <c r="K194" s="227"/>
      <c r="L194" s="227"/>
      <c r="M194" s="227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7"/>
      <c r="J195" s="227"/>
      <c r="K195" s="227"/>
      <c r="L195" s="227"/>
      <c r="M195" s="227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7"/>
      <c r="J196" s="227"/>
      <c r="K196" s="227"/>
      <c r="L196" s="227"/>
      <c r="M196" s="227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7"/>
      <c r="J197" s="227"/>
      <c r="K197" s="227"/>
      <c r="L197" s="227"/>
      <c r="M197" s="227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7"/>
      <c r="J198" s="227"/>
      <c r="K198" s="227"/>
      <c r="L198" s="227"/>
      <c r="M198" s="227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7"/>
      <c r="J199" s="227"/>
      <c r="K199" s="227"/>
      <c r="L199" s="227"/>
      <c r="M199" s="227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7"/>
      <c r="J200" s="227"/>
      <c r="K200" s="227"/>
      <c r="L200" s="227"/>
      <c r="M200" s="227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7"/>
      <c r="J201" s="227"/>
      <c r="K201" s="227"/>
      <c r="L201" s="227"/>
      <c r="M201" s="227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7"/>
      <c r="J202" s="227"/>
      <c r="K202" s="227"/>
      <c r="L202" s="227"/>
      <c r="M202" s="227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7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180" zoomScale="70" zoomScaleNormal="70" workbookViewId="0">
      <selection activeCell="C172" sqref="C172:C19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4" t="s">
        <v>272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6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8" customFormat="1" x14ac:dyDescent="0.3">
      <c r="A3" s="95"/>
      <c r="B3" s="95"/>
      <c r="C3" s="95"/>
      <c r="D3" s="95"/>
      <c r="E3" s="95"/>
      <c r="F3" s="176"/>
      <c r="G3" s="176"/>
      <c r="H3" s="177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198" customFormat="1" x14ac:dyDescent="0.3">
      <c r="A4" s="95"/>
      <c r="B4" s="95"/>
      <c r="C4" s="95"/>
      <c r="D4" s="95"/>
      <c r="E4" s="95"/>
      <c r="G4" s="176"/>
      <c r="H4" s="336" t="s">
        <v>315</v>
      </c>
      <c r="I4" s="336"/>
      <c r="K4" s="333" t="s">
        <v>253</v>
      </c>
      <c r="L4" s="334"/>
      <c r="M4" s="264">
        <v>4.4999999999999998E-2</v>
      </c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198" customFormat="1" x14ac:dyDescent="0.3">
      <c r="A5" s="95"/>
      <c r="B5" s="95"/>
      <c r="C5" s="95"/>
      <c r="D5" s="95"/>
      <c r="E5" s="95"/>
      <c r="G5" s="176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198" customFormat="1" ht="15" thickBot="1" x14ac:dyDescent="0.35">
      <c r="A6" s="95"/>
      <c r="B6" s="95"/>
      <c r="C6" s="95"/>
      <c r="D6" s="95"/>
      <c r="E6" s="95"/>
      <c r="F6" s="225"/>
      <c r="G6" s="176"/>
      <c r="H6" s="178"/>
      <c r="I6" s="178"/>
      <c r="J6" s="178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198" customFormat="1" ht="27.75" customHeight="1" thickBot="1" x14ac:dyDescent="0.55000000000000004">
      <c r="A7" s="271"/>
      <c r="B7" s="272"/>
      <c r="C7" s="272"/>
      <c r="D7" s="272"/>
      <c r="E7" s="273"/>
      <c r="F7" s="273" t="s">
        <v>192</v>
      </c>
      <c r="G7" s="274"/>
      <c r="H7" s="272"/>
      <c r="I7" s="272"/>
      <c r="J7" s="275"/>
      <c r="K7" s="269"/>
      <c r="L7" s="270"/>
      <c r="M7" s="270"/>
      <c r="N7" s="276" t="s">
        <v>191</v>
      </c>
      <c r="O7" s="276"/>
      <c r="P7" s="277"/>
      <c r="Q7" s="278"/>
      <c r="R7" s="325" t="s">
        <v>310</v>
      </c>
      <c r="S7" s="326"/>
      <c r="T7" s="326"/>
      <c r="U7" s="326"/>
      <c r="V7" s="327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 x14ac:dyDescent="0.3">
      <c r="A8" s="25"/>
      <c r="C8" s="25"/>
      <c r="D8" s="25"/>
      <c r="E8" s="25"/>
      <c r="F8" s="217"/>
      <c r="G8" s="217"/>
      <c r="H8" s="5"/>
      <c r="I8" s="5"/>
      <c r="J8" s="210"/>
      <c r="K8" s="221"/>
      <c r="L8" s="25"/>
      <c r="M8" s="25"/>
      <c r="N8" s="25"/>
      <c r="O8" s="25"/>
      <c r="P8" s="25"/>
      <c r="Q8" s="261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6" t="s">
        <v>311</v>
      </c>
      <c r="C9" s="25"/>
      <c r="D9" s="25"/>
      <c r="E9" s="25"/>
      <c r="F9" s="257"/>
      <c r="G9" s="256" t="s">
        <v>314</v>
      </c>
      <c r="J9" s="210"/>
      <c r="K9" s="221"/>
      <c r="O9" s="25"/>
      <c r="P9" s="25"/>
      <c r="Q9" s="261"/>
      <c r="R9" s="25"/>
      <c r="S9" s="5"/>
      <c r="T9" s="181" t="s">
        <v>262</v>
      </c>
      <c r="U9" s="184" t="s">
        <v>249</v>
      </c>
      <c r="V9" s="181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6" t="s">
        <v>317</v>
      </c>
      <c r="C10" s="25"/>
      <c r="D10" s="25"/>
      <c r="E10" s="25"/>
      <c r="F10" s="257"/>
      <c r="G10" s="256" t="s">
        <v>316</v>
      </c>
      <c r="J10" s="210"/>
      <c r="K10" s="221"/>
      <c r="O10" s="25"/>
      <c r="P10" s="25"/>
      <c r="Q10" s="261"/>
      <c r="R10" s="25"/>
      <c r="S10" s="181" t="str">
        <f>B14</f>
        <v>Chêne pubescent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709.40710147359903</v>
      </c>
      <c r="U10" s="186">
        <f>'Données projet'!D9</f>
        <v>0.83000000000000007</v>
      </c>
      <c r="V10" s="185">
        <f>U10*T10</f>
        <v>588.80789422308726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6" t="s">
        <v>312</v>
      </c>
      <c r="B11" s="25"/>
      <c r="C11" s="25"/>
      <c r="D11" s="25"/>
      <c r="E11" s="25"/>
      <c r="F11" s="257"/>
      <c r="G11" s="256" t="s">
        <v>313</v>
      </c>
      <c r="J11" s="210"/>
      <c r="K11" s="221"/>
      <c r="M11" s="5"/>
      <c r="N11" s="5"/>
      <c r="O11" s="25"/>
      <c r="P11" s="25"/>
      <c r="Q11" s="261"/>
      <c r="R11" s="25"/>
      <c r="S11" s="181" t="str">
        <f>B45</f>
        <v>Pin maritime</v>
      </c>
      <c r="T11" s="26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2131.8875903328526</v>
      </c>
      <c r="U11" s="186">
        <f>'Données projet'!D10</f>
        <v>4.1500000000000004</v>
      </c>
      <c r="V11" s="185">
        <f t="shared" ref="V11" si="0">U11*T11</f>
        <v>8847.3334998813389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7"/>
      <c r="G12" s="1"/>
      <c r="J12" s="210"/>
      <c r="K12" s="221"/>
      <c r="L12" s="213"/>
      <c r="M12" s="25"/>
      <c r="N12" s="25"/>
      <c r="O12" s="25"/>
      <c r="P12" s="25"/>
      <c r="Q12" s="261"/>
      <c r="R12" s="25"/>
      <c r="S12" s="181" t="str">
        <f>B76</f>
        <v>Chêne chevelu</v>
      </c>
      <c r="T12" s="26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661.04343783385639</v>
      </c>
      <c r="U12" s="186">
        <f>'Données projet'!D11</f>
        <v>1.0790000000000002</v>
      </c>
      <c r="V12" s="185">
        <f t="shared" ref="V12:V19" si="1">U12*T12</f>
        <v>713.26586942273116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7"/>
      <c r="J13" s="25"/>
      <c r="K13" s="221"/>
      <c r="L13" s="180" t="s">
        <v>257</v>
      </c>
      <c r="M13" s="25"/>
      <c r="N13" s="25"/>
      <c r="O13" s="25"/>
      <c r="P13" s="25"/>
      <c r="Q13" s="261"/>
      <c r="R13" s="25"/>
      <c r="S13" s="181" t="str">
        <f>B107</f>
        <v>Cèdre de l'Atlas</v>
      </c>
      <c r="T13" s="26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800.53718012488901</v>
      </c>
      <c r="U13" s="186">
        <f>'Données projet'!D12</f>
        <v>1.0790000000000002</v>
      </c>
      <c r="V13" s="185">
        <f t="shared" si="1"/>
        <v>863.77961735475537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2" t="str">
        <f>IF('Données projet'!$B$9="","",'Données projet'!$B$9)</f>
        <v>Chêne pubescent</v>
      </c>
      <c r="C14" s="5"/>
      <c r="D14" s="5"/>
      <c r="E14" s="5"/>
      <c r="F14" s="257"/>
      <c r="G14" s="217"/>
      <c r="H14" s="181" t="s">
        <v>178</v>
      </c>
      <c r="I14" s="181" t="s">
        <v>290</v>
      </c>
      <c r="J14" s="211"/>
      <c r="K14" s="179"/>
      <c r="L14" s="213"/>
      <c r="M14" s="25"/>
      <c r="N14" s="25"/>
      <c r="O14" s="5"/>
      <c r="P14" s="5"/>
      <c r="Q14" s="262"/>
      <c r="R14" s="5"/>
      <c r="S14" s="181" t="str">
        <f>B138</f>
        <v>Chêne rouge d'Amérique</v>
      </c>
      <c r="T14" s="26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709.40710147359903</v>
      </c>
      <c r="U14" s="186">
        <f>'Données projet'!D13</f>
        <v>0.33200000000000002</v>
      </c>
      <c r="V14" s="185">
        <f t="shared" si="1"/>
        <v>235.52315768923489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7"/>
      <c r="G15" s="337" t="s">
        <v>318</v>
      </c>
      <c r="H15" s="199"/>
      <c r="I15" s="200"/>
      <c r="J15" s="212"/>
      <c r="K15" s="221"/>
      <c r="L15" s="213"/>
      <c r="M15" s="25"/>
      <c r="N15" s="25"/>
      <c r="O15" s="25"/>
      <c r="P15" s="25"/>
      <c r="Q15" s="261"/>
      <c r="R15" s="25"/>
      <c r="S15" s="181" t="str">
        <f>B169</f>
        <v>Chêne sessile</v>
      </c>
      <c r="T15" s="26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709.40710147359903</v>
      </c>
      <c r="U15" s="186">
        <f>'Données projet'!D14</f>
        <v>0.83000000000000007</v>
      </c>
      <c r="V15" s="185">
        <f t="shared" si="1"/>
        <v>588.80789422308726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3" t="s">
        <v>180</v>
      </c>
      <c r="B16" s="51" t="s">
        <v>256</v>
      </c>
      <c r="C16" s="51" t="s">
        <v>255</v>
      </c>
      <c r="D16" s="253" t="s">
        <v>252</v>
      </c>
      <c r="E16" s="253" t="s">
        <v>320</v>
      </c>
      <c r="F16" s="257"/>
      <c r="G16" s="337"/>
      <c r="H16" s="199"/>
      <c r="I16" s="200"/>
      <c r="J16" s="212"/>
      <c r="K16" s="221"/>
      <c r="L16" s="333" t="s">
        <v>254</v>
      </c>
      <c r="M16" s="334"/>
      <c r="N16" s="2"/>
      <c r="O16" s="25"/>
      <c r="P16" s="25"/>
      <c r="Q16" s="261"/>
      <c r="R16" s="25"/>
      <c r="S16" s="181" t="str">
        <f>B200</f>
        <v/>
      </c>
      <c r="T16" s="26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6">
        <f>'Données projet'!D15</f>
        <v>0</v>
      </c>
      <c r="V16" s="185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6">
        <v>0</v>
      </c>
      <c r="B17" s="209" t="s">
        <v>132</v>
      </c>
      <c r="C17" s="208" t="s">
        <v>132</v>
      </c>
      <c r="D17" s="207" t="s">
        <v>132</v>
      </c>
      <c r="E17" s="202"/>
      <c r="F17" s="257"/>
      <c r="G17" s="337"/>
      <c r="J17" s="212"/>
      <c r="K17" s="221"/>
      <c r="L17" s="291" t="s">
        <v>289</v>
      </c>
      <c r="M17" s="293"/>
      <c r="N17" s="183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1"/>
      <c r="R17" s="25"/>
      <c r="S17" s="181" t="str">
        <f>B231</f>
        <v/>
      </c>
      <c r="T17" s="26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6">
        <f>'Données projet'!D16</f>
        <v>0</v>
      </c>
      <c r="V17" s="185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6">
        <v>1</v>
      </c>
      <c r="B18" s="209" t="s">
        <v>132</v>
      </c>
      <c r="C18" s="208" t="s">
        <v>132</v>
      </c>
      <c r="D18" s="207" t="s">
        <v>132</v>
      </c>
      <c r="E18" s="202"/>
      <c r="F18" s="257"/>
      <c r="G18" s="337"/>
      <c r="J18" s="212"/>
      <c r="K18" s="221"/>
      <c r="L18" s="291" t="s">
        <v>255</v>
      </c>
      <c r="M18" s="293"/>
      <c r="N18" s="201"/>
      <c r="O18" s="25"/>
      <c r="P18" s="25"/>
      <c r="Q18" s="261"/>
      <c r="R18" s="25"/>
      <c r="S18" s="181" t="str">
        <f>B262</f>
        <v/>
      </c>
      <c r="T18" s="26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6">
        <f>'Données projet'!D17</f>
        <v>0</v>
      </c>
      <c r="V18" s="185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6">
        <v>2</v>
      </c>
      <c r="B19" s="209" t="s">
        <v>132</v>
      </c>
      <c r="C19" s="208" t="s">
        <v>132</v>
      </c>
      <c r="D19" s="207" t="s">
        <v>132</v>
      </c>
      <c r="E19" s="202"/>
      <c r="F19" s="257"/>
      <c r="G19" s="337"/>
      <c r="H19" s="228" t="s">
        <v>178</v>
      </c>
      <c r="I19" s="228" t="s">
        <v>287</v>
      </c>
      <c r="J19" s="256"/>
      <c r="K19" s="179"/>
      <c r="L19" s="333" t="s">
        <v>288</v>
      </c>
      <c r="M19" s="334"/>
      <c r="N19" s="187">
        <f>N17*N18</f>
        <v>0</v>
      </c>
      <c r="O19" s="25"/>
      <c r="P19" s="5"/>
      <c r="Q19" s="262"/>
      <c r="R19" s="5"/>
      <c r="S19" s="181" t="str">
        <f>B293</f>
        <v/>
      </c>
      <c r="T19" s="26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6">
        <v>3</v>
      </c>
      <c r="B20" s="209" t="s">
        <v>132</v>
      </c>
      <c r="C20" s="208" t="s">
        <v>132</v>
      </c>
      <c r="D20" s="207" t="s">
        <v>132</v>
      </c>
      <c r="E20" s="202"/>
      <c r="F20" s="257"/>
      <c r="G20" s="337"/>
      <c r="H20" s="199">
        <v>0</v>
      </c>
      <c r="I20" s="200">
        <v>7000</v>
      </c>
      <c r="J20" s="5"/>
      <c r="K20" s="179"/>
      <c r="O20" s="25"/>
      <c r="P20" s="5"/>
      <c r="Q20" s="262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6">
        <v>4</v>
      </c>
      <c r="B21" s="209" t="s">
        <v>132</v>
      </c>
      <c r="C21" s="208" t="s">
        <v>132</v>
      </c>
      <c r="D21" s="207" t="s">
        <v>132</v>
      </c>
      <c r="E21" s="202"/>
      <c r="F21" s="257"/>
      <c r="H21" s="199"/>
      <c r="I21" s="200"/>
      <c r="K21" s="179"/>
      <c r="O21" s="25"/>
      <c r="P21" s="5"/>
      <c r="Q21" s="262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6">
        <v>5</v>
      </c>
      <c r="B22" s="209" t="s">
        <v>132</v>
      </c>
      <c r="C22" s="208" t="s">
        <v>132</v>
      </c>
      <c r="D22" s="207" t="s">
        <v>132</v>
      </c>
      <c r="E22" s="202"/>
      <c r="F22" s="257"/>
      <c r="H22" s="199"/>
      <c r="I22" s="200"/>
      <c r="K22" s="179"/>
      <c r="O22" s="25"/>
      <c r="P22" s="5"/>
      <c r="Q22" s="262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88">
        <f>'Données projet'!A36</f>
        <v>20</v>
      </c>
      <c r="B23" s="189">
        <f>'Données projet'!D36</f>
        <v>0</v>
      </c>
      <c r="C23" s="200"/>
      <c r="D23" s="190">
        <f>B23*C23</f>
        <v>0</v>
      </c>
      <c r="E23" s="202"/>
      <c r="F23" s="257"/>
      <c r="H23" s="199"/>
      <c r="I23" s="200"/>
      <c r="K23" s="221"/>
      <c r="L23" s="335" t="s">
        <v>260</v>
      </c>
      <c r="M23" s="335"/>
      <c r="N23" s="335"/>
      <c r="O23" s="25"/>
      <c r="P23" s="25"/>
      <c r="Q23" s="261"/>
      <c r="R23" s="25"/>
      <c r="S23" s="181" t="s">
        <v>264</v>
      </c>
      <c r="T23" s="33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-46262.482067205769</v>
      </c>
      <c r="U23" s="330"/>
      <c r="V23" s="33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88">
        <f>'Données projet'!A37</f>
        <v>25</v>
      </c>
      <c r="B24" s="189">
        <f>'Données projet'!D37</f>
        <v>0</v>
      </c>
      <c r="C24" s="200"/>
      <c r="D24" s="190">
        <f t="shared" ref="D24:D42" si="2">B24*C24</f>
        <v>0</v>
      </c>
      <c r="E24" s="202"/>
      <c r="F24" s="260"/>
      <c r="H24" s="199"/>
      <c r="I24" s="200"/>
      <c r="K24" s="221"/>
      <c r="O24" s="25"/>
      <c r="P24" s="25"/>
      <c r="Q24" s="261"/>
      <c r="R24" s="25"/>
      <c r="S24" s="181" t="s">
        <v>261</v>
      </c>
      <c r="T24" s="33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1"/>
      <c r="V24" s="33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88">
        <f>'Données projet'!A38</f>
        <v>30</v>
      </c>
      <c r="B25" s="189">
        <f>'Données projet'!D38</f>
        <v>29</v>
      </c>
      <c r="C25" s="200">
        <v>10</v>
      </c>
      <c r="D25" s="190">
        <f t="shared" si="2"/>
        <v>290</v>
      </c>
      <c r="E25" s="202"/>
      <c r="F25" s="260"/>
      <c r="G25" s="1"/>
      <c r="H25" s="199"/>
      <c r="I25" s="200"/>
      <c r="K25" s="221"/>
      <c r="L25" s="267" t="s">
        <v>285</v>
      </c>
      <c r="M25" s="267"/>
      <c r="N25" s="267"/>
      <c r="O25" s="267"/>
      <c r="P25" s="201"/>
      <c r="Q25" s="261"/>
      <c r="R25" s="25"/>
      <c r="S25" s="194" t="s">
        <v>266</v>
      </c>
      <c r="T25" s="332">
        <f ca="1">T23-T24</f>
        <v>-46262.482067205769</v>
      </c>
      <c r="U25" s="332"/>
      <c r="V25" s="33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88">
        <f>'Données projet'!A39</f>
        <v>35</v>
      </c>
      <c r="B26" s="189">
        <f>'Données projet'!D39</f>
        <v>0</v>
      </c>
      <c r="C26" s="200"/>
      <c r="D26" s="190">
        <f t="shared" si="2"/>
        <v>0</v>
      </c>
      <c r="E26" s="202"/>
      <c r="F26" s="260"/>
      <c r="G26" s="255"/>
      <c r="H26" s="199"/>
      <c r="I26" s="200"/>
      <c r="K26" s="221"/>
      <c r="L26" s="319" t="s">
        <v>258</v>
      </c>
      <c r="M26" s="320"/>
      <c r="N26" s="320"/>
      <c r="O26" s="320"/>
      <c r="P26" s="321"/>
      <c r="Q26" s="261"/>
      <c r="R26" s="25"/>
      <c r="S26" s="194" t="s">
        <v>265</v>
      </c>
      <c r="T26" s="329" t="str">
        <f ca="1">IF(T25&lt;0,"Votre projet est additionnel","Votre projet n'est pas additionnel")</f>
        <v>Votre projet est additionnel</v>
      </c>
      <c r="U26" s="329"/>
      <c r="V26" s="32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88">
        <f>'Données projet'!A40</f>
        <v>40</v>
      </c>
      <c r="B27" s="189">
        <f>'Données projet'!D40</f>
        <v>42</v>
      </c>
      <c r="C27" s="200">
        <v>10</v>
      </c>
      <c r="D27" s="190">
        <f t="shared" si="2"/>
        <v>420</v>
      </c>
      <c r="E27" s="202"/>
      <c r="F27" s="260"/>
      <c r="G27" s="255"/>
      <c r="H27" s="199"/>
      <c r="I27" s="200"/>
      <c r="K27" s="221"/>
      <c r="L27" s="322"/>
      <c r="M27" s="323"/>
      <c r="N27" s="323"/>
      <c r="O27" s="323"/>
      <c r="P27" s="324"/>
      <c r="Q27" s="261"/>
      <c r="R27" s="25"/>
      <c r="S27" s="328" t="s">
        <v>267</v>
      </c>
      <c r="T27" s="328"/>
      <c r="U27" s="328"/>
      <c r="V27" s="32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88">
        <f>'Données projet'!A41</f>
        <v>45</v>
      </c>
      <c r="B28" s="189">
        <f>'Données projet'!D41</f>
        <v>0</v>
      </c>
      <c r="C28" s="200"/>
      <c r="D28" s="190">
        <f t="shared" si="2"/>
        <v>0</v>
      </c>
      <c r="E28" s="202"/>
      <c r="F28" s="260"/>
      <c r="G28" s="218"/>
      <c r="H28" s="199"/>
      <c r="I28" s="200"/>
      <c r="K28" s="221"/>
      <c r="Q28" s="261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88">
        <f>'Données projet'!A42</f>
        <v>50</v>
      </c>
      <c r="B29" s="189">
        <f>'Données projet'!D42</f>
        <v>42</v>
      </c>
      <c r="C29" s="200">
        <v>15</v>
      </c>
      <c r="D29" s="190">
        <f t="shared" si="2"/>
        <v>630</v>
      </c>
      <c r="E29" s="202"/>
      <c r="F29" s="260"/>
      <c r="G29" s="214"/>
      <c r="H29" s="199"/>
      <c r="I29" s="200"/>
      <c r="K29" s="221"/>
      <c r="O29" s="25"/>
      <c r="P29" s="25"/>
      <c r="Q29" s="261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88">
        <f>'Données projet'!A43</f>
        <v>55</v>
      </c>
      <c r="B30" s="189">
        <f>'Données projet'!D43</f>
        <v>0</v>
      </c>
      <c r="C30" s="200"/>
      <c r="D30" s="190">
        <f t="shared" si="2"/>
        <v>0</v>
      </c>
      <c r="E30" s="202"/>
      <c r="F30" s="260"/>
      <c r="G30" s="214"/>
      <c r="H30" s="199"/>
      <c r="I30" s="200"/>
      <c r="K30" s="191"/>
      <c r="L30" s="181" t="s">
        <v>259</v>
      </c>
      <c r="M30" s="192">
        <f ca="1">SUM(OFFSET($P$33,0,0,MIN('Données projet'!$E$9:$E$18)+1,1))</f>
        <v>0</v>
      </c>
      <c r="O30" s="5"/>
      <c r="P30" s="5"/>
      <c r="Q30" s="262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88">
        <f>'Données projet'!A44</f>
        <v>60</v>
      </c>
      <c r="B31" s="189">
        <f>'Données projet'!D44</f>
        <v>42</v>
      </c>
      <c r="C31" s="200">
        <v>20</v>
      </c>
      <c r="D31" s="190">
        <f t="shared" si="2"/>
        <v>840</v>
      </c>
      <c r="E31" s="202"/>
      <c r="F31" s="260"/>
      <c r="G31" s="214"/>
      <c r="H31" s="199"/>
      <c r="I31" s="200"/>
      <c r="K31" s="179"/>
      <c r="Q31" s="261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88">
        <f>'Données projet'!A45</f>
        <v>65</v>
      </c>
      <c r="B32" s="189">
        <f>'Données projet'!D45</f>
        <v>0</v>
      </c>
      <c r="C32" s="200"/>
      <c r="D32" s="190">
        <f t="shared" si="2"/>
        <v>0</v>
      </c>
      <c r="E32" s="202"/>
      <c r="F32" s="260"/>
      <c r="G32" s="214"/>
      <c r="H32" s="199"/>
      <c r="I32" s="200"/>
      <c r="K32" s="179"/>
      <c r="N32" s="5"/>
      <c r="O32" s="266" t="s">
        <v>178</v>
      </c>
      <c r="P32" s="266" t="s">
        <v>252</v>
      </c>
      <c r="Q32" s="261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88">
        <f>'Données projet'!A46</f>
        <v>70</v>
      </c>
      <c r="B33" s="189">
        <f>'Données projet'!D46</f>
        <v>42</v>
      </c>
      <c r="C33" s="200">
        <v>40</v>
      </c>
      <c r="D33" s="190">
        <f t="shared" si="2"/>
        <v>1680</v>
      </c>
      <c r="E33" s="202"/>
      <c r="F33" s="260"/>
      <c r="G33" s="214"/>
      <c r="H33" s="199"/>
      <c r="I33" s="200"/>
      <c r="K33" s="179"/>
      <c r="L33" s="5"/>
      <c r="M33" s="5"/>
      <c r="N33" s="5"/>
      <c r="O33" s="203">
        <v>0</v>
      </c>
      <c r="P33" s="193">
        <f t="shared" ref="P33:P64" si="3">$P$25/(1+$M$4)^O33</f>
        <v>0</v>
      </c>
      <c r="Q33" s="261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88">
        <f>'Données projet'!A47</f>
        <v>75</v>
      </c>
      <c r="B34" s="189">
        <f>'Données projet'!D47</f>
        <v>0</v>
      </c>
      <c r="C34" s="200"/>
      <c r="D34" s="190">
        <f t="shared" si="2"/>
        <v>0</v>
      </c>
      <c r="E34" s="202"/>
      <c r="F34" s="260"/>
      <c r="G34" s="214"/>
      <c r="H34" s="199"/>
      <c r="I34" s="200"/>
      <c r="K34" s="179"/>
      <c r="L34" s="280"/>
      <c r="M34" s="280"/>
      <c r="N34" s="281"/>
      <c r="O34" s="203">
        <f>IF(O33+1&lt;=MIN('Données projet'!$E$9:$E$18),O33+1,"STOP")</f>
        <v>1</v>
      </c>
      <c r="P34" s="193">
        <f t="shared" si="3"/>
        <v>0</v>
      </c>
      <c r="Q34" s="261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88">
        <f>'Données projet'!A48</f>
        <v>80</v>
      </c>
      <c r="B35" s="189">
        <f>'Données projet'!D48</f>
        <v>42</v>
      </c>
      <c r="C35" s="200">
        <v>60</v>
      </c>
      <c r="D35" s="190">
        <f t="shared" si="2"/>
        <v>2520</v>
      </c>
      <c r="E35" s="202"/>
      <c r="F35" s="260"/>
      <c r="G35" s="214"/>
      <c r="H35" s="199"/>
      <c r="I35" s="200"/>
      <c r="K35" s="179"/>
      <c r="L35" s="280"/>
      <c r="M35" s="280"/>
      <c r="N35" s="281"/>
      <c r="O35" s="203">
        <f>IF(O34+1&lt;=MIN('Données projet'!$E$9:$E$18),O34+1,"STOP")</f>
        <v>2</v>
      </c>
      <c r="P35" s="193">
        <f t="shared" si="3"/>
        <v>0</v>
      </c>
      <c r="Q35" s="261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88">
        <f>'Données projet'!A49</f>
        <v>90</v>
      </c>
      <c r="B36" s="189">
        <f>'Données projet'!D49</f>
        <v>42</v>
      </c>
      <c r="C36" s="200">
        <v>80</v>
      </c>
      <c r="D36" s="190">
        <f t="shared" si="2"/>
        <v>3360</v>
      </c>
      <c r="E36" s="202"/>
      <c r="F36" s="260"/>
      <c r="G36" s="214"/>
      <c r="H36" s="199"/>
      <c r="I36" s="200"/>
      <c r="K36" s="179"/>
      <c r="L36" s="25"/>
      <c r="M36" s="25"/>
      <c r="N36" s="25"/>
      <c r="O36" s="203">
        <f>IF(O35+1&lt;=MIN('Données projet'!$E$9:$E$18),O35+1,"STOP")</f>
        <v>3</v>
      </c>
      <c r="P36" s="193">
        <f t="shared" si="3"/>
        <v>0</v>
      </c>
      <c r="Q36" s="261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88">
        <f>'Données projet'!A50</f>
        <v>100</v>
      </c>
      <c r="B37" s="189">
        <f>'Données projet'!D50</f>
        <v>42</v>
      </c>
      <c r="C37" s="200">
        <v>100</v>
      </c>
      <c r="D37" s="190">
        <f t="shared" si="2"/>
        <v>4200</v>
      </c>
      <c r="E37" s="202"/>
      <c r="F37" s="260"/>
      <c r="G37" s="214"/>
      <c r="H37" s="199"/>
      <c r="I37" s="200"/>
      <c r="K37" s="179"/>
      <c r="L37" s="25"/>
      <c r="M37" s="25"/>
      <c r="N37" s="25"/>
      <c r="O37" s="203">
        <f>IF(O36+1&lt;=MIN('Données projet'!$E$9:$E$18),O36+1,"STOP")</f>
        <v>4</v>
      </c>
      <c r="P37" s="193">
        <f t="shared" si="3"/>
        <v>0</v>
      </c>
      <c r="Q37" s="261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88">
        <f>'Données projet'!A51</f>
        <v>110</v>
      </c>
      <c r="B38" s="189">
        <f>'Données projet'!D51</f>
        <v>39</v>
      </c>
      <c r="C38" s="200">
        <v>110</v>
      </c>
      <c r="D38" s="190">
        <f t="shared" si="2"/>
        <v>4290</v>
      </c>
      <c r="E38" s="202"/>
      <c r="F38" s="260"/>
      <c r="G38" s="214"/>
      <c r="H38" s="199"/>
      <c r="I38" s="200"/>
      <c r="K38" s="179"/>
      <c r="L38" s="25"/>
      <c r="M38" s="25"/>
      <c r="N38" s="25"/>
      <c r="O38" s="203">
        <f>IF(O37+1&lt;=MIN('Données projet'!$E$9:$E$18),O37+1,"STOP")</f>
        <v>5</v>
      </c>
      <c r="P38" s="193">
        <f t="shared" si="3"/>
        <v>0</v>
      </c>
      <c r="Q38" s="261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88">
        <f>'Données projet'!A52</f>
        <v>120</v>
      </c>
      <c r="B39" s="189">
        <f>'Données projet'!D52</f>
        <v>35</v>
      </c>
      <c r="C39" s="200">
        <v>130</v>
      </c>
      <c r="D39" s="190">
        <f t="shared" si="2"/>
        <v>4550</v>
      </c>
      <c r="E39" s="202"/>
      <c r="F39" s="260"/>
      <c r="G39" s="214"/>
      <c r="H39" s="199"/>
      <c r="I39" s="200"/>
      <c r="K39" s="221"/>
      <c r="L39" s="25"/>
      <c r="M39" s="25"/>
      <c r="N39" s="25"/>
      <c r="O39" s="203">
        <f>IF(O38+1&lt;=MIN('Données projet'!$E$9:$E$18),O38+1,"STOP")</f>
        <v>6</v>
      </c>
      <c r="P39" s="193">
        <f t="shared" si="3"/>
        <v>0</v>
      </c>
      <c r="Q39" s="261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88">
        <f>'Données projet'!A53</f>
        <v>130</v>
      </c>
      <c r="B40" s="189">
        <f>'Données projet'!D53</f>
        <v>31</v>
      </c>
      <c r="C40" s="200">
        <v>150</v>
      </c>
      <c r="D40" s="190">
        <f t="shared" si="2"/>
        <v>4650</v>
      </c>
      <c r="E40" s="202"/>
      <c r="F40" s="260"/>
      <c r="G40" s="214"/>
      <c r="H40" s="199"/>
      <c r="I40" s="200"/>
      <c r="K40" s="221"/>
      <c r="L40" s="25"/>
      <c r="M40" s="25"/>
      <c r="N40" s="25"/>
      <c r="O40" s="203">
        <f>IF(O39+1&lt;=MIN('Données projet'!$E$9:$E$18),O39+1,"STOP")</f>
        <v>7</v>
      </c>
      <c r="P40" s="193">
        <f t="shared" si="3"/>
        <v>0</v>
      </c>
      <c r="Q40" s="261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88">
        <f>'Données projet'!A54</f>
        <v>140</v>
      </c>
      <c r="B41" s="189">
        <f>'Données projet'!D54</f>
        <v>27</v>
      </c>
      <c r="C41" s="200">
        <v>200</v>
      </c>
      <c r="D41" s="190">
        <f t="shared" si="2"/>
        <v>5400</v>
      </c>
      <c r="E41" s="202"/>
      <c r="F41" s="260"/>
      <c r="G41" s="214"/>
      <c r="H41" s="199"/>
      <c r="I41" s="200"/>
      <c r="K41" s="221"/>
      <c r="L41" s="25"/>
      <c r="M41" s="25"/>
      <c r="N41" s="25"/>
      <c r="O41" s="203">
        <f>IF(O40+1&lt;=MIN('Données projet'!$E$9:$E$18),O40+1,"STOP")</f>
        <v>8</v>
      </c>
      <c r="P41" s="193">
        <f t="shared" si="3"/>
        <v>0</v>
      </c>
      <c r="Q41" s="261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88">
        <f>'Données projet'!A55</f>
        <v>150</v>
      </c>
      <c r="B42" s="189">
        <f>'Données projet'!D55</f>
        <v>293</v>
      </c>
      <c r="C42" s="200">
        <v>200</v>
      </c>
      <c r="D42" s="190">
        <f t="shared" si="2"/>
        <v>58600</v>
      </c>
      <c r="E42" s="202"/>
      <c r="F42" s="260"/>
      <c r="G42" s="214"/>
      <c r="H42" s="199"/>
      <c r="I42" s="200"/>
      <c r="K42" s="221"/>
      <c r="L42" s="25"/>
      <c r="M42" s="25"/>
      <c r="N42" s="25"/>
      <c r="O42" s="203">
        <f>IF(O41+1&lt;=MIN('Données projet'!$E$9:$E$18),O41+1,"STOP")</f>
        <v>9</v>
      </c>
      <c r="P42" s="193">
        <f t="shared" si="3"/>
        <v>0</v>
      </c>
      <c r="Q42" s="261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5"/>
      <c r="B43" s="195"/>
      <c r="C43" s="195"/>
      <c r="D43" s="252"/>
      <c r="E43" s="252"/>
      <c r="F43" s="265"/>
      <c r="G43" s="214"/>
      <c r="H43" s="199"/>
      <c r="I43" s="200"/>
      <c r="K43" s="221"/>
      <c r="L43" s="25"/>
      <c r="M43" s="25"/>
      <c r="N43" s="25"/>
      <c r="O43" s="203">
        <f>IF(O42+1&lt;=MIN('Données projet'!$E$9:$E$18),O42+1,"STOP")</f>
        <v>10</v>
      </c>
      <c r="P43" s="193">
        <f t="shared" si="3"/>
        <v>0</v>
      </c>
      <c r="Q43" s="26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7"/>
      <c r="G44" s="214"/>
      <c r="H44" s="199"/>
      <c r="I44" s="200"/>
      <c r="K44" s="221"/>
      <c r="L44" s="25"/>
      <c r="M44" s="25"/>
      <c r="N44" s="25"/>
      <c r="O44" s="203">
        <f>IF(O43+1&lt;=MIN('Données projet'!$E$9:$E$18),O43+1,"STOP")</f>
        <v>11</v>
      </c>
      <c r="P44" s="193">
        <f t="shared" si="3"/>
        <v>0</v>
      </c>
      <c r="Q44" s="26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2" t="str">
        <f>IF('Données projet'!$B$10="","",'Données projet'!$B$10)</f>
        <v>Pin maritime</v>
      </c>
      <c r="C45" s="5"/>
      <c r="D45" s="5"/>
      <c r="E45" s="5"/>
      <c r="F45" s="257"/>
      <c r="G45" s="214"/>
      <c r="H45" s="199"/>
      <c r="I45" s="200"/>
      <c r="J45" s="25"/>
      <c r="K45" s="221"/>
      <c r="L45" s="25"/>
      <c r="M45" s="25"/>
      <c r="N45" s="25"/>
      <c r="O45" s="203">
        <f>IF(O44+1&lt;=MIN('Données projet'!$E$9:$E$18),O44+1,"STOP")</f>
        <v>12</v>
      </c>
      <c r="P45" s="193">
        <f t="shared" si="3"/>
        <v>0</v>
      </c>
      <c r="Q45" s="26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7"/>
      <c r="G46" s="214"/>
      <c r="H46" s="199"/>
      <c r="I46" s="200"/>
      <c r="J46" s="25"/>
      <c r="K46" s="221"/>
      <c r="L46" s="216"/>
      <c r="M46" s="216"/>
      <c r="N46" s="216"/>
      <c r="O46" s="203">
        <f>IF(O45+1&lt;=MIN('Données projet'!$E$9:$E$18),O45+1,"STOP")</f>
        <v>13</v>
      </c>
      <c r="P46" s="196">
        <f t="shared" si="3"/>
        <v>0</v>
      </c>
      <c r="Q46" s="26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3" t="s">
        <v>180</v>
      </c>
      <c r="B47" s="51" t="s">
        <v>256</v>
      </c>
      <c r="C47" s="51" t="s">
        <v>255</v>
      </c>
      <c r="D47" s="253" t="s">
        <v>252</v>
      </c>
      <c r="E47" s="253" t="s">
        <v>320</v>
      </c>
      <c r="F47" s="258"/>
      <c r="G47" s="214"/>
      <c r="H47" s="199"/>
      <c r="I47" s="200"/>
      <c r="J47" s="25"/>
      <c r="K47" s="221"/>
      <c r="L47" s="5"/>
      <c r="M47" s="5"/>
      <c r="N47" s="5"/>
      <c r="O47" s="203">
        <f>IF(O46+1&lt;=MIN('Données projet'!$E$9:$E$18),O46+1,"STOP")</f>
        <v>14</v>
      </c>
      <c r="P47" s="193">
        <f t="shared" si="3"/>
        <v>0</v>
      </c>
      <c r="Q47" s="26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6">
        <v>0</v>
      </c>
      <c r="B48" s="209" t="s">
        <v>132</v>
      </c>
      <c r="C48" s="208" t="s">
        <v>132</v>
      </c>
      <c r="D48" s="207" t="s">
        <v>132</v>
      </c>
      <c r="E48" s="202"/>
      <c r="F48" s="258"/>
      <c r="G48" s="214"/>
      <c r="H48" s="199"/>
      <c r="I48" s="200"/>
      <c r="J48" s="25"/>
      <c r="K48" s="221"/>
      <c r="L48" s="5"/>
      <c r="M48" s="5"/>
      <c r="N48" s="5"/>
      <c r="O48" s="203">
        <f>IF(O47+1&lt;=MIN('Données projet'!$E$9:$E$18),O47+1,"STOP")</f>
        <v>15</v>
      </c>
      <c r="P48" s="193">
        <f t="shared" si="3"/>
        <v>0</v>
      </c>
      <c r="Q48" s="26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4" customFormat="1" ht="17.25" customHeight="1" x14ac:dyDescent="0.3">
      <c r="A49" s="206">
        <v>1</v>
      </c>
      <c r="B49" s="209" t="s">
        <v>132</v>
      </c>
      <c r="C49" s="208" t="s">
        <v>132</v>
      </c>
      <c r="D49" s="207" t="s">
        <v>132</v>
      </c>
      <c r="E49" s="202"/>
      <c r="F49" s="258"/>
      <c r="G49" s="215"/>
      <c r="H49" s="199"/>
      <c r="I49" s="200"/>
      <c r="J49" s="216"/>
      <c r="K49" s="223"/>
      <c r="L49" s="5"/>
      <c r="M49" s="5"/>
      <c r="N49" s="5"/>
      <c r="O49" s="203">
        <f>IF(O48+1&lt;=MIN('Données projet'!$E$9:$E$18),O48+1,"STOP")</f>
        <v>16</v>
      </c>
      <c r="P49" s="193">
        <f t="shared" si="3"/>
        <v>0</v>
      </c>
      <c r="Q49" s="263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</row>
    <row r="50" spans="1:56" x14ac:dyDescent="0.3">
      <c r="A50" s="206">
        <v>2</v>
      </c>
      <c r="B50" s="209" t="s">
        <v>132</v>
      </c>
      <c r="C50" s="208" t="s">
        <v>132</v>
      </c>
      <c r="D50" s="207" t="s">
        <v>132</v>
      </c>
      <c r="E50" s="202"/>
      <c r="F50" s="258"/>
      <c r="G50" s="217"/>
      <c r="H50" s="199"/>
      <c r="I50" s="200"/>
      <c r="J50" s="25"/>
      <c r="K50" s="179"/>
      <c r="L50" s="5"/>
      <c r="M50" s="5"/>
      <c r="N50" s="5"/>
      <c r="O50" s="203">
        <f>IF(O49+1&lt;=MIN('Données projet'!$E$9:$E$18),O49+1,"STOP")</f>
        <v>17</v>
      </c>
      <c r="P50" s="193">
        <f t="shared" si="3"/>
        <v>0</v>
      </c>
      <c r="Q50" s="26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6">
        <v>3</v>
      </c>
      <c r="B51" s="209" t="s">
        <v>132</v>
      </c>
      <c r="C51" s="208" t="s">
        <v>132</v>
      </c>
      <c r="D51" s="207" t="s">
        <v>132</v>
      </c>
      <c r="E51" s="202"/>
      <c r="F51" s="258"/>
      <c r="G51" s="217"/>
      <c r="H51" s="199"/>
      <c r="I51" s="200"/>
      <c r="J51" s="25"/>
      <c r="K51" s="179"/>
      <c r="L51" s="5"/>
      <c r="M51" s="5"/>
      <c r="N51" s="5"/>
      <c r="O51" s="203">
        <f>IF(O50+1&lt;=MIN('Données projet'!$E$9:$E$18),O50+1,"STOP")</f>
        <v>18</v>
      </c>
      <c r="P51" s="193">
        <f t="shared" si="3"/>
        <v>0</v>
      </c>
      <c r="Q51" s="26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6">
        <v>4</v>
      </c>
      <c r="B52" s="209" t="s">
        <v>132</v>
      </c>
      <c r="C52" s="208" t="s">
        <v>132</v>
      </c>
      <c r="D52" s="207" t="s">
        <v>132</v>
      </c>
      <c r="E52" s="202"/>
      <c r="F52" s="258"/>
      <c r="G52" s="217"/>
      <c r="H52" s="199"/>
      <c r="I52" s="200"/>
      <c r="J52" s="25"/>
      <c r="K52" s="179"/>
      <c r="L52" s="5"/>
      <c r="M52" s="5"/>
      <c r="N52" s="5"/>
      <c r="O52" s="203">
        <f>IF(O51+1&lt;=MIN('Données projet'!$E$9:$E$18),O51+1,"STOP")</f>
        <v>19</v>
      </c>
      <c r="P52" s="193">
        <f t="shared" si="3"/>
        <v>0</v>
      </c>
      <c r="Q52" s="26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6">
        <v>5</v>
      </c>
      <c r="B53" s="209" t="s">
        <v>132</v>
      </c>
      <c r="C53" s="208" t="s">
        <v>132</v>
      </c>
      <c r="D53" s="207" t="s">
        <v>132</v>
      </c>
      <c r="E53" s="202"/>
      <c r="F53" s="258"/>
      <c r="G53" s="218"/>
      <c r="H53" s="199"/>
      <c r="I53" s="200"/>
      <c r="J53" s="25"/>
      <c r="K53" s="179"/>
      <c r="L53" s="5"/>
      <c r="M53" s="5"/>
      <c r="N53" s="5"/>
      <c r="O53" s="203">
        <f>IF(O52+1&lt;=MIN('Données projet'!$E$9:$E$18),O52+1,"STOP")</f>
        <v>20</v>
      </c>
      <c r="P53" s="193">
        <f t="shared" si="3"/>
        <v>0</v>
      </c>
      <c r="Q53" s="26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88">
        <f>'Données projet'!A62</f>
        <v>17</v>
      </c>
      <c r="B54" s="189">
        <f>'Données projet'!D62</f>
        <v>71.12299999999999</v>
      </c>
      <c r="C54" s="202">
        <v>10</v>
      </c>
      <c r="D54" s="187">
        <f>B54*C54</f>
        <v>711.2299999999999</v>
      </c>
      <c r="E54" s="202"/>
      <c r="F54" s="259"/>
      <c r="G54" s="218"/>
      <c r="H54" s="199"/>
      <c r="I54" s="200"/>
      <c r="J54" s="25"/>
      <c r="K54" s="179"/>
      <c r="L54" s="5"/>
      <c r="M54" s="5"/>
      <c r="N54" s="5"/>
      <c r="O54" s="203">
        <f>IF(O53+1&lt;=MIN('Données projet'!$E$9:$E$18),O53+1,"STOP")</f>
        <v>21</v>
      </c>
      <c r="P54" s="193">
        <f t="shared" si="3"/>
        <v>0</v>
      </c>
      <c r="Q54" s="26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88">
        <f>'Données projet'!A63</f>
        <v>23</v>
      </c>
      <c r="B55" s="189">
        <f>'Données projet'!D63</f>
        <v>54.099999999999987</v>
      </c>
      <c r="C55" s="202">
        <v>15</v>
      </c>
      <c r="D55" s="187">
        <f t="shared" ref="D55:D73" si="4">B55*C55</f>
        <v>811.49999999999977</v>
      </c>
      <c r="E55" s="202"/>
      <c r="F55" s="259"/>
      <c r="G55" s="218"/>
      <c r="H55" s="199"/>
      <c r="I55" s="200"/>
      <c r="J55" s="25"/>
      <c r="K55" s="179"/>
      <c r="L55" s="5"/>
      <c r="M55" s="5"/>
      <c r="N55" s="5"/>
      <c r="O55" s="203">
        <f>IF(O54+1&lt;=MIN('Données projet'!$E$9:$E$18),O54+1,"STOP")</f>
        <v>22</v>
      </c>
      <c r="P55" s="193">
        <f t="shared" si="3"/>
        <v>0</v>
      </c>
      <c r="Q55" s="26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88">
        <f>'Données projet'!A64</f>
        <v>29</v>
      </c>
      <c r="B56" s="189">
        <f>'Données projet'!D64</f>
        <v>47.661538461538463</v>
      </c>
      <c r="C56" s="202">
        <v>20</v>
      </c>
      <c r="D56" s="187">
        <f t="shared" si="4"/>
        <v>953.23076923076928</v>
      </c>
      <c r="E56" s="202"/>
      <c r="F56" s="259"/>
      <c r="G56" s="218"/>
      <c r="H56" s="199"/>
      <c r="I56" s="200"/>
      <c r="J56" s="25"/>
      <c r="K56" s="179"/>
      <c r="L56" s="5"/>
      <c r="M56" s="5"/>
      <c r="N56" s="5"/>
      <c r="O56" s="203">
        <f>IF(O55+1&lt;=MIN('Données projet'!$E$9:$E$18),O55+1,"STOP")</f>
        <v>23</v>
      </c>
      <c r="P56" s="193">
        <f t="shared" si="3"/>
        <v>0</v>
      </c>
      <c r="Q56" s="26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88">
        <f>'Données projet'!A65</f>
        <v>36</v>
      </c>
      <c r="B57" s="189">
        <f>'Données projet'!D65</f>
        <v>64.561538461538461</v>
      </c>
      <c r="C57" s="202">
        <v>10</v>
      </c>
      <c r="D57" s="187">
        <f t="shared" si="4"/>
        <v>645.61538461538464</v>
      </c>
      <c r="E57" s="202"/>
      <c r="F57" s="259"/>
      <c r="G57" s="218"/>
      <c r="H57" s="199"/>
      <c r="I57" s="200"/>
      <c r="J57" s="25"/>
      <c r="K57" s="179"/>
      <c r="L57" s="5"/>
      <c r="M57" s="5"/>
      <c r="N57" s="5"/>
      <c r="O57" s="203">
        <f>IF(O56+1&lt;=MIN('Données projet'!$E$9:$E$18),O56+1,"STOP")</f>
        <v>24</v>
      </c>
      <c r="P57" s="193">
        <f t="shared" si="3"/>
        <v>0</v>
      </c>
      <c r="Q57" s="26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88">
        <f>'Données projet'!A66</f>
        <v>44</v>
      </c>
      <c r="B58" s="189">
        <f>'Données projet'!D66</f>
        <v>64.476923076923114</v>
      </c>
      <c r="C58" s="202">
        <v>25</v>
      </c>
      <c r="D58" s="187">
        <f t="shared" si="4"/>
        <v>1611.9230769230778</v>
      </c>
      <c r="E58" s="202"/>
      <c r="F58" s="259"/>
      <c r="G58" s="218"/>
      <c r="H58" s="199"/>
      <c r="I58" s="200"/>
      <c r="J58" s="25"/>
      <c r="K58" s="179"/>
      <c r="L58" s="5"/>
      <c r="M58" s="5"/>
      <c r="N58" s="5"/>
      <c r="O58" s="203">
        <f>IF(O57+1&lt;=MIN('Données projet'!$E$9:$E$18),O57+1,"STOP")</f>
        <v>25</v>
      </c>
      <c r="P58" s="193">
        <f t="shared" si="3"/>
        <v>0</v>
      </c>
      <c r="Q58" s="262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88">
        <f>'Données projet'!A67</f>
        <v>52</v>
      </c>
      <c r="B59" s="189">
        <f>'Données projet'!D67</f>
        <v>61.784615384615378</v>
      </c>
      <c r="C59" s="202">
        <v>25</v>
      </c>
      <c r="D59" s="187">
        <f t="shared" si="4"/>
        <v>1544.6153846153845</v>
      </c>
      <c r="E59" s="202"/>
      <c r="F59" s="259"/>
      <c r="G59" s="218"/>
      <c r="H59" s="199"/>
      <c r="I59" s="200"/>
      <c r="J59" s="25"/>
      <c r="K59" s="179"/>
      <c r="L59" s="5"/>
      <c r="M59" s="5"/>
      <c r="N59" s="5"/>
      <c r="O59" s="203">
        <f>IF(O58+1&lt;=MIN('Données projet'!$E$9:$E$18),O58+1,"STOP")</f>
        <v>26</v>
      </c>
      <c r="P59" s="193">
        <f t="shared" si="3"/>
        <v>0</v>
      </c>
      <c r="Q59" s="26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88">
        <f>'Données projet'!A68</f>
        <v>60</v>
      </c>
      <c r="B60" s="189">
        <f>'Données projet'!D68</f>
        <v>353.5</v>
      </c>
      <c r="C60" s="202">
        <v>40</v>
      </c>
      <c r="D60" s="187">
        <f t="shared" si="4"/>
        <v>14140</v>
      </c>
      <c r="E60" s="202"/>
      <c r="F60" s="259"/>
      <c r="G60" s="219"/>
      <c r="H60" s="199"/>
      <c r="I60" s="200"/>
      <c r="J60" s="25"/>
      <c r="K60" s="179"/>
      <c r="L60" s="5"/>
      <c r="M60" s="5"/>
      <c r="N60" s="5"/>
      <c r="O60" s="203">
        <f>IF(O59+1&lt;=MIN('Données projet'!$E$9:$E$18),O59+1,"STOP")</f>
        <v>27</v>
      </c>
      <c r="P60" s="193">
        <f t="shared" si="3"/>
        <v>0</v>
      </c>
      <c r="Q60" s="26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88">
        <f>'Données projet'!A69</f>
        <v>0</v>
      </c>
      <c r="B61" s="189">
        <f>'Données projet'!D69</f>
        <v>0</v>
      </c>
      <c r="C61" s="202"/>
      <c r="D61" s="187">
        <f t="shared" si="4"/>
        <v>0</v>
      </c>
      <c r="E61" s="202"/>
      <c r="F61" s="259"/>
      <c r="G61" s="219"/>
      <c r="H61" s="199"/>
      <c r="I61" s="200"/>
      <c r="J61" s="25"/>
      <c r="K61" s="179"/>
      <c r="L61" s="5"/>
      <c r="M61" s="5"/>
      <c r="N61" s="5"/>
      <c r="O61" s="203">
        <f>IF(O60+1&lt;=MIN('Données projet'!$E$9:$E$18),O60+1,"STOP")</f>
        <v>28</v>
      </c>
      <c r="P61" s="193">
        <f t="shared" si="3"/>
        <v>0</v>
      </c>
      <c r="Q61" s="26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88">
        <f>'Données projet'!A70</f>
        <v>0</v>
      </c>
      <c r="B62" s="189">
        <f>'Données projet'!D70</f>
        <v>0</v>
      </c>
      <c r="C62" s="202"/>
      <c r="D62" s="187">
        <f t="shared" si="4"/>
        <v>0</v>
      </c>
      <c r="E62" s="202"/>
      <c r="F62" s="259"/>
      <c r="G62" s="219"/>
      <c r="H62" s="199"/>
      <c r="I62" s="200"/>
      <c r="J62" s="25"/>
      <c r="K62" s="179"/>
      <c r="L62" s="5"/>
      <c r="M62" s="5"/>
      <c r="N62" s="5"/>
      <c r="O62" s="203">
        <f>IF(O61+1&lt;=MIN('Données projet'!$E$9:$E$18),O61+1,"STOP")</f>
        <v>29</v>
      </c>
      <c r="P62" s="193">
        <f t="shared" si="3"/>
        <v>0</v>
      </c>
      <c r="Q62" s="262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88">
        <f>'Données projet'!A71</f>
        <v>0</v>
      </c>
      <c r="B63" s="189">
        <f>'Données projet'!D71</f>
        <v>0</v>
      </c>
      <c r="C63" s="202"/>
      <c r="D63" s="187">
        <f t="shared" si="4"/>
        <v>0</v>
      </c>
      <c r="E63" s="202"/>
      <c r="F63" s="259"/>
      <c r="G63" s="219"/>
      <c r="H63" s="199"/>
      <c r="I63" s="200"/>
      <c r="J63" s="25"/>
      <c r="K63" s="179"/>
      <c r="L63" s="5"/>
      <c r="M63" s="5"/>
      <c r="N63" s="5"/>
      <c r="O63" s="203">
        <f>IF(O62+1&lt;=MIN('Données projet'!$E$9:$E$18),O62+1,"STOP")</f>
        <v>30</v>
      </c>
      <c r="P63" s="193">
        <f t="shared" si="3"/>
        <v>0</v>
      </c>
      <c r="Q63" s="26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88">
        <f>'Données projet'!A72</f>
        <v>0</v>
      </c>
      <c r="B64" s="189">
        <f>'Données projet'!D72</f>
        <v>0</v>
      </c>
      <c r="C64" s="202"/>
      <c r="D64" s="187">
        <f t="shared" si="4"/>
        <v>0</v>
      </c>
      <c r="E64" s="202"/>
      <c r="F64" s="259"/>
      <c r="G64" s="219"/>
      <c r="H64" s="199"/>
      <c r="I64" s="200"/>
      <c r="J64" s="220"/>
      <c r="K64" s="179"/>
      <c r="L64" s="5"/>
      <c r="M64" s="5"/>
      <c r="N64" s="5"/>
      <c r="O64" s="203">
        <f>IF(O63+1&lt;=MIN('Données projet'!$E$9:$E$18),O63+1,"STOP")</f>
        <v>31</v>
      </c>
      <c r="P64" s="193">
        <f t="shared" si="3"/>
        <v>0</v>
      </c>
      <c r="Q64" s="262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88">
        <f>'Données projet'!A73</f>
        <v>0</v>
      </c>
      <c r="B65" s="189">
        <f>'Données projet'!D73</f>
        <v>0</v>
      </c>
      <c r="C65" s="202"/>
      <c r="D65" s="187">
        <f t="shared" si="4"/>
        <v>0</v>
      </c>
      <c r="E65" s="202"/>
      <c r="F65" s="259"/>
      <c r="G65" s="219"/>
      <c r="H65" s="199"/>
      <c r="I65" s="200"/>
      <c r="J65" s="197"/>
      <c r="K65" s="179"/>
      <c r="L65" s="5"/>
      <c r="M65" s="5"/>
      <c r="N65" s="5"/>
      <c r="O65" s="203">
        <f>IF(O64+1&lt;=MIN('Données projet'!$E$9:$E$18),O64+1,"STOP")</f>
        <v>32</v>
      </c>
      <c r="P65" s="193">
        <f t="shared" ref="P65:P96" si="5">$P$25/(1+$M$4)^O65</f>
        <v>0</v>
      </c>
      <c r="Q65" s="26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88">
        <f>'Données projet'!A74</f>
        <v>0</v>
      </c>
      <c r="B66" s="189">
        <f>'Données projet'!D74</f>
        <v>0</v>
      </c>
      <c r="C66" s="202"/>
      <c r="D66" s="187">
        <f t="shared" si="4"/>
        <v>0</v>
      </c>
      <c r="E66" s="202"/>
      <c r="F66" s="259"/>
      <c r="G66" s="219"/>
      <c r="H66" s="199"/>
      <c r="I66" s="200"/>
      <c r="J66" s="197"/>
      <c r="K66" s="179"/>
      <c r="L66" s="5"/>
      <c r="M66" s="5"/>
      <c r="N66" s="5"/>
      <c r="O66" s="203">
        <f>IF(O65+1&lt;=MIN('Données projet'!$E$9:$E$18),O65+1,"STOP")</f>
        <v>33</v>
      </c>
      <c r="P66" s="193">
        <f t="shared" si="5"/>
        <v>0</v>
      </c>
      <c r="Q66" s="262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88">
        <f>'Données projet'!A75</f>
        <v>0</v>
      </c>
      <c r="B67" s="189">
        <f>'Données projet'!D75</f>
        <v>0</v>
      </c>
      <c r="C67" s="202"/>
      <c r="D67" s="187">
        <f t="shared" si="4"/>
        <v>0</v>
      </c>
      <c r="E67" s="202"/>
      <c r="F67" s="259"/>
      <c r="G67" s="219"/>
      <c r="H67" s="199"/>
      <c r="I67" s="200"/>
      <c r="J67" s="197"/>
      <c r="K67" s="179"/>
      <c r="L67" s="5"/>
      <c r="M67" s="5"/>
      <c r="N67" s="5"/>
      <c r="O67" s="203">
        <f>IF(O66+1&lt;=MIN('Données projet'!$E$9:$E$18),O66+1,"STOP")</f>
        <v>34</v>
      </c>
      <c r="P67" s="193">
        <f t="shared" si="5"/>
        <v>0</v>
      </c>
      <c r="Q67" s="26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88">
        <f>'Données projet'!A76</f>
        <v>0</v>
      </c>
      <c r="B68" s="189">
        <f>'Données projet'!D76</f>
        <v>0</v>
      </c>
      <c r="C68" s="202"/>
      <c r="D68" s="187">
        <f t="shared" si="4"/>
        <v>0</v>
      </c>
      <c r="E68" s="202"/>
      <c r="F68" s="259"/>
      <c r="G68" s="219"/>
      <c r="H68" s="199"/>
      <c r="I68" s="200"/>
      <c r="J68" s="197"/>
      <c r="K68" s="179"/>
      <c r="L68" s="5"/>
      <c r="M68" s="5"/>
      <c r="N68" s="5"/>
      <c r="O68" s="203">
        <f>IF(O67+1&lt;=MIN('Données projet'!$E$9:$E$18),O67+1,"STOP")</f>
        <v>35</v>
      </c>
      <c r="P68" s="193">
        <f t="shared" si="5"/>
        <v>0</v>
      </c>
      <c r="Q68" s="26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88">
        <f>'Données projet'!A77</f>
        <v>0</v>
      </c>
      <c r="B69" s="189">
        <f>'Données projet'!D77</f>
        <v>0</v>
      </c>
      <c r="C69" s="202"/>
      <c r="D69" s="187">
        <f t="shared" si="4"/>
        <v>0</v>
      </c>
      <c r="E69" s="202"/>
      <c r="F69" s="259"/>
      <c r="G69" s="219"/>
      <c r="H69" s="199"/>
      <c r="I69" s="200"/>
      <c r="J69" s="197"/>
      <c r="K69" s="179"/>
      <c r="L69" s="5"/>
      <c r="M69" s="5"/>
      <c r="N69" s="5"/>
      <c r="O69" s="203">
        <f>IF(O68+1&lt;=MIN('Données projet'!$E$9:$E$18),O68+1,"STOP")</f>
        <v>36</v>
      </c>
      <c r="P69" s="193">
        <f t="shared" si="5"/>
        <v>0</v>
      </c>
      <c r="Q69" s="26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88">
        <f>'Données projet'!A78</f>
        <v>0</v>
      </c>
      <c r="B70" s="189">
        <f>'Données projet'!D78</f>
        <v>0</v>
      </c>
      <c r="C70" s="202"/>
      <c r="D70" s="187">
        <f t="shared" si="4"/>
        <v>0</v>
      </c>
      <c r="E70" s="202"/>
      <c r="F70" s="259"/>
      <c r="G70" s="219"/>
      <c r="H70" s="199"/>
      <c r="I70" s="200"/>
      <c r="J70" s="197"/>
      <c r="K70" s="179"/>
      <c r="L70" s="5"/>
      <c r="M70" s="5"/>
      <c r="N70" s="5"/>
      <c r="O70" s="203">
        <f>IF(O69+1&lt;=MIN('Données projet'!$E$9:$E$18),O69+1,"STOP")</f>
        <v>37</v>
      </c>
      <c r="P70" s="193">
        <f t="shared" si="5"/>
        <v>0</v>
      </c>
      <c r="Q70" s="262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88">
        <f>'Données projet'!A79</f>
        <v>0</v>
      </c>
      <c r="B71" s="189">
        <f>'Données projet'!D79</f>
        <v>0</v>
      </c>
      <c r="C71" s="202"/>
      <c r="D71" s="187">
        <f t="shared" si="4"/>
        <v>0</v>
      </c>
      <c r="E71" s="202"/>
      <c r="F71" s="259"/>
      <c r="G71" s="219"/>
      <c r="H71" s="199"/>
      <c r="I71" s="200"/>
      <c r="J71" s="197"/>
      <c r="K71" s="179"/>
      <c r="L71" s="5"/>
      <c r="M71" s="5"/>
      <c r="N71" s="5"/>
      <c r="O71" s="203">
        <f>IF(O70+1&lt;=MIN('Données projet'!$E$9:$E$18),O70+1,"STOP")</f>
        <v>38</v>
      </c>
      <c r="P71" s="193">
        <f t="shared" si="5"/>
        <v>0</v>
      </c>
      <c r="Q71" s="26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88">
        <f>'Données projet'!A80</f>
        <v>0</v>
      </c>
      <c r="B72" s="189">
        <f>'Données projet'!D80</f>
        <v>0</v>
      </c>
      <c r="C72" s="202"/>
      <c r="D72" s="187">
        <f t="shared" si="4"/>
        <v>0</v>
      </c>
      <c r="E72" s="202"/>
      <c r="F72" s="259"/>
      <c r="G72" s="219"/>
      <c r="H72" s="199"/>
      <c r="I72" s="200"/>
      <c r="J72" s="5"/>
      <c r="K72" s="179"/>
      <c r="L72" s="5"/>
      <c r="M72" s="5"/>
      <c r="N72" s="5"/>
      <c r="O72" s="203">
        <f>IF(O71+1&lt;=MIN('Données projet'!$E$9:$E$18),O71+1,"STOP")</f>
        <v>39</v>
      </c>
      <c r="P72" s="193">
        <f t="shared" si="5"/>
        <v>0</v>
      </c>
      <c r="Q72" s="26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88">
        <f>'Données projet'!A81</f>
        <v>0</v>
      </c>
      <c r="B73" s="189">
        <f>'Données projet'!D81</f>
        <v>0</v>
      </c>
      <c r="C73" s="202"/>
      <c r="D73" s="187">
        <f t="shared" si="4"/>
        <v>0</v>
      </c>
      <c r="E73" s="202"/>
      <c r="F73" s="259"/>
      <c r="G73" s="219"/>
      <c r="H73" s="199"/>
      <c r="I73" s="200"/>
      <c r="J73" s="5"/>
      <c r="K73" s="179"/>
      <c r="L73" s="5"/>
      <c r="M73" s="5"/>
      <c r="N73" s="5"/>
      <c r="O73" s="203">
        <f>IF(O72+1&lt;=MIN('Données projet'!$E$9:$E$18),O72+1,"STOP")</f>
        <v>40</v>
      </c>
      <c r="P73" s="193">
        <f t="shared" si="5"/>
        <v>0</v>
      </c>
      <c r="Q73" s="262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7"/>
      <c r="G74" s="219"/>
      <c r="H74" s="199"/>
      <c r="I74" s="200"/>
      <c r="J74" s="5"/>
      <c r="K74" s="179"/>
      <c r="L74" s="5"/>
      <c r="M74" s="5"/>
      <c r="N74" s="5"/>
      <c r="O74" s="203">
        <f>IF(O73+1&lt;=MIN('Données projet'!$E$9:$E$18),O73+1,"STOP")</f>
        <v>41</v>
      </c>
      <c r="P74" s="193">
        <f t="shared" si="5"/>
        <v>0</v>
      </c>
      <c r="Q74" s="262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7"/>
      <c r="G75" s="219"/>
      <c r="H75" s="199"/>
      <c r="I75" s="200"/>
      <c r="J75" s="5"/>
      <c r="K75" s="179"/>
      <c r="L75" s="5"/>
      <c r="M75" s="5"/>
      <c r="N75" s="5"/>
      <c r="O75" s="203">
        <f>IF(O74+1&lt;=MIN('Données projet'!$E$9:$E$18),O74+1,"STOP")</f>
        <v>42</v>
      </c>
      <c r="P75" s="193">
        <f t="shared" si="5"/>
        <v>0</v>
      </c>
      <c r="Q75" s="26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2" t="str">
        <f>IF('Données projet'!B11="","",'Données projet'!B11)</f>
        <v>Chêne chevelu</v>
      </c>
      <c r="C76" s="5"/>
      <c r="D76" s="5"/>
      <c r="E76" s="5"/>
      <c r="F76" s="257"/>
      <c r="G76" s="219"/>
      <c r="H76" s="199"/>
      <c r="I76" s="200"/>
      <c r="J76" s="5"/>
      <c r="K76" s="179"/>
      <c r="L76" s="5"/>
      <c r="M76" s="5"/>
      <c r="N76" s="5"/>
      <c r="O76" s="203">
        <f>IF(O75+1&lt;=MIN('Données projet'!$E$9:$E$18),O75+1,"STOP")</f>
        <v>43</v>
      </c>
      <c r="P76" s="193">
        <f t="shared" si="5"/>
        <v>0</v>
      </c>
      <c r="Q76" s="26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7"/>
      <c r="G77" s="219"/>
      <c r="H77" s="199"/>
      <c r="I77" s="200"/>
      <c r="J77" s="5"/>
      <c r="K77" s="179"/>
      <c r="L77" s="5"/>
      <c r="M77" s="5"/>
      <c r="N77" s="5"/>
      <c r="O77" s="203">
        <f>IF(O76+1&lt;=MIN('Données projet'!$E$9:$E$18),O76+1,"STOP")</f>
        <v>44</v>
      </c>
      <c r="P77" s="193">
        <f t="shared" si="5"/>
        <v>0</v>
      </c>
      <c r="Q77" s="26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3" t="s">
        <v>180</v>
      </c>
      <c r="B78" s="51" t="s">
        <v>256</v>
      </c>
      <c r="C78" s="51" t="s">
        <v>255</v>
      </c>
      <c r="D78" s="253" t="s">
        <v>252</v>
      </c>
      <c r="E78" s="253" t="s">
        <v>320</v>
      </c>
      <c r="F78" s="258"/>
      <c r="G78" s="219"/>
      <c r="H78" s="199"/>
      <c r="I78" s="200"/>
      <c r="J78" s="5"/>
      <c r="K78" s="179"/>
      <c r="L78" s="5"/>
      <c r="M78" s="5"/>
      <c r="N78" s="5"/>
      <c r="O78" s="203">
        <f>IF(O77+1&lt;=MIN('Données projet'!$E$9:$E$18),O77+1,"STOP")</f>
        <v>45</v>
      </c>
      <c r="P78" s="193">
        <f t="shared" si="5"/>
        <v>0</v>
      </c>
      <c r="Q78" s="26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6">
        <v>0</v>
      </c>
      <c r="B79" s="209" t="s">
        <v>132</v>
      </c>
      <c r="C79" s="208" t="s">
        <v>132</v>
      </c>
      <c r="D79" s="207" t="s">
        <v>132</v>
      </c>
      <c r="E79" s="202"/>
      <c r="F79" s="258"/>
      <c r="G79" s="219"/>
      <c r="H79" s="199"/>
      <c r="I79" s="200"/>
      <c r="J79" s="5"/>
      <c r="K79" s="179"/>
      <c r="L79" s="5"/>
      <c r="M79" s="5"/>
      <c r="N79" s="5"/>
      <c r="O79" s="203">
        <f>IF(O78+1&lt;=MIN('Données projet'!$E$9:$E$18),O78+1,"STOP")</f>
        <v>46</v>
      </c>
      <c r="P79" s="193">
        <f t="shared" si="5"/>
        <v>0</v>
      </c>
      <c r="Q79" s="262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6">
        <v>1</v>
      </c>
      <c r="B80" s="209" t="s">
        <v>132</v>
      </c>
      <c r="C80" s="208" t="s">
        <v>132</v>
      </c>
      <c r="D80" s="207" t="s">
        <v>132</v>
      </c>
      <c r="E80" s="202"/>
      <c r="F80" s="258"/>
      <c r="G80" s="217"/>
      <c r="H80" s="199"/>
      <c r="I80" s="200"/>
      <c r="J80" s="5"/>
      <c r="K80" s="179"/>
      <c r="L80" s="5"/>
      <c r="M80" s="5"/>
      <c r="N80" s="5"/>
      <c r="O80" s="203">
        <f>IF(O79+1&lt;=MIN('Données projet'!$E$9:$E$18),O79+1,"STOP")</f>
        <v>47</v>
      </c>
      <c r="P80" s="193">
        <f t="shared" si="5"/>
        <v>0</v>
      </c>
      <c r="Q80" s="26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6">
        <v>2</v>
      </c>
      <c r="B81" s="209" t="s">
        <v>132</v>
      </c>
      <c r="C81" s="208" t="s">
        <v>132</v>
      </c>
      <c r="D81" s="207" t="s">
        <v>132</v>
      </c>
      <c r="E81" s="202"/>
      <c r="F81" s="258"/>
      <c r="G81" s="217"/>
      <c r="H81" s="199"/>
      <c r="I81" s="200"/>
      <c r="J81" s="5"/>
      <c r="K81" s="179"/>
      <c r="L81" s="5"/>
      <c r="M81" s="5"/>
      <c r="N81" s="5"/>
      <c r="O81" s="203">
        <f>IF(O80+1&lt;=MIN('Données projet'!$E$9:$E$18),O80+1,"STOP")</f>
        <v>48</v>
      </c>
      <c r="P81" s="193">
        <f t="shared" si="5"/>
        <v>0</v>
      </c>
      <c r="Q81" s="262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6">
        <v>3</v>
      </c>
      <c r="B82" s="209" t="s">
        <v>132</v>
      </c>
      <c r="C82" s="208" t="s">
        <v>132</v>
      </c>
      <c r="D82" s="207" t="s">
        <v>132</v>
      </c>
      <c r="E82" s="202"/>
      <c r="F82" s="258"/>
      <c r="G82" s="217"/>
      <c r="H82" s="199"/>
      <c r="I82" s="200"/>
      <c r="J82" s="5"/>
      <c r="K82" s="179"/>
      <c r="L82" s="5"/>
      <c r="M82" s="5"/>
      <c r="N82" s="5"/>
      <c r="O82" s="203">
        <f>IF(O81+1&lt;=MIN('Données projet'!$E$9:$E$18),O81+1,"STOP")</f>
        <v>49</v>
      </c>
      <c r="P82" s="193">
        <f t="shared" si="5"/>
        <v>0</v>
      </c>
      <c r="Q82" s="26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6">
        <v>4</v>
      </c>
      <c r="B83" s="209" t="s">
        <v>132</v>
      </c>
      <c r="C83" s="208" t="s">
        <v>132</v>
      </c>
      <c r="D83" s="207" t="s">
        <v>132</v>
      </c>
      <c r="E83" s="202"/>
      <c r="F83" s="258"/>
      <c r="G83" s="217"/>
      <c r="H83" s="199"/>
      <c r="I83" s="200"/>
      <c r="J83" s="5"/>
      <c r="K83" s="179"/>
      <c r="L83" s="5"/>
      <c r="M83" s="5"/>
      <c r="N83" s="5"/>
      <c r="O83" s="203">
        <f>IF(O82+1&lt;=MIN('Données projet'!$E$9:$E$18),O82+1,"STOP")</f>
        <v>50</v>
      </c>
      <c r="P83" s="193">
        <f t="shared" si="5"/>
        <v>0</v>
      </c>
      <c r="Q83" s="262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6">
        <v>5</v>
      </c>
      <c r="B84" s="209" t="s">
        <v>132</v>
      </c>
      <c r="C84" s="208" t="s">
        <v>132</v>
      </c>
      <c r="D84" s="207" t="s">
        <v>132</v>
      </c>
      <c r="E84" s="202"/>
      <c r="F84" s="258"/>
      <c r="G84" s="218"/>
      <c r="H84" s="199"/>
      <c r="I84" s="200"/>
      <c r="J84" s="5"/>
      <c r="K84" s="179"/>
      <c r="L84" s="5"/>
      <c r="M84" s="5"/>
      <c r="N84" s="5"/>
      <c r="O84" s="203">
        <f>IF(O83+1&lt;=MIN('Données projet'!$E$9:$E$18),O83+1,"STOP")</f>
        <v>51</v>
      </c>
      <c r="P84" s="193">
        <f t="shared" si="5"/>
        <v>0</v>
      </c>
      <c r="Q84" s="26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88">
        <f>'Données projet'!A88</f>
        <v>15</v>
      </c>
      <c r="B85" s="189">
        <f>'Données projet'!D88</f>
        <v>0</v>
      </c>
      <c r="C85" s="200"/>
      <c r="D85" s="187">
        <f>B85*C85</f>
        <v>0</v>
      </c>
      <c r="E85" s="202"/>
      <c r="F85" s="259"/>
      <c r="G85" s="218"/>
      <c r="H85" s="199"/>
      <c r="I85" s="200"/>
      <c r="J85" s="5"/>
      <c r="K85" s="179"/>
      <c r="L85" s="5"/>
      <c r="M85" s="5"/>
      <c r="N85" s="5"/>
      <c r="O85" s="203">
        <f>IF(O84+1&lt;=MIN('Données projet'!$E$9:$E$18),O84+1,"STOP")</f>
        <v>52</v>
      </c>
      <c r="P85" s="193">
        <f t="shared" si="5"/>
        <v>0</v>
      </c>
      <c r="Q85" s="262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88">
        <f>'Données projet'!A89</f>
        <v>20</v>
      </c>
      <c r="B86" s="189">
        <f>'Données projet'!D89</f>
        <v>0</v>
      </c>
      <c r="C86" s="200"/>
      <c r="D86" s="187">
        <f t="shared" ref="D86:D104" si="6">B86*C86</f>
        <v>0</v>
      </c>
      <c r="E86" s="202"/>
      <c r="F86" s="259"/>
      <c r="G86" s="218"/>
      <c r="H86" s="199"/>
      <c r="I86" s="200"/>
      <c r="J86" s="5"/>
      <c r="K86" s="179"/>
      <c r="L86" s="5"/>
      <c r="M86" s="5"/>
      <c r="N86" s="5"/>
      <c r="O86" s="203">
        <f>IF(O85+1&lt;=MIN('Données projet'!$E$9:$E$18),O85+1,"STOP")</f>
        <v>53</v>
      </c>
      <c r="P86" s="193">
        <f t="shared" si="5"/>
        <v>0</v>
      </c>
      <c r="Q86" s="26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88">
        <f>'Données projet'!A90</f>
        <v>25</v>
      </c>
      <c r="B87" s="189">
        <f>'Données projet'!D90</f>
        <v>18.589743589743588</v>
      </c>
      <c r="C87" s="200">
        <v>10</v>
      </c>
      <c r="D87" s="187">
        <f t="shared" si="6"/>
        <v>185.89743589743588</v>
      </c>
      <c r="E87" s="202"/>
      <c r="F87" s="259"/>
      <c r="G87" s="218"/>
      <c r="H87" s="199"/>
      <c r="I87" s="200"/>
      <c r="J87" s="5"/>
      <c r="K87" s="179"/>
      <c r="L87" s="5"/>
      <c r="M87" s="5"/>
      <c r="N87" s="5"/>
      <c r="O87" s="203">
        <f>IF(O86+1&lt;=MIN('Données projet'!$E$9:$E$18),O86+1,"STOP")</f>
        <v>54</v>
      </c>
      <c r="P87" s="193">
        <f t="shared" si="5"/>
        <v>0</v>
      </c>
      <c r="Q87" s="26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88">
        <f>'Données projet'!A91</f>
        <v>30</v>
      </c>
      <c r="B88" s="189">
        <f>'Données projet'!D91</f>
        <v>0</v>
      </c>
      <c r="C88" s="200"/>
      <c r="D88" s="187">
        <f t="shared" si="6"/>
        <v>0</v>
      </c>
      <c r="E88" s="202"/>
      <c r="F88" s="259"/>
      <c r="G88" s="218"/>
      <c r="H88" s="199"/>
      <c r="I88" s="200"/>
      <c r="J88" s="5"/>
      <c r="K88" s="179"/>
      <c r="L88" s="5"/>
      <c r="M88" s="5"/>
      <c r="N88" s="5"/>
      <c r="O88" s="203">
        <f>IF(O87+1&lt;=MIN('Données projet'!$E$9:$E$18),O87+1,"STOP")</f>
        <v>55</v>
      </c>
      <c r="P88" s="193">
        <f t="shared" si="5"/>
        <v>0</v>
      </c>
      <c r="Q88" s="262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88">
        <f>'Données projet'!A92</f>
        <v>35</v>
      </c>
      <c r="B89" s="189">
        <f>'Données projet'!D92</f>
        <v>20.512820512820511</v>
      </c>
      <c r="C89" s="200">
        <v>10</v>
      </c>
      <c r="D89" s="187">
        <f t="shared" si="6"/>
        <v>205.12820512820511</v>
      </c>
      <c r="E89" s="202"/>
      <c r="F89" s="259"/>
      <c r="G89" s="218"/>
      <c r="H89" s="199"/>
      <c r="I89" s="200"/>
      <c r="J89" s="5"/>
      <c r="K89" s="179"/>
      <c r="L89" s="5"/>
      <c r="M89" s="5"/>
      <c r="N89" s="5"/>
      <c r="O89" s="203">
        <f>IF(O88+1&lt;=MIN('Données projet'!$E$9:$E$18),O88+1,"STOP")</f>
        <v>56</v>
      </c>
      <c r="P89" s="193">
        <f t="shared" si="5"/>
        <v>0</v>
      </c>
      <c r="Q89" s="262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88">
        <f>'Données projet'!A93</f>
        <v>40</v>
      </c>
      <c r="B90" s="189">
        <f>'Données projet'!D93</f>
        <v>0</v>
      </c>
      <c r="C90" s="200"/>
      <c r="D90" s="187">
        <f t="shared" si="6"/>
        <v>0</v>
      </c>
      <c r="E90" s="202"/>
      <c r="F90" s="259"/>
      <c r="G90" s="218"/>
      <c r="H90" s="199"/>
      <c r="I90" s="200"/>
      <c r="J90" s="5"/>
      <c r="K90" s="179"/>
      <c r="L90" s="5"/>
      <c r="M90" s="5"/>
      <c r="N90" s="5"/>
      <c r="O90" s="203">
        <f>IF(O89+1&lt;=MIN('Données projet'!$E$9:$E$18),O89+1,"STOP")</f>
        <v>57</v>
      </c>
      <c r="P90" s="193">
        <f t="shared" si="5"/>
        <v>0</v>
      </c>
      <c r="Q90" s="26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88">
        <f>'Données projet'!A94</f>
        <v>45</v>
      </c>
      <c r="B91" s="189">
        <f>'Données projet'!D94</f>
        <v>23.717948717948715</v>
      </c>
      <c r="C91" s="200">
        <v>15</v>
      </c>
      <c r="D91" s="187">
        <f t="shared" si="6"/>
        <v>355.76923076923072</v>
      </c>
      <c r="E91" s="202"/>
      <c r="F91" s="259"/>
      <c r="G91" s="219"/>
      <c r="H91" s="199"/>
      <c r="I91" s="200"/>
      <c r="J91" s="5"/>
      <c r="K91" s="179"/>
      <c r="L91" s="5"/>
      <c r="M91" s="5"/>
      <c r="N91" s="5"/>
      <c r="O91" s="203">
        <f>IF(O90+1&lt;=MIN('Données projet'!$E$9:$E$18),O90+1,"STOP")</f>
        <v>58</v>
      </c>
      <c r="P91" s="193">
        <f t="shared" si="5"/>
        <v>0</v>
      </c>
      <c r="Q91" s="26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88">
        <f>'Données projet'!A95</f>
        <v>50</v>
      </c>
      <c r="B92" s="189">
        <f>'Données projet'!D95</f>
        <v>0</v>
      </c>
      <c r="C92" s="200"/>
      <c r="D92" s="187">
        <f t="shared" si="6"/>
        <v>0</v>
      </c>
      <c r="E92" s="202"/>
      <c r="F92" s="259"/>
      <c r="G92" s="219"/>
      <c r="H92" s="199"/>
      <c r="I92" s="200"/>
      <c r="J92" s="5"/>
      <c r="K92" s="179"/>
      <c r="L92" s="5"/>
      <c r="M92" s="5"/>
      <c r="N92" s="5"/>
      <c r="O92" s="203">
        <f>IF(O91+1&lt;=MIN('Données projet'!$E$9:$E$18),O91+1,"STOP")</f>
        <v>59</v>
      </c>
      <c r="P92" s="193">
        <f t="shared" si="5"/>
        <v>0</v>
      </c>
      <c r="Q92" s="262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88">
        <f>'Données projet'!A96</f>
        <v>55</v>
      </c>
      <c r="B93" s="189">
        <f>'Données projet'!D96</f>
        <v>24.358974358974358</v>
      </c>
      <c r="C93" s="200">
        <v>20</v>
      </c>
      <c r="D93" s="187">
        <f t="shared" si="6"/>
        <v>487.17948717948718</v>
      </c>
      <c r="E93" s="202"/>
      <c r="F93" s="259"/>
      <c r="G93" s="219"/>
      <c r="H93" s="199"/>
      <c r="I93" s="200"/>
      <c r="J93" s="5"/>
      <c r="K93" s="179"/>
      <c r="L93" s="5"/>
      <c r="M93" s="5"/>
      <c r="N93" s="5"/>
      <c r="O93" s="203">
        <f>IF(O92+1&lt;=MIN('Données projet'!$E$9:$E$18),O92+1,"STOP")</f>
        <v>60</v>
      </c>
      <c r="P93" s="193">
        <f t="shared" si="5"/>
        <v>0</v>
      </c>
      <c r="Q93" s="26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88">
        <f>'Données projet'!A97</f>
        <v>60</v>
      </c>
      <c r="B94" s="189">
        <f>'Données projet'!D97</f>
        <v>0</v>
      </c>
      <c r="C94" s="200"/>
      <c r="D94" s="187">
        <f t="shared" si="6"/>
        <v>0</v>
      </c>
      <c r="E94" s="202"/>
      <c r="F94" s="259"/>
      <c r="G94" s="219"/>
      <c r="H94" s="199"/>
      <c r="I94" s="200"/>
      <c r="J94" s="5"/>
      <c r="K94" s="179"/>
      <c r="L94" s="5"/>
      <c r="M94" s="5"/>
      <c r="N94" s="5"/>
      <c r="O94" s="203" t="str">
        <f>IF(O93+1&lt;=MIN('Données projet'!$E$9:$E$18),O93+1,"STOP")</f>
        <v>STOP</v>
      </c>
      <c r="P94" s="193" t="e">
        <f t="shared" si="5"/>
        <v>#VALUE!</v>
      </c>
      <c r="Q94" s="26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88">
        <f>'Données projet'!A98</f>
        <v>65</v>
      </c>
      <c r="B95" s="189">
        <f>'Données projet'!D98</f>
        <v>23.717948717948715</v>
      </c>
      <c r="C95" s="200">
        <v>40</v>
      </c>
      <c r="D95" s="187">
        <f t="shared" si="6"/>
        <v>948.71794871794862</v>
      </c>
      <c r="E95" s="202"/>
      <c r="F95" s="259"/>
      <c r="G95" s="219"/>
      <c r="H95" s="199"/>
      <c r="I95" s="200"/>
      <c r="J95" s="5"/>
      <c r="K95" s="179"/>
      <c r="L95" s="5"/>
      <c r="M95" s="5"/>
      <c r="N95" s="5"/>
      <c r="O95" s="203" t="e">
        <f>IF(O94+1&lt;=MIN('Données projet'!$E$9:$E$18),O94+1,"STOP")</f>
        <v>#VALUE!</v>
      </c>
      <c r="P95" s="193" t="e">
        <f t="shared" si="5"/>
        <v>#VALUE!</v>
      </c>
      <c r="Q95" s="262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88">
        <f>'Données projet'!A99</f>
        <v>70</v>
      </c>
      <c r="B96" s="189">
        <f>'Données projet'!D99</f>
        <v>0</v>
      </c>
      <c r="C96" s="200"/>
      <c r="D96" s="187">
        <f t="shared" si="6"/>
        <v>0</v>
      </c>
      <c r="E96" s="202"/>
      <c r="F96" s="259"/>
      <c r="G96" s="219"/>
      <c r="H96" s="199"/>
      <c r="I96" s="200"/>
      <c r="J96" s="5"/>
      <c r="K96" s="179"/>
      <c r="L96" s="5"/>
      <c r="M96" s="5"/>
      <c r="N96" s="5"/>
      <c r="O96" s="203" t="e">
        <f>IF(O95+1&lt;=MIN('Données projet'!$E$9:$E$18),O95+1,"STOP")</f>
        <v>#VALUE!</v>
      </c>
      <c r="P96" s="193" t="e">
        <f t="shared" si="5"/>
        <v>#VALUE!</v>
      </c>
      <c r="Q96" s="26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88">
        <f>'Données projet'!A100</f>
        <v>75</v>
      </c>
      <c r="B97" s="189">
        <f>'Données projet'!D100</f>
        <v>23.076923076923077</v>
      </c>
      <c r="C97" s="200">
        <v>60</v>
      </c>
      <c r="D97" s="187">
        <f t="shared" si="6"/>
        <v>1384.6153846153845</v>
      </c>
      <c r="E97" s="202"/>
      <c r="F97" s="259"/>
      <c r="G97" s="219"/>
      <c r="H97" s="199"/>
      <c r="I97" s="200"/>
      <c r="J97" s="5"/>
      <c r="K97" s="179"/>
      <c r="L97" s="5"/>
      <c r="M97" s="5"/>
      <c r="N97" s="5"/>
      <c r="O97" s="203" t="e">
        <f>IF(O96+1&lt;=MIN('Données projet'!$E$9:$E$18),O96+1,"STOP")</f>
        <v>#VALUE!</v>
      </c>
      <c r="P97" s="193" t="e">
        <f t="shared" ref="P97:P128" si="7">$P$25/(1+$M$4)^O97</f>
        <v>#VALUE!</v>
      </c>
      <c r="Q97" s="262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88">
        <f>'Données projet'!A101</f>
        <v>80</v>
      </c>
      <c r="B98" s="189">
        <f>'Données projet'!D101</f>
        <v>0</v>
      </c>
      <c r="C98" s="200"/>
      <c r="D98" s="187">
        <f t="shared" si="6"/>
        <v>0</v>
      </c>
      <c r="E98" s="202"/>
      <c r="F98" s="259"/>
      <c r="G98" s="219"/>
      <c r="H98" s="199"/>
      <c r="I98" s="200"/>
      <c r="J98" s="5"/>
      <c r="K98" s="179"/>
      <c r="L98" s="5"/>
      <c r="M98" s="5"/>
      <c r="N98" s="5"/>
      <c r="O98" s="203" t="e">
        <f>IF(O97+1&lt;=MIN('Données projet'!$E$9:$E$18),O97+1,"STOP")</f>
        <v>#VALUE!</v>
      </c>
      <c r="P98" s="193" t="e">
        <f t="shared" si="7"/>
        <v>#VALUE!</v>
      </c>
      <c r="Q98" s="262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88">
        <f>'Données projet'!A102</f>
        <v>85</v>
      </c>
      <c r="B99" s="189">
        <f>'Données projet'!D102</f>
        <v>21.794871794871796</v>
      </c>
      <c r="C99" s="200">
        <v>100</v>
      </c>
      <c r="D99" s="187">
        <f t="shared" si="6"/>
        <v>2179.4871794871797</v>
      </c>
      <c r="E99" s="202"/>
      <c r="F99" s="259"/>
      <c r="G99" s="219"/>
      <c r="H99" s="199"/>
      <c r="I99" s="200"/>
      <c r="J99" s="5"/>
      <c r="K99" s="179"/>
      <c r="L99" s="5"/>
      <c r="M99" s="5"/>
      <c r="N99" s="5"/>
      <c r="O99" s="203" t="e">
        <f>IF(O98+1&lt;=MIN('Données projet'!$E$9:$E$18),O98+1,"STOP")</f>
        <v>#VALUE!</v>
      </c>
      <c r="P99" s="193" t="e">
        <f t="shared" si="7"/>
        <v>#VALUE!</v>
      </c>
      <c r="Q99" s="262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88">
        <f>'Données projet'!A103</f>
        <v>90</v>
      </c>
      <c r="B100" s="189">
        <f>'Données projet'!D103</f>
        <v>0</v>
      </c>
      <c r="C100" s="200"/>
      <c r="D100" s="187">
        <f t="shared" si="6"/>
        <v>0</v>
      </c>
      <c r="E100" s="202"/>
      <c r="F100" s="259"/>
      <c r="G100" s="219"/>
      <c r="H100" s="199"/>
      <c r="I100" s="200"/>
      <c r="J100" s="5"/>
      <c r="K100" s="179"/>
      <c r="L100" s="5"/>
      <c r="M100" s="5"/>
      <c r="N100" s="5"/>
      <c r="O100" s="203" t="e">
        <f>IF(O99+1&lt;=MIN('Données projet'!$E$9:$E$18),O99+1,"STOP")</f>
        <v>#VALUE!</v>
      </c>
      <c r="P100" s="193" t="e">
        <f t="shared" si="7"/>
        <v>#VALUE!</v>
      </c>
      <c r="Q100" s="26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88">
        <f>'Données projet'!A104</f>
        <v>100</v>
      </c>
      <c r="B101" s="189">
        <f>'Données projet'!D104</f>
        <v>30.769230769230766</v>
      </c>
      <c r="C101" s="200">
        <v>130</v>
      </c>
      <c r="D101" s="187">
        <f t="shared" si="6"/>
        <v>3999.9999999999995</v>
      </c>
      <c r="E101" s="202"/>
      <c r="F101" s="259"/>
      <c r="G101" s="219"/>
      <c r="H101" s="199"/>
      <c r="I101" s="200"/>
      <c r="J101" s="5"/>
      <c r="K101" s="179"/>
      <c r="L101" s="5"/>
      <c r="M101" s="5"/>
      <c r="N101" s="5"/>
      <c r="O101" s="203" t="e">
        <f>IF(O100+1&lt;=MIN('Données projet'!$E$9:$E$18),O100+1,"STOP")</f>
        <v>#VALUE!</v>
      </c>
      <c r="P101" s="193" t="e">
        <f t="shared" si="7"/>
        <v>#VALUE!</v>
      </c>
      <c r="Q101" s="262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88">
        <f>'Données projet'!A105</f>
        <v>110</v>
      </c>
      <c r="B102" s="189">
        <f>'Données projet'!D105</f>
        <v>19.23076923076923</v>
      </c>
      <c r="C102" s="200">
        <v>140</v>
      </c>
      <c r="D102" s="187">
        <f t="shared" si="6"/>
        <v>2692.3076923076924</v>
      </c>
      <c r="E102" s="202"/>
      <c r="F102" s="259"/>
      <c r="G102" s="219"/>
      <c r="H102" s="199"/>
      <c r="I102" s="200"/>
      <c r="J102" s="5"/>
      <c r="K102" s="179"/>
      <c r="L102" s="5"/>
      <c r="M102" s="5"/>
      <c r="N102" s="5"/>
      <c r="O102" s="203" t="e">
        <f>IF(O101+1&lt;=MIN('Données projet'!$E$9:$E$18),O101+1,"STOP")</f>
        <v>#VALUE!</v>
      </c>
      <c r="P102" s="193" t="e">
        <f t="shared" si="7"/>
        <v>#VALUE!</v>
      </c>
      <c r="Q102" s="262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88">
        <f>'Données projet'!A106</f>
        <v>120</v>
      </c>
      <c r="B103" s="189">
        <f>'Données projet'!D106</f>
        <v>17.948717948717949</v>
      </c>
      <c r="C103" s="200">
        <v>150</v>
      </c>
      <c r="D103" s="187">
        <f t="shared" si="6"/>
        <v>2692.3076923076924</v>
      </c>
      <c r="E103" s="202"/>
      <c r="F103" s="259"/>
      <c r="G103" s="219"/>
      <c r="H103" s="199"/>
      <c r="I103" s="200"/>
      <c r="J103" s="5"/>
      <c r="K103" s="179"/>
      <c r="L103" s="5"/>
      <c r="M103" s="5"/>
      <c r="N103" s="5"/>
      <c r="O103" s="203" t="e">
        <f>IF(O102+1&lt;=MIN('Données projet'!$E$9:$E$18),O102+1,"STOP")</f>
        <v>#VALUE!</v>
      </c>
      <c r="P103" s="193" t="e">
        <f t="shared" si="7"/>
        <v>#VALUE!</v>
      </c>
      <c r="Q103" s="262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88">
        <f>'Données projet'!A107</f>
        <v>130</v>
      </c>
      <c r="B104" s="189">
        <f>'Données projet'!D107</f>
        <v>339.10256410256409</v>
      </c>
      <c r="C104" s="200">
        <v>200</v>
      </c>
      <c r="D104" s="187">
        <f t="shared" si="6"/>
        <v>67820.512820512813</v>
      </c>
      <c r="E104" s="202"/>
      <c r="F104" s="259"/>
      <c r="G104" s="219"/>
      <c r="H104" s="199"/>
      <c r="I104" s="200"/>
      <c r="J104" s="5"/>
      <c r="K104" s="179"/>
      <c r="L104" s="5"/>
      <c r="M104" s="5"/>
      <c r="N104" s="5"/>
      <c r="O104" s="203" t="e">
        <f>IF(O103+1&lt;=MIN('Données projet'!$E$9:$E$18),O103+1,"STOP")</f>
        <v>#VALUE!</v>
      </c>
      <c r="P104" s="193" t="e">
        <f t="shared" si="7"/>
        <v>#VALUE!</v>
      </c>
      <c r="Q104" s="262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7"/>
      <c r="G105" s="219"/>
      <c r="H105" s="199"/>
      <c r="I105" s="200"/>
      <c r="J105" s="5"/>
      <c r="K105" s="179"/>
      <c r="L105" s="5"/>
      <c r="M105" s="5"/>
      <c r="N105" s="5"/>
      <c r="O105" s="203" t="e">
        <f>IF(O104+1&lt;=MIN('Données projet'!$E$9:$E$18),O104+1,"STOP")</f>
        <v>#VALUE!</v>
      </c>
      <c r="P105" s="193" t="e">
        <f t="shared" si="7"/>
        <v>#VALUE!</v>
      </c>
      <c r="Q105" s="262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7"/>
      <c r="G106" s="219"/>
      <c r="H106" s="199"/>
      <c r="I106" s="200"/>
      <c r="J106" s="5"/>
      <c r="K106" s="179"/>
      <c r="L106" s="5"/>
      <c r="M106" s="5"/>
      <c r="N106" s="5"/>
      <c r="O106" s="203" t="e">
        <f>IF(O105+1&lt;=MIN('Données projet'!$E$9:$E$18),O105+1,"STOP")</f>
        <v>#VALUE!</v>
      </c>
      <c r="P106" s="193" t="e">
        <f t="shared" si="7"/>
        <v>#VALUE!</v>
      </c>
      <c r="Q106" s="262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2" t="str">
        <f>IF('Données projet'!B12="","",'Données projet'!B12)</f>
        <v>Cèdre de l'Atlas</v>
      </c>
      <c r="C107" s="5"/>
      <c r="D107" s="5"/>
      <c r="E107" s="5"/>
      <c r="F107" s="257"/>
      <c r="G107" s="219"/>
      <c r="H107" s="199"/>
      <c r="I107" s="200"/>
      <c r="J107" s="5"/>
      <c r="K107" s="179"/>
      <c r="L107" s="5"/>
      <c r="M107" s="5"/>
      <c r="N107" s="5"/>
      <c r="O107" s="203" t="e">
        <f>IF(O106+1&lt;=MIN('Données projet'!$E$9:$E$18),O106+1,"STOP")</f>
        <v>#VALUE!</v>
      </c>
      <c r="P107" s="193" t="e">
        <f t="shared" si="7"/>
        <v>#VALUE!</v>
      </c>
      <c r="Q107" s="262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7"/>
      <c r="G108" s="219"/>
      <c r="H108" s="199"/>
      <c r="I108" s="200"/>
      <c r="J108" s="5"/>
      <c r="K108" s="179"/>
      <c r="L108" s="5"/>
      <c r="M108" s="5"/>
      <c r="N108" s="5"/>
      <c r="O108" s="203" t="e">
        <f>IF(O107+1&lt;=MIN('Données projet'!$E$9:$E$18),O107+1,"STOP")</f>
        <v>#VALUE!</v>
      </c>
      <c r="P108" s="193" t="e">
        <f t="shared" si="7"/>
        <v>#VALUE!</v>
      </c>
      <c r="Q108" s="262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3" t="s">
        <v>180</v>
      </c>
      <c r="B109" s="51" t="s">
        <v>256</v>
      </c>
      <c r="C109" s="51" t="s">
        <v>255</v>
      </c>
      <c r="D109" s="253" t="s">
        <v>252</v>
      </c>
      <c r="E109" s="253" t="s">
        <v>320</v>
      </c>
      <c r="F109" s="258"/>
      <c r="G109" s="219"/>
      <c r="H109" s="199"/>
      <c r="I109" s="200"/>
      <c r="J109" s="5"/>
      <c r="K109" s="179"/>
      <c r="L109" s="5"/>
      <c r="M109" s="5"/>
      <c r="N109" s="5"/>
      <c r="O109" s="203" t="e">
        <f>IF(O108+1&lt;=MIN('Données projet'!$E$9:$E$18),O108+1,"STOP")</f>
        <v>#VALUE!</v>
      </c>
      <c r="P109" s="193" t="e">
        <f t="shared" si="7"/>
        <v>#VALUE!</v>
      </c>
      <c r="Q109" s="262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6">
        <v>0</v>
      </c>
      <c r="B110" s="209" t="s">
        <v>132</v>
      </c>
      <c r="C110" s="208" t="s">
        <v>132</v>
      </c>
      <c r="D110" s="207" t="s">
        <v>132</v>
      </c>
      <c r="E110" s="202"/>
      <c r="F110" s="258"/>
      <c r="G110" s="219"/>
      <c r="H110" s="199"/>
      <c r="I110" s="200"/>
      <c r="J110" s="5"/>
      <c r="K110" s="179"/>
      <c r="L110" s="5"/>
      <c r="M110" s="5"/>
      <c r="N110" s="5"/>
      <c r="O110" s="203" t="e">
        <f>IF(O109+1&lt;=MIN('Données projet'!$E$9:$E$18),O109+1,"STOP")</f>
        <v>#VALUE!</v>
      </c>
      <c r="P110" s="193" t="e">
        <f t="shared" si="7"/>
        <v>#VALUE!</v>
      </c>
      <c r="Q110" s="262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6">
        <v>1</v>
      </c>
      <c r="B111" s="209" t="s">
        <v>132</v>
      </c>
      <c r="C111" s="208" t="s">
        <v>132</v>
      </c>
      <c r="D111" s="207" t="s">
        <v>132</v>
      </c>
      <c r="E111" s="202"/>
      <c r="F111" s="258"/>
      <c r="G111" s="217"/>
      <c r="H111" s="199"/>
      <c r="I111" s="200"/>
      <c r="J111" s="5"/>
      <c r="K111" s="179"/>
      <c r="L111" s="5"/>
      <c r="M111" s="5"/>
      <c r="N111" s="5"/>
      <c r="O111" s="203" t="e">
        <f>IF(O110+1&lt;=MIN('Données projet'!$E$9:$E$18),O110+1,"STOP")</f>
        <v>#VALUE!</v>
      </c>
      <c r="P111" s="193" t="e">
        <f t="shared" si="7"/>
        <v>#VALUE!</v>
      </c>
      <c r="Q111" s="262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6">
        <v>2</v>
      </c>
      <c r="B112" s="209" t="s">
        <v>132</v>
      </c>
      <c r="C112" s="208" t="s">
        <v>132</v>
      </c>
      <c r="D112" s="207" t="s">
        <v>132</v>
      </c>
      <c r="E112" s="202"/>
      <c r="F112" s="258"/>
      <c r="G112" s="217"/>
      <c r="H112" s="199"/>
      <c r="I112" s="200"/>
      <c r="J112" s="5"/>
      <c r="K112" s="179"/>
      <c r="L112" s="5"/>
      <c r="M112" s="5"/>
      <c r="N112" s="5"/>
      <c r="O112" s="203" t="e">
        <f>IF(O111+1&lt;=MIN('Données projet'!$E$9:$E$18),O111+1,"STOP")</f>
        <v>#VALUE!</v>
      </c>
      <c r="P112" s="193" t="e">
        <f t="shared" si="7"/>
        <v>#VALUE!</v>
      </c>
      <c r="Q112" s="262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6">
        <v>3</v>
      </c>
      <c r="B113" s="209" t="s">
        <v>132</v>
      </c>
      <c r="C113" s="208" t="s">
        <v>132</v>
      </c>
      <c r="D113" s="207" t="s">
        <v>132</v>
      </c>
      <c r="E113" s="202"/>
      <c r="F113" s="258"/>
      <c r="G113" s="217"/>
      <c r="H113" s="199"/>
      <c r="I113" s="200"/>
      <c r="J113" s="5"/>
      <c r="K113" s="179"/>
      <c r="L113" s="5"/>
      <c r="M113" s="5"/>
      <c r="N113" s="5"/>
      <c r="O113" s="203" t="e">
        <f>IF(O112+1&lt;=MIN('Données projet'!$E$9:$E$18),O112+1,"STOP")</f>
        <v>#VALUE!</v>
      </c>
      <c r="P113" s="193" t="e">
        <f t="shared" si="7"/>
        <v>#VALUE!</v>
      </c>
      <c r="Q113" s="262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6">
        <v>4</v>
      </c>
      <c r="B114" s="209" t="s">
        <v>132</v>
      </c>
      <c r="C114" s="208" t="s">
        <v>132</v>
      </c>
      <c r="D114" s="207" t="s">
        <v>132</v>
      </c>
      <c r="E114" s="202"/>
      <c r="F114" s="258"/>
      <c r="G114" s="217"/>
      <c r="H114" s="199"/>
      <c r="I114" s="200"/>
      <c r="J114" s="5"/>
      <c r="K114" s="179"/>
      <c r="L114" s="5"/>
      <c r="M114" s="5"/>
      <c r="N114" s="5"/>
      <c r="O114" s="203" t="e">
        <f>IF(O113+1&lt;=MIN('Données projet'!$E$9:$E$18),O113+1,"STOP")</f>
        <v>#VALUE!</v>
      </c>
      <c r="P114" s="193" t="e">
        <f t="shared" si="7"/>
        <v>#VALUE!</v>
      </c>
      <c r="Q114" s="262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6">
        <v>5</v>
      </c>
      <c r="B115" s="209" t="s">
        <v>132</v>
      </c>
      <c r="C115" s="208" t="s">
        <v>132</v>
      </c>
      <c r="D115" s="207" t="s">
        <v>132</v>
      </c>
      <c r="E115" s="202"/>
      <c r="F115" s="258"/>
      <c r="G115" s="218"/>
      <c r="H115" s="199"/>
      <c r="I115" s="200"/>
      <c r="J115" s="5"/>
      <c r="K115" s="179"/>
      <c r="L115" s="5"/>
      <c r="M115" s="5"/>
      <c r="N115" s="5"/>
      <c r="O115" s="203" t="e">
        <f>IF(O114+1&lt;=MIN('Données projet'!$E$9:$E$18),O114+1,"STOP")</f>
        <v>#VALUE!</v>
      </c>
      <c r="P115" s="193" t="e">
        <f t="shared" si="7"/>
        <v>#VALUE!</v>
      </c>
      <c r="Q115" s="262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88">
        <f>'Données projet'!A114</f>
        <v>30</v>
      </c>
      <c r="B116" s="189">
        <f>'Données projet'!D114</f>
        <v>0</v>
      </c>
      <c r="C116" s="200"/>
      <c r="D116" s="187">
        <f>B116*C116</f>
        <v>0</v>
      </c>
      <c r="E116" s="202"/>
      <c r="F116" s="259"/>
      <c r="G116" s="218"/>
      <c r="H116" s="199"/>
      <c r="I116" s="200"/>
      <c r="J116" s="5"/>
      <c r="K116" s="179"/>
      <c r="L116" s="5"/>
      <c r="M116" s="5"/>
      <c r="N116" s="5"/>
      <c r="O116" s="203" t="e">
        <f>IF(O115+1&lt;=MIN('Données projet'!$E$9:$E$18),O115+1,"STOP")</f>
        <v>#VALUE!</v>
      </c>
      <c r="P116" s="193" t="e">
        <f t="shared" si="7"/>
        <v>#VALUE!</v>
      </c>
      <c r="Q116" s="262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88">
        <f>'Données projet'!A115</f>
        <v>51</v>
      </c>
      <c r="B117" s="189">
        <f>'Données projet'!D115</f>
        <v>100</v>
      </c>
      <c r="C117" s="200">
        <v>15</v>
      </c>
      <c r="D117" s="187">
        <f t="shared" ref="D117:D135" si="8">B117*C117</f>
        <v>1500</v>
      </c>
      <c r="E117" s="202"/>
      <c r="F117" s="259"/>
      <c r="G117" s="218"/>
      <c r="H117" s="199"/>
      <c r="I117" s="200"/>
      <c r="J117" s="5"/>
      <c r="K117" s="179"/>
      <c r="L117" s="5"/>
      <c r="M117" s="5"/>
      <c r="N117" s="5"/>
      <c r="O117" s="203" t="e">
        <f>IF(O116+1&lt;=MIN('Données projet'!$E$9:$E$18),O116+1,"STOP")</f>
        <v>#VALUE!</v>
      </c>
      <c r="P117" s="193" t="e">
        <f t="shared" si="7"/>
        <v>#VALUE!</v>
      </c>
      <c r="Q117" s="262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88">
        <f>'Données projet'!A116</f>
        <v>63</v>
      </c>
      <c r="B118" s="189">
        <f>'Données projet'!D116</f>
        <v>108.46153846153845</v>
      </c>
      <c r="C118" s="200">
        <v>20</v>
      </c>
      <c r="D118" s="187">
        <f t="shared" si="8"/>
        <v>2169.2307692307691</v>
      </c>
      <c r="E118" s="202"/>
      <c r="F118" s="259"/>
      <c r="G118" s="218"/>
      <c r="H118" s="199"/>
      <c r="I118" s="200"/>
      <c r="J118" s="5"/>
      <c r="K118" s="179"/>
      <c r="L118" s="5"/>
      <c r="M118" s="5"/>
      <c r="N118" s="5"/>
      <c r="O118" s="203" t="e">
        <f>IF(O117+1&lt;=MIN('Données projet'!$E$9:$E$18),O117+1,"STOP")</f>
        <v>#VALUE!</v>
      </c>
      <c r="P118" s="193" t="e">
        <f t="shared" si="7"/>
        <v>#VALUE!</v>
      </c>
      <c r="Q118" s="262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88">
        <f>'Données projet'!A117</f>
        <v>75</v>
      </c>
      <c r="B119" s="189">
        <f>'Données projet'!D117</f>
        <v>85.384615384615415</v>
      </c>
      <c r="C119" s="200">
        <v>30</v>
      </c>
      <c r="D119" s="187">
        <f t="shared" si="8"/>
        <v>2561.5384615384623</v>
      </c>
      <c r="E119" s="202"/>
      <c r="F119" s="259"/>
      <c r="G119" s="218"/>
      <c r="H119" s="199"/>
      <c r="I119" s="200"/>
      <c r="J119" s="5"/>
      <c r="K119" s="179"/>
      <c r="L119" s="5"/>
      <c r="M119" s="5"/>
      <c r="N119" s="5"/>
      <c r="O119" s="203" t="e">
        <f>IF(O118+1&lt;=MIN('Données projet'!$E$9:$E$18),O118+1,"STOP")</f>
        <v>#VALUE!</v>
      </c>
      <c r="P119" s="193" t="e">
        <f t="shared" si="7"/>
        <v>#VALUE!</v>
      </c>
      <c r="Q119" s="262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88">
        <f>'Données projet'!A118</f>
        <v>87</v>
      </c>
      <c r="B120" s="189">
        <f>'Données projet'!D118</f>
        <v>83.076923076923038</v>
      </c>
      <c r="C120" s="200">
        <v>50</v>
      </c>
      <c r="D120" s="187">
        <f t="shared" si="8"/>
        <v>4153.8461538461515</v>
      </c>
      <c r="E120" s="202"/>
      <c r="F120" s="259"/>
      <c r="G120" s="218"/>
      <c r="H120" s="199"/>
      <c r="I120" s="200"/>
      <c r="J120" s="5"/>
      <c r="K120" s="179"/>
      <c r="L120" s="5"/>
      <c r="M120" s="5"/>
      <c r="N120" s="5"/>
      <c r="O120" s="203" t="e">
        <f>IF(O119+1&lt;=MIN('Données projet'!$E$9:$E$18),O119+1,"STOP")</f>
        <v>#VALUE!</v>
      </c>
      <c r="P120" s="193" t="e">
        <f t="shared" si="7"/>
        <v>#VALUE!</v>
      </c>
      <c r="Q120" s="262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88">
        <f>'Données projet'!A119</f>
        <v>99</v>
      </c>
      <c r="B121" s="189">
        <f>'Données projet'!D119</f>
        <v>198.46153846153845</v>
      </c>
      <c r="C121" s="200">
        <v>60</v>
      </c>
      <c r="D121" s="187">
        <f t="shared" si="8"/>
        <v>11907.692307692307</v>
      </c>
      <c r="E121" s="202"/>
      <c r="F121" s="259"/>
      <c r="G121" s="218"/>
      <c r="H121" s="199"/>
      <c r="I121" s="200"/>
      <c r="J121" s="5"/>
      <c r="K121" s="179"/>
      <c r="L121" s="5"/>
      <c r="M121" s="5"/>
      <c r="N121" s="5"/>
      <c r="O121" s="203" t="e">
        <f>IF(O120+1&lt;=MIN('Données projet'!$E$9:$E$18),O120+1,"STOP")</f>
        <v>#VALUE!</v>
      </c>
      <c r="P121" s="193" t="e">
        <f t="shared" si="7"/>
        <v>#VALUE!</v>
      </c>
      <c r="Q121" s="262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88">
        <f>'Données projet'!A120</f>
        <v>109</v>
      </c>
      <c r="B122" s="189">
        <f>'Données projet'!D120</f>
        <v>256.15384615384613</v>
      </c>
      <c r="C122" s="200">
        <v>80</v>
      </c>
      <c r="D122" s="187">
        <f t="shared" si="8"/>
        <v>20492.307692307691</v>
      </c>
      <c r="E122" s="202"/>
      <c r="F122" s="259"/>
      <c r="G122" s="219"/>
      <c r="H122" s="199"/>
      <c r="I122" s="200"/>
      <c r="J122" s="5"/>
      <c r="K122" s="179"/>
      <c r="L122" s="5"/>
      <c r="M122" s="5"/>
      <c r="N122" s="5"/>
      <c r="O122" s="203" t="e">
        <f>IF(O121+1&lt;=MIN('Données projet'!$E$9:$E$18),O121+1,"STOP")</f>
        <v>#VALUE!</v>
      </c>
      <c r="P122" s="193" t="e">
        <f t="shared" si="7"/>
        <v>#VALUE!</v>
      </c>
      <c r="Q122" s="262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88">
        <f>'Données projet'!A121</f>
        <v>0</v>
      </c>
      <c r="B123" s="189">
        <f>'Données projet'!D121</f>
        <v>0</v>
      </c>
      <c r="C123" s="200"/>
      <c r="D123" s="187">
        <f t="shared" si="8"/>
        <v>0</v>
      </c>
      <c r="E123" s="202"/>
      <c r="F123" s="259"/>
      <c r="G123" s="219"/>
      <c r="H123" s="199"/>
      <c r="I123" s="200"/>
      <c r="J123" s="5"/>
      <c r="K123" s="179"/>
      <c r="L123" s="5"/>
      <c r="M123" s="5"/>
      <c r="N123" s="5"/>
      <c r="O123" s="203" t="e">
        <f>IF(O122+1&lt;=MIN('Données projet'!$E$9:$E$18),O122+1,"STOP")</f>
        <v>#VALUE!</v>
      </c>
      <c r="P123" s="193" t="e">
        <f t="shared" si="7"/>
        <v>#VALUE!</v>
      </c>
      <c r="Q123" s="262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88">
        <f>'Données projet'!A122</f>
        <v>0</v>
      </c>
      <c r="B124" s="189">
        <f>'Données projet'!D122</f>
        <v>0</v>
      </c>
      <c r="C124" s="200"/>
      <c r="D124" s="187">
        <f t="shared" si="8"/>
        <v>0</v>
      </c>
      <c r="E124" s="202"/>
      <c r="F124" s="259"/>
      <c r="G124" s="219"/>
      <c r="H124" s="199"/>
      <c r="I124" s="200"/>
      <c r="J124" s="5"/>
      <c r="K124" s="179"/>
      <c r="L124" s="5"/>
      <c r="M124" s="5"/>
      <c r="N124" s="5"/>
      <c r="O124" s="203" t="e">
        <f>IF(O123+1&lt;=MIN('Données projet'!$E$9:$E$18),O123+1,"STOP")</f>
        <v>#VALUE!</v>
      </c>
      <c r="P124" s="193" t="e">
        <f t="shared" si="7"/>
        <v>#VALUE!</v>
      </c>
      <c r="Q124" s="262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88">
        <f>'Données projet'!A123</f>
        <v>0</v>
      </c>
      <c r="B125" s="189">
        <f>'Données projet'!D123</f>
        <v>0</v>
      </c>
      <c r="C125" s="200"/>
      <c r="D125" s="187">
        <f t="shared" si="8"/>
        <v>0</v>
      </c>
      <c r="E125" s="202"/>
      <c r="F125" s="259"/>
      <c r="G125" s="219"/>
      <c r="H125" s="199"/>
      <c r="I125" s="200"/>
      <c r="J125" s="5"/>
      <c r="K125" s="179"/>
      <c r="L125" s="5"/>
      <c r="M125" s="5"/>
      <c r="N125" s="5"/>
      <c r="O125" s="203" t="e">
        <f>IF(O124+1&lt;=MIN('Données projet'!$E$9:$E$18),O124+1,"STOP")</f>
        <v>#VALUE!</v>
      </c>
      <c r="P125" s="193" t="e">
        <f t="shared" si="7"/>
        <v>#VALUE!</v>
      </c>
      <c r="Q125" s="262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88">
        <f>'Données projet'!A124</f>
        <v>0</v>
      </c>
      <c r="B126" s="189">
        <f>'Données projet'!D124</f>
        <v>0</v>
      </c>
      <c r="C126" s="200"/>
      <c r="D126" s="187">
        <f t="shared" si="8"/>
        <v>0</v>
      </c>
      <c r="E126" s="202"/>
      <c r="F126" s="259"/>
      <c r="G126" s="219"/>
      <c r="H126" s="199"/>
      <c r="I126" s="200"/>
      <c r="J126" s="5"/>
      <c r="K126" s="179"/>
      <c r="L126" s="5"/>
      <c r="M126" s="5"/>
      <c r="N126" s="5"/>
      <c r="O126" s="203" t="e">
        <f>IF(O125+1&lt;=MIN('Données projet'!$E$9:$E$18),O125+1,"STOP")</f>
        <v>#VALUE!</v>
      </c>
      <c r="P126" s="193" t="e">
        <f t="shared" si="7"/>
        <v>#VALUE!</v>
      </c>
      <c r="Q126" s="262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88">
        <f>'Données projet'!A125</f>
        <v>0</v>
      </c>
      <c r="B127" s="189">
        <f>'Données projet'!D125</f>
        <v>0</v>
      </c>
      <c r="C127" s="200"/>
      <c r="D127" s="187">
        <f t="shared" si="8"/>
        <v>0</v>
      </c>
      <c r="E127" s="202"/>
      <c r="F127" s="259"/>
      <c r="G127" s="219"/>
      <c r="H127" s="199"/>
      <c r="I127" s="200"/>
      <c r="J127" s="5"/>
      <c r="K127" s="179"/>
      <c r="L127" s="5"/>
      <c r="M127" s="5"/>
      <c r="N127" s="5"/>
      <c r="O127" s="203" t="e">
        <f>IF(O126+1&lt;=MIN('Données projet'!$E$9:$E$18),O126+1,"STOP")</f>
        <v>#VALUE!</v>
      </c>
      <c r="P127" s="193" t="e">
        <f t="shared" si="7"/>
        <v>#VALUE!</v>
      </c>
      <c r="Q127" s="262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88">
        <f>'Données projet'!A126</f>
        <v>0</v>
      </c>
      <c r="B128" s="189">
        <f>'Données projet'!D126</f>
        <v>0</v>
      </c>
      <c r="C128" s="200"/>
      <c r="D128" s="187">
        <f t="shared" si="8"/>
        <v>0</v>
      </c>
      <c r="E128" s="202"/>
      <c r="F128" s="259"/>
      <c r="G128" s="219"/>
      <c r="H128" s="199"/>
      <c r="I128" s="200"/>
      <c r="J128" s="5"/>
      <c r="K128" s="179"/>
      <c r="L128" s="5"/>
      <c r="M128" s="5"/>
      <c r="N128" s="5"/>
      <c r="O128" s="203" t="e">
        <f>IF(O127+1&lt;=MIN('Données projet'!$E$9:$E$18),O127+1,"STOP")</f>
        <v>#VALUE!</v>
      </c>
      <c r="P128" s="193" t="e">
        <f t="shared" si="7"/>
        <v>#VALUE!</v>
      </c>
      <c r="Q128" s="262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88">
        <f>'Données projet'!A127</f>
        <v>0</v>
      </c>
      <c r="B129" s="189">
        <f>'Données projet'!D127</f>
        <v>0</v>
      </c>
      <c r="C129" s="200"/>
      <c r="D129" s="187">
        <f t="shared" si="8"/>
        <v>0</v>
      </c>
      <c r="E129" s="202"/>
      <c r="F129" s="259"/>
      <c r="G129" s="219"/>
      <c r="H129" s="199"/>
      <c r="I129" s="200"/>
      <c r="J129" s="5"/>
      <c r="K129" s="179"/>
      <c r="L129" s="5"/>
      <c r="M129" s="5"/>
      <c r="N129" s="5"/>
      <c r="O129" s="203" t="e">
        <f>IF(O128+1&lt;=MIN('Données projet'!$E$9:$E$18),O128+1,"STOP")</f>
        <v>#VALUE!</v>
      </c>
      <c r="P129" s="193" t="e">
        <f t="shared" ref="P129:P132" si="9">$P$25/(1+$M$4)^O129</f>
        <v>#VALUE!</v>
      </c>
      <c r="Q129" s="262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88">
        <f>'Données projet'!A128</f>
        <v>0</v>
      </c>
      <c r="B130" s="189">
        <f>'Données projet'!D128</f>
        <v>0</v>
      </c>
      <c r="C130" s="200"/>
      <c r="D130" s="187">
        <f t="shared" si="8"/>
        <v>0</v>
      </c>
      <c r="E130" s="202"/>
      <c r="F130" s="259"/>
      <c r="G130" s="219"/>
      <c r="H130" s="199"/>
      <c r="I130" s="200"/>
      <c r="J130" s="5"/>
      <c r="K130" s="179"/>
      <c r="L130" s="5"/>
      <c r="M130" s="5"/>
      <c r="N130" s="5"/>
      <c r="O130" s="203" t="e">
        <f>IF(O129+1&lt;=MIN('Données projet'!$E$9:$E$18),O129+1,"STOP")</f>
        <v>#VALUE!</v>
      </c>
      <c r="P130" s="193" t="e">
        <f t="shared" si="9"/>
        <v>#VALUE!</v>
      </c>
      <c r="Q130" s="262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88">
        <f>'Données projet'!A129</f>
        <v>0</v>
      </c>
      <c r="B131" s="189">
        <f>'Données projet'!D129</f>
        <v>0</v>
      </c>
      <c r="C131" s="200"/>
      <c r="D131" s="187">
        <f t="shared" si="8"/>
        <v>0</v>
      </c>
      <c r="E131" s="202"/>
      <c r="F131" s="259"/>
      <c r="G131" s="219"/>
      <c r="H131" s="199"/>
      <c r="I131" s="200"/>
      <c r="J131" s="5"/>
      <c r="K131" s="179"/>
      <c r="L131" s="5"/>
      <c r="M131" s="5"/>
      <c r="N131" s="5"/>
      <c r="O131" s="203" t="e">
        <f>IF(O130+1&lt;=MIN('Données projet'!$E$9:$E$18),O130+1,"STOP")</f>
        <v>#VALUE!</v>
      </c>
      <c r="P131" s="193" t="e">
        <f t="shared" si="9"/>
        <v>#VALUE!</v>
      </c>
      <c r="Q131" s="262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88">
        <f>'Données projet'!A130</f>
        <v>0</v>
      </c>
      <c r="B132" s="189">
        <f>'Données projet'!D130</f>
        <v>0</v>
      </c>
      <c r="C132" s="200"/>
      <c r="D132" s="187">
        <f t="shared" si="8"/>
        <v>0</v>
      </c>
      <c r="E132" s="202"/>
      <c r="F132" s="259"/>
      <c r="G132" s="219"/>
      <c r="H132" s="199"/>
      <c r="I132" s="200"/>
      <c r="J132" s="5"/>
      <c r="K132" s="179"/>
      <c r="L132" s="5"/>
      <c r="M132" s="5"/>
      <c r="N132" s="5"/>
      <c r="O132" s="203" t="e">
        <f>IF(O131+1&lt;=MIN('Données projet'!$E$9:$E$18),O131+1,"STOP")</f>
        <v>#VALUE!</v>
      </c>
      <c r="P132" s="193" t="e">
        <f t="shared" si="9"/>
        <v>#VALUE!</v>
      </c>
      <c r="Q132" s="262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88">
        <f>'Données projet'!A131</f>
        <v>0</v>
      </c>
      <c r="B133" s="189">
        <f>'Données projet'!D131</f>
        <v>0</v>
      </c>
      <c r="C133" s="200"/>
      <c r="D133" s="187">
        <f t="shared" si="8"/>
        <v>0</v>
      </c>
      <c r="E133" s="202"/>
      <c r="F133" s="259"/>
      <c r="G133" s="219"/>
      <c r="H133" s="199"/>
      <c r="I133" s="200"/>
      <c r="J133" s="5"/>
      <c r="K133" s="179"/>
      <c r="Q133" s="262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88">
        <f>'Données projet'!A132</f>
        <v>0</v>
      </c>
      <c r="B134" s="189">
        <f>'Données projet'!D132</f>
        <v>0</v>
      </c>
      <c r="C134" s="200"/>
      <c r="D134" s="187">
        <f t="shared" si="8"/>
        <v>0</v>
      </c>
      <c r="E134" s="202"/>
      <c r="F134" s="259"/>
      <c r="G134" s="219"/>
      <c r="H134" s="199"/>
      <c r="I134" s="200"/>
      <c r="J134" s="5"/>
      <c r="K134" s="179"/>
      <c r="Q134" s="262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88">
        <f>'Données projet'!A133</f>
        <v>0</v>
      </c>
      <c r="B135" s="189">
        <f>'Données projet'!D133</f>
        <v>0</v>
      </c>
      <c r="C135" s="200"/>
      <c r="D135" s="187">
        <f t="shared" si="8"/>
        <v>0</v>
      </c>
      <c r="E135" s="202"/>
      <c r="F135" s="259"/>
      <c r="G135" s="219"/>
      <c r="H135" s="199"/>
      <c r="I135" s="200"/>
      <c r="J135" s="5"/>
      <c r="K135" s="179"/>
      <c r="Q135" s="262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7"/>
      <c r="G136" s="219"/>
      <c r="H136" s="199"/>
      <c r="I136" s="200"/>
      <c r="J136" s="5"/>
      <c r="K136" s="179"/>
      <c r="L136" s="5"/>
      <c r="M136" s="5"/>
      <c r="N136" s="5"/>
      <c r="Q136" s="262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7"/>
      <c r="G137" s="219"/>
      <c r="H137" s="199"/>
      <c r="I137" s="200"/>
      <c r="J137" s="5"/>
      <c r="K137" s="179"/>
      <c r="L137" s="5"/>
      <c r="M137" s="5"/>
      <c r="N137" s="5"/>
      <c r="Q137" s="262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2" t="str">
        <f>IF('Données projet'!B13="","",'Données projet'!B13)</f>
        <v>Chêne rouge d'Amérique</v>
      </c>
      <c r="C138" s="5"/>
      <c r="D138" s="5"/>
      <c r="E138" s="5"/>
      <c r="F138" s="257"/>
      <c r="G138" s="219"/>
      <c r="H138" s="199"/>
      <c r="I138" s="200"/>
      <c r="J138" s="5"/>
      <c r="K138" s="179"/>
      <c r="L138" s="5"/>
      <c r="M138" s="5"/>
      <c r="N138" s="5"/>
      <c r="Q138" s="26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7"/>
      <c r="G139" s="219"/>
      <c r="H139" s="199"/>
      <c r="I139" s="200"/>
      <c r="J139" s="5"/>
      <c r="K139" s="179"/>
      <c r="L139" s="5"/>
      <c r="M139" s="5"/>
      <c r="N139" s="5"/>
      <c r="Q139" s="262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3" t="s">
        <v>180</v>
      </c>
      <c r="B140" s="51" t="s">
        <v>256</v>
      </c>
      <c r="C140" s="51" t="s">
        <v>255</v>
      </c>
      <c r="D140" s="253" t="s">
        <v>252</v>
      </c>
      <c r="E140" s="253" t="s">
        <v>320</v>
      </c>
      <c r="F140" s="258"/>
      <c r="G140" s="219"/>
      <c r="H140" s="199"/>
      <c r="I140" s="200"/>
      <c r="J140" s="5"/>
      <c r="K140" s="179"/>
      <c r="L140" s="5"/>
      <c r="M140" s="5"/>
      <c r="N140" s="5"/>
      <c r="Q140" s="262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6">
        <v>0</v>
      </c>
      <c r="B141" s="209" t="s">
        <v>132</v>
      </c>
      <c r="C141" s="208" t="s">
        <v>132</v>
      </c>
      <c r="D141" s="207" t="s">
        <v>132</v>
      </c>
      <c r="E141" s="202"/>
      <c r="F141" s="258"/>
      <c r="G141" s="219"/>
      <c r="H141" s="199"/>
      <c r="I141" s="200"/>
      <c r="J141" s="5"/>
      <c r="K141" s="179"/>
      <c r="L141" s="5"/>
      <c r="M141" s="5"/>
      <c r="N141" s="5"/>
      <c r="Q141" s="262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6">
        <v>1</v>
      </c>
      <c r="B142" s="209" t="s">
        <v>132</v>
      </c>
      <c r="C142" s="208" t="s">
        <v>132</v>
      </c>
      <c r="D142" s="207" t="s">
        <v>132</v>
      </c>
      <c r="E142" s="202"/>
      <c r="F142" s="258"/>
      <c r="G142" s="217"/>
      <c r="H142" s="199"/>
      <c r="I142" s="200"/>
      <c r="J142" s="5"/>
      <c r="K142" s="179"/>
      <c r="L142" s="5"/>
      <c r="M142" s="5"/>
      <c r="N142" s="5"/>
      <c r="Q142" s="262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6">
        <v>2</v>
      </c>
      <c r="B143" s="209" t="s">
        <v>132</v>
      </c>
      <c r="C143" s="208" t="s">
        <v>132</v>
      </c>
      <c r="D143" s="207" t="s">
        <v>132</v>
      </c>
      <c r="E143" s="202"/>
      <c r="F143" s="258"/>
      <c r="G143" s="217"/>
      <c r="H143" s="199"/>
      <c r="I143" s="200"/>
      <c r="J143" s="5"/>
      <c r="K143" s="179"/>
      <c r="L143" s="5"/>
      <c r="M143" s="5"/>
      <c r="N143" s="5"/>
      <c r="Q143" s="26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6">
        <v>3</v>
      </c>
      <c r="B144" s="209" t="s">
        <v>132</v>
      </c>
      <c r="C144" s="208" t="s">
        <v>132</v>
      </c>
      <c r="D144" s="207" t="s">
        <v>132</v>
      </c>
      <c r="E144" s="202"/>
      <c r="F144" s="258"/>
      <c r="G144" s="217"/>
      <c r="H144" s="199"/>
      <c r="I144" s="200"/>
      <c r="J144" s="5"/>
      <c r="K144" s="179"/>
      <c r="L144" s="5"/>
      <c r="M144" s="5"/>
      <c r="N144" s="5"/>
      <c r="Q144" s="26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6">
        <v>4</v>
      </c>
      <c r="B145" s="209" t="s">
        <v>132</v>
      </c>
      <c r="C145" s="208" t="s">
        <v>132</v>
      </c>
      <c r="D145" s="207" t="s">
        <v>132</v>
      </c>
      <c r="E145" s="202"/>
      <c r="F145" s="258"/>
      <c r="G145" s="217"/>
      <c r="H145" s="199"/>
      <c r="I145" s="200"/>
      <c r="J145" s="5"/>
      <c r="K145" s="179"/>
      <c r="L145" s="5"/>
      <c r="M145" s="5"/>
      <c r="N145" s="5"/>
      <c r="Q145" s="26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6">
        <v>5</v>
      </c>
      <c r="B146" s="209" t="s">
        <v>132</v>
      </c>
      <c r="C146" s="208" t="s">
        <v>132</v>
      </c>
      <c r="D146" s="207" t="s">
        <v>132</v>
      </c>
      <c r="E146" s="202"/>
      <c r="F146" s="258"/>
      <c r="G146" s="218"/>
      <c r="H146" s="199"/>
      <c r="I146" s="200"/>
      <c r="J146" s="5"/>
      <c r="K146" s="179"/>
      <c r="L146" s="5"/>
      <c r="M146" s="5"/>
      <c r="N146" s="5"/>
      <c r="Q146" s="262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3">
        <f>'Données projet'!D140</f>
        <v>0</v>
      </c>
      <c r="C147" s="200"/>
      <c r="D147" s="190">
        <f>B147*C147</f>
        <v>0</v>
      </c>
      <c r="E147" s="202"/>
      <c r="F147" s="260"/>
      <c r="G147" s="218"/>
      <c r="H147" s="199"/>
      <c r="I147" s="200"/>
      <c r="J147" s="5"/>
      <c r="K147" s="179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3">
        <f>'Données projet'!D141</f>
        <v>0</v>
      </c>
      <c r="C148" s="200"/>
      <c r="D148" s="190">
        <f t="shared" ref="D148:D166" si="10">B148*C148</f>
        <v>0</v>
      </c>
      <c r="E148" s="202"/>
      <c r="F148" s="260"/>
      <c r="G148" s="218"/>
      <c r="H148" s="199"/>
      <c r="I148" s="200"/>
      <c r="J148" s="5"/>
      <c r="K148" s="179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3">
        <f>'Données projet'!D142</f>
        <v>29</v>
      </c>
      <c r="C149" s="200">
        <v>10</v>
      </c>
      <c r="D149" s="190">
        <f t="shared" si="10"/>
        <v>290</v>
      </c>
      <c r="E149" s="202"/>
      <c r="F149" s="260"/>
      <c r="G149" s="218"/>
      <c r="H149" s="199"/>
      <c r="I149" s="200"/>
      <c r="J149" s="5"/>
      <c r="K149" s="179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3">
        <f>'Données projet'!D143</f>
        <v>0</v>
      </c>
      <c r="C150" s="200"/>
      <c r="D150" s="190">
        <f t="shared" si="10"/>
        <v>0</v>
      </c>
      <c r="E150" s="202"/>
      <c r="F150" s="260"/>
      <c r="G150" s="218"/>
      <c r="H150" s="199"/>
      <c r="I150" s="200"/>
      <c r="J150" s="5"/>
      <c r="K150" s="179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3">
        <f>'Données projet'!D144</f>
        <v>42</v>
      </c>
      <c r="C151" s="200">
        <v>10</v>
      </c>
      <c r="D151" s="190">
        <f t="shared" si="10"/>
        <v>420</v>
      </c>
      <c r="E151" s="202"/>
      <c r="F151" s="260"/>
      <c r="G151" s="218"/>
      <c r="H151" s="199"/>
      <c r="I151" s="200"/>
      <c r="J151" s="5"/>
      <c r="K151" s="179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3">
        <f>'Données projet'!D145</f>
        <v>0</v>
      </c>
      <c r="C152" s="200"/>
      <c r="D152" s="190">
        <f t="shared" si="10"/>
        <v>0</v>
      </c>
      <c r="E152" s="202"/>
      <c r="F152" s="260"/>
      <c r="G152" s="218"/>
      <c r="H152" s="199"/>
      <c r="I152" s="200"/>
      <c r="J152" s="5"/>
      <c r="K152" s="179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3">
        <f>'Données projet'!D146</f>
        <v>42</v>
      </c>
      <c r="C153" s="200">
        <v>15</v>
      </c>
      <c r="D153" s="190">
        <f t="shared" si="10"/>
        <v>630</v>
      </c>
      <c r="E153" s="202"/>
      <c r="F153" s="260"/>
      <c r="G153" s="214"/>
      <c r="H153" s="199"/>
      <c r="I153" s="200"/>
      <c r="J153" s="5"/>
      <c r="K153" s="179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3">
        <f>'Données projet'!D147</f>
        <v>0</v>
      </c>
      <c r="C154" s="200"/>
      <c r="D154" s="190">
        <f t="shared" si="10"/>
        <v>0</v>
      </c>
      <c r="E154" s="202"/>
      <c r="F154" s="260"/>
      <c r="G154" s="214"/>
      <c r="H154" s="199"/>
      <c r="I154" s="200"/>
      <c r="J154" s="5"/>
      <c r="K154" s="179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3">
        <f>'Données projet'!D148</f>
        <v>42</v>
      </c>
      <c r="C155" s="200">
        <v>20</v>
      </c>
      <c r="D155" s="190">
        <f t="shared" si="10"/>
        <v>840</v>
      </c>
      <c r="E155" s="202"/>
      <c r="F155" s="260"/>
      <c r="G155" s="214"/>
      <c r="H155" s="199"/>
      <c r="I155" s="200"/>
      <c r="J155" s="5"/>
      <c r="K155" s="179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3">
        <f>'Données projet'!D149</f>
        <v>0</v>
      </c>
      <c r="C156" s="200"/>
      <c r="D156" s="190">
        <f t="shared" si="10"/>
        <v>0</v>
      </c>
      <c r="E156" s="202"/>
      <c r="F156" s="260"/>
      <c r="G156" s="214"/>
      <c r="H156" s="199"/>
      <c r="I156" s="200"/>
      <c r="J156" s="5"/>
      <c r="K156" s="179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3">
        <f>'Données projet'!D150</f>
        <v>42</v>
      </c>
      <c r="C157" s="200">
        <v>40</v>
      </c>
      <c r="D157" s="190">
        <f t="shared" si="10"/>
        <v>1680</v>
      </c>
      <c r="E157" s="202"/>
      <c r="F157" s="260"/>
      <c r="G157" s="214"/>
      <c r="H157" s="199"/>
      <c r="I157" s="200"/>
      <c r="J157" s="5"/>
      <c r="K157" s="179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3">
        <f>'Données projet'!D151</f>
        <v>0</v>
      </c>
      <c r="C158" s="200"/>
      <c r="D158" s="190">
        <f t="shared" si="10"/>
        <v>0</v>
      </c>
      <c r="E158" s="202"/>
      <c r="F158" s="260"/>
      <c r="G158" s="214"/>
      <c r="H158" s="199"/>
      <c r="I158" s="200"/>
      <c r="J158" s="5"/>
      <c r="K158" s="179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3">
        <f>'Données projet'!D152</f>
        <v>42</v>
      </c>
      <c r="C159" s="200">
        <v>60</v>
      </c>
      <c r="D159" s="190">
        <f t="shared" si="10"/>
        <v>2520</v>
      </c>
      <c r="E159" s="202"/>
      <c r="F159" s="260"/>
      <c r="G159" s="214"/>
      <c r="H159" s="199"/>
      <c r="I159" s="200"/>
      <c r="J159" s="5"/>
      <c r="K159" s="179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90</v>
      </c>
      <c r="B160" s="183">
        <f>'Données projet'!D153</f>
        <v>42</v>
      </c>
      <c r="C160" s="200">
        <v>80</v>
      </c>
      <c r="D160" s="190">
        <f t="shared" si="10"/>
        <v>3360</v>
      </c>
      <c r="E160" s="202"/>
      <c r="F160" s="260"/>
      <c r="G160" s="214"/>
      <c r="H160" s="199"/>
      <c r="I160" s="200"/>
      <c r="J160" s="5"/>
      <c r="K160" s="1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100</v>
      </c>
      <c r="B161" s="183">
        <f>'Données projet'!D154</f>
        <v>42</v>
      </c>
      <c r="C161" s="200">
        <v>100</v>
      </c>
      <c r="D161" s="190">
        <f t="shared" si="10"/>
        <v>4200</v>
      </c>
      <c r="E161" s="202"/>
      <c r="F161" s="260"/>
      <c r="G161" s="214"/>
      <c r="H161" s="199"/>
      <c r="I161" s="200"/>
      <c r="J161" s="5"/>
      <c r="K161" s="1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110</v>
      </c>
      <c r="B162" s="183">
        <f>'Données projet'!D155</f>
        <v>39</v>
      </c>
      <c r="C162" s="200">
        <v>110</v>
      </c>
      <c r="D162" s="190">
        <f t="shared" si="10"/>
        <v>4290</v>
      </c>
      <c r="E162" s="202"/>
      <c r="F162" s="260"/>
      <c r="G162" s="214"/>
      <c r="H162" s="199"/>
      <c r="I162" s="200"/>
      <c r="J162" s="5"/>
      <c r="K162" s="1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120</v>
      </c>
      <c r="B163" s="183">
        <f>'Données projet'!D156</f>
        <v>35</v>
      </c>
      <c r="C163" s="200">
        <v>130</v>
      </c>
      <c r="D163" s="190">
        <f t="shared" si="10"/>
        <v>4550</v>
      </c>
      <c r="E163" s="202"/>
      <c r="F163" s="260"/>
      <c r="G163" s="214"/>
      <c r="H163" s="199"/>
      <c r="I163" s="200"/>
      <c r="J163" s="5"/>
      <c r="K163" s="1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130</v>
      </c>
      <c r="B164" s="183">
        <f>'Données projet'!D157</f>
        <v>31</v>
      </c>
      <c r="C164" s="200">
        <v>150</v>
      </c>
      <c r="D164" s="190">
        <f t="shared" si="10"/>
        <v>4650</v>
      </c>
      <c r="E164" s="202"/>
      <c r="F164" s="260"/>
      <c r="G164" s="214"/>
      <c r="H164" s="199"/>
      <c r="I164" s="200"/>
      <c r="J164" s="5"/>
      <c r="K164" s="1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140</v>
      </c>
      <c r="B165" s="183">
        <f>'Données projet'!D158</f>
        <v>27</v>
      </c>
      <c r="C165" s="200">
        <v>200</v>
      </c>
      <c r="D165" s="190">
        <f t="shared" si="10"/>
        <v>5400</v>
      </c>
      <c r="E165" s="202"/>
      <c r="F165" s="260"/>
      <c r="G165" s="214"/>
      <c r="H165" s="199"/>
      <c r="I165" s="200"/>
      <c r="J165" s="5"/>
      <c r="K165" s="1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150</v>
      </c>
      <c r="B166" s="183">
        <f>'Données projet'!D159</f>
        <v>293</v>
      </c>
      <c r="C166" s="200">
        <v>200</v>
      </c>
      <c r="D166" s="190">
        <f t="shared" si="10"/>
        <v>58600</v>
      </c>
      <c r="E166" s="202"/>
      <c r="F166" s="260"/>
      <c r="G166" s="214"/>
      <c r="H166" s="199"/>
      <c r="I166" s="200"/>
      <c r="J166" s="5"/>
      <c r="K166" s="1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7"/>
      <c r="G167" s="214"/>
      <c r="H167" s="199"/>
      <c r="I167" s="200"/>
      <c r="J167" s="5"/>
      <c r="K167" s="1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7"/>
      <c r="G168" s="214"/>
      <c r="H168" s="199"/>
      <c r="I168" s="200"/>
      <c r="J168" s="5"/>
      <c r="K168" s="1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2" t="str">
        <f>IF('Données projet'!B14="","",'Données projet'!B14)</f>
        <v>Chêne sessile</v>
      </c>
      <c r="C169" s="5"/>
      <c r="D169" s="5"/>
      <c r="E169" s="5"/>
      <c r="F169" s="257"/>
      <c r="G169" s="214"/>
      <c r="H169" s="199"/>
      <c r="I169" s="200"/>
      <c r="J169" s="5"/>
      <c r="K169" s="1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7"/>
      <c r="G170" s="214"/>
      <c r="H170" s="199"/>
      <c r="I170" s="200"/>
      <c r="J170" s="5"/>
      <c r="K170" s="1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3" t="s">
        <v>180</v>
      </c>
      <c r="B171" s="51" t="s">
        <v>256</v>
      </c>
      <c r="C171" s="51" t="s">
        <v>255</v>
      </c>
      <c r="D171" s="253" t="s">
        <v>252</v>
      </c>
      <c r="E171" s="253" t="s">
        <v>320</v>
      </c>
      <c r="F171" s="258"/>
      <c r="G171" s="214"/>
      <c r="H171" s="199"/>
      <c r="I171" s="200"/>
      <c r="J171" s="5"/>
      <c r="K171" s="1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6">
        <v>0</v>
      </c>
      <c r="B172" s="209" t="s">
        <v>132</v>
      </c>
      <c r="C172" s="208" t="s">
        <v>132</v>
      </c>
      <c r="D172" s="207" t="s">
        <v>132</v>
      </c>
      <c r="E172" s="202"/>
      <c r="F172" s="258"/>
      <c r="G172" s="214"/>
      <c r="H172" s="199"/>
      <c r="I172" s="200"/>
      <c r="J172" s="5"/>
      <c r="K172" s="1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6">
        <v>1</v>
      </c>
      <c r="B173" s="209" t="s">
        <v>132</v>
      </c>
      <c r="C173" s="208" t="s">
        <v>132</v>
      </c>
      <c r="D173" s="207" t="s">
        <v>132</v>
      </c>
      <c r="E173" s="202"/>
      <c r="F173" s="258"/>
      <c r="G173" s="217"/>
      <c r="H173" s="199"/>
      <c r="I173" s="200"/>
      <c r="J173" s="5"/>
      <c r="K173" s="1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6">
        <v>2</v>
      </c>
      <c r="B174" s="209" t="s">
        <v>132</v>
      </c>
      <c r="C174" s="208" t="s">
        <v>132</v>
      </c>
      <c r="D174" s="207" t="s">
        <v>132</v>
      </c>
      <c r="E174" s="202"/>
      <c r="F174" s="258"/>
      <c r="G174" s="217"/>
      <c r="H174" s="199"/>
      <c r="I174" s="200"/>
      <c r="J174" s="5"/>
      <c r="K174" s="1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6">
        <v>3</v>
      </c>
      <c r="B175" s="209" t="s">
        <v>132</v>
      </c>
      <c r="C175" s="208" t="s">
        <v>132</v>
      </c>
      <c r="D175" s="207" t="s">
        <v>132</v>
      </c>
      <c r="E175" s="202"/>
      <c r="F175" s="258"/>
      <c r="G175" s="217"/>
      <c r="H175" s="199"/>
      <c r="I175" s="200"/>
      <c r="J175" s="5"/>
      <c r="K175" s="1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6">
        <v>4</v>
      </c>
      <c r="B176" s="209" t="s">
        <v>132</v>
      </c>
      <c r="C176" s="208" t="s">
        <v>132</v>
      </c>
      <c r="D176" s="207" t="s">
        <v>132</v>
      </c>
      <c r="E176" s="202"/>
      <c r="F176" s="258"/>
      <c r="G176" s="217"/>
      <c r="H176" s="199"/>
      <c r="I176" s="200"/>
      <c r="J176" s="5"/>
      <c r="K176" s="1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6">
        <v>5</v>
      </c>
      <c r="B177" s="209" t="s">
        <v>132</v>
      </c>
      <c r="C177" s="208" t="s">
        <v>132</v>
      </c>
      <c r="D177" s="207" t="s">
        <v>132</v>
      </c>
      <c r="E177" s="202"/>
      <c r="F177" s="258"/>
      <c r="G177" s="218"/>
      <c r="H177" s="199"/>
      <c r="I177" s="200"/>
      <c r="J177" s="5"/>
      <c r="K177" s="1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88">
        <f>'Données projet'!A166</f>
        <v>20</v>
      </c>
      <c r="B178" s="189">
        <f>'Données projet'!D166</f>
        <v>0</v>
      </c>
      <c r="C178" s="200"/>
      <c r="D178" s="187">
        <f>B178*C178</f>
        <v>0</v>
      </c>
      <c r="E178" s="202"/>
      <c r="F178" s="259"/>
      <c r="G178" s="218"/>
      <c r="H178" s="199"/>
      <c r="I178" s="200"/>
      <c r="J178" s="5"/>
      <c r="K178" s="1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88">
        <f>'Données projet'!A167</f>
        <v>25</v>
      </c>
      <c r="B179" s="189">
        <f>'Données projet'!D167</f>
        <v>0</v>
      </c>
      <c r="C179" s="200"/>
      <c r="D179" s="187">
        <f t="shared" ref="D179:D197" si="11">B179*C179</f>
        <v>0</v>
      </c>
      <c r="E179" s="202"/>
      <c r="F179" s="259"/>
      <c r="G179" s="218"/>
      <c r="H179" s="199"/>
      <c r="I179" s="200"/>
      <c r="J179" s="5"/>
      <c r="K179" s="1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88">
        <f>'Données projet'!A168</f>
        <v>30</v>
      </c>
      <c r="B180" s="189">
        <f>'Données projet'!D168</f>
        <v>29</v>
      </c>
      <c r="C180" s="200">
        <v>10</v>
      </c>
      <c r="D180" s="187">
        <f t="shared" si="11"/>
        <v>290</v>
      </c>
      <c r="E180" s="202"/>
      <c r="F180" s="259"/>
      <c r="G180" s="218"/>
      <c r="H180" s="199"/>
      <c r="I180" s="200"/>
      <c r="J180" s="5"/>
      <c r="K180" s="1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88">
        <f>'Données projet'!A169</f>
        <v>35</v>
      </c>
      <c r="B181" s="189">
        <f>'Données projet'!D169</f>
        <v>0</v>
      </c>
      <c r="C181" s="200"/>
      <c r="D181" s="187">
        <f t="shared" si="11"/>
        <v>0</v>
      </c>
      <c r="E181" s="202"/>
      <c r="F181" s="259"/>
      <c r="G181" s="218"/>
      <c r="H181" s="199"/>
      <c r="I181" s="200"/>
      <c r="J181" s="5"/>
      <c r="K181" s="1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88">
        <f>'Données projet'!A170</f>
        <v>40</v>
      </c>
      <c r="B182" s="189">
        <f>'Données projet'!D170</f>
        <v>42</v>
      </c>
      <c r="C182" s="200">
        <v>10</v>
      </c>
      <c r="D182" s="187">
        <f t="shared" si="11"/>
        <v>420</v>
      </c>
      <c r="E182" s="202"/>
      <c r="F182" s="259"/>
      <c r="G182" s="218"/>
      <c r="H182" s="199"/>
      <c r="I182" s="200"/>
      <c r="J182" s="5"/>
      <c r="K182" s="1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88">
        <f>'Données projet'!A171</f>
        <v>45</v>
      </c>
      <c r="B183" s="189">
        <f>'Données projet'!D171</f>
        <v>0</v>
      </c>
      <c r="C183" s="200"/>
      <c r="D183" s="187">
        <f t="shared" si="11"/>
        <v>0</v>
      </c>
      <c r="E183" s="202"/>
      <c r="F183" s="259"/>
      <c r="G183" s="218"/>
      <c r="H183" s="199"/>
      <c r="I183" s="200"/>
      <c r="J183" s="5"/>
      <c r="K183" s="1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88">
        <f>'Données projet'!A172</f>
        <v>50</v>
      </c>
      <c r="B184" s="189">
        <f>'Données projet'!D172</f>
        <v>42</v>
      </c>
      <c r="C184" s="200">
        <v>15</v>
      </c>
      <c r="D184" s="187">
        <f t="shared" si="11"/>
        <v>630</v>
      </c>
      <c r="E184" s="202"/>
      <c r="F184" s="259"/>
      <c r="G184" s="219"/>
      <c r="H184" s="199"/>
      <c r="I184" s="200"/>
      <c r="J184" s="5"/>
      <c r="K184" s="1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88">
        <f>'Données projet'!A173</f>
        <v>55</v>
      </c>
      <c r="B185" s="189">
        <f>'Données projet'!D173</f>
        <v>0</v>
      </c>
      <c r="C185" s="200"/>
      <c r="D185" s="187">
        <f t="shared" si="11"/>
        <v>0</v>
      </c>
      <c r="E185" s="202"/>
      <c r="F185" s="259"/>
      <c r="G185" s="219"/>
      <c r="H185" s="199"/>
      <c r="I185" s="200"/>
      <c r="J185" s="5"/>
      <c r="K185" s="1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88">
        <f>'Données projet'!A174</f>
        <v>60</v>
      </c>
      <c r="B186" s="189">
        <f>'Données projet'!D174</f>
        <v>42</v>
      </c>
      <c r="C186" s="200">
        <v>20</v>
      </c>
      <c r="D186" s="187">
        <f t="shared" si="11"/>
        <v>840</v>
      </c>
      <c r="E186" s="202"/>
      <c r="F186" s="259"/>
      <c r="G186" s="219"/>
      <c r="H186" s="199"/>
      <c r="I186" s="200"/>
      <c r="J186" s="5"/>
      <c r="K186" s="1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88">
        <f>'Données projet'!A175</f>
        <v>65</v>
      </c>
      <c r="B187" s="189">
        <f>'Données projet'!D175</f>
        <v>0</v>
      </c>
      <c r="C187" s="200"/>
      <c r="D187" s="187">
        <f t="shared" si="11"/>
        <v>0</v>
      </c>
      <c r="E187" s="202"/>
      <c r="F187" s="259"/>
      <c r="G187" s="219"/>
      <c r="H187" s="199"/>
      <c r="I187" s="200"/>
      <c r="J187" s="5"/>
      <c r="K187" s="1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88">
        <f>'Données projet'!A176</f>
        <v>70</v>
      </c>
      <c r="B188" s="189">
        <f>'Données projet'!D176</f>
        <v>42</v>
      </c>
      <c r="C188" s="200">
        <v>40</v>
      </c>
      <c r="D188" s="187">
        <f t="shared" si="11"/>
        <v>1680</v>
      </c>
      <c r="E188" s="202"/>
      <c r="F188" s="259"/>
      <c r="G188" s="219"/>
      <c r="H188" s="199"/>
      <c r="I188" s="200"/>
      <c r="J188" s="5"/>
      <c r="K188" s="1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88">
        <f>'Données projet'!A177</f>
        <v>75</v>
      </c>
      <c r="B189" s="189">
        <f>'Données projet'!D177</f>
        <v>0</v>
      </c>
      <c r="C189" s="200"/>
      <c r="D189" s="187">
        <f t="shared" si="11"/>
        <v>0</v>
      </c>
      <c r="E189" s="202"/>
      <c r="F189" s="259"/>
      <c r="G189" s="219"/>
      <c r="H189" s="199"/>
      <c r="I189" s="200"/>
      <c r="J189" s="5"/>
      <c r="K189" s="1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88">
        <f>'Données projet'!A178</f>
        <v>80</v>
      </c>
      <c r="B190" s="189">
        <f>'Données projet'!D178</f>
        <v>42</v>
      </c>
      <c r="C190" s="200">
        <v>60</v>
      </c>
      <c r="D190" s="187">
        <f t="shared" si="11"/>
        <v>2520</v>
      </c>
      <c r="E190" s="202"/>
      <c r="F190" s="259"/>
      <c r="G190" s="219"/>
      <c r="H190" s="199"/>
      <c r="I190" s="200"/>
      <c r="J190" s="5"/>
      <c r="K190" s="1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88">
        <f>'Données projet'!A179</f>
        <v>90</v>
      </c>
      <c r="B191" s="189">
        <f>'Données projet'!D179</f>
        <v>42</v>
      </c>
      <c r="C191" s="200">
        <v>80</v>
      </c>
      <c r="D191" s="187">
        <f t="shared" si="11"/>
        <v>3360</v>
      </c>
      <c r="E191" s="202"/>
      <c r="F191" s="259"/>
      <c r="G191" s="219"/>
      <c r="H191" s="199"/>
      <c r="I191" s="200"/>
      <c r="J191" s="5"/>
      <c r="K191" s="1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88">
        <f>'Données projet'!A180</f>
        <v>100</v>
      </c>
      <c r="B192" s="189">
        <f>'Données projet'!D180</f>
        <v>42</v>
      </c>
      <c r="C192" s="200">
        <v>100</v>
      </c>
      <c r="D192" s="187">
        <f t="shared" si="11"/>
        <v>4200</v>
      </c>
      <c r="E192" s="202"/>
      <c r="F192" s="259"/>
      <c r="G192" s="219"/>
      <c r="H192" s="199"/>
      <c r="I192" s="200"/>
      <c r="J192" s="5"/>
      <c r="K192" s="1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88">
        <f>'Données projet'!A181</f>
        <v>110</v>
      </c>
      <c r="B193" s="189">
        <f>'Données projet'!D181</f>
        <v>39</v>
      </c>
      <c r="C193" s="200">
        <v>110</v>
      </c>
      <c r="D193" s="187">
        <f t="shared" si="11"/>
        <v>4290</v>
      </c>
      <c r="E193" s="202"/>
      <c r="F193" s="259"/>
      <c r="G193" s="219"/>
      <c r="H193" s="199"/>
      <c r="I193" s="200"/>
      <c r="J193" s="5"/>
      <c r="K193" s="1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88">
        <f>'Données projet'!A182</f>
        <v>120</v>
      </c>
      <c r="B194" s="189">
        <f>'Données projet'!D182</f>
        <v>35</v>
      </c>
      <c r="C194" s="200">
        <v>130</v>
      </c>
      <c r="D194" s="187">
        <f t="shared" si="11"/>
        <v>4550</v>
      </c>
      <c r="E194" s="202"/>
      <c r="F194" s="259"/>
      <c r="G194" s="219"/>
      <c r="H194" s="199"/>
      <c r="I194" s="200"/>
      <c r="J194" s="5"/>
      <c r="K194" s="1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88">
        <f>'Données projet'!A183</f>
        <v>130</v>
      </c>
      <c r="B195" s="189">
        <f>'Données projet'!D183</f>
        <v>31</v>
      </c>
      <c r="C195" s="200">
        <v>150</v>
      </c>
      <c r="D195" s="187">
        <f t="shared" si="11"/>
        <v>4650</v>
      </c>
      <c r="E195" s="202"/>
      <c r="F195" s="259"/>
      <c r="G195" s="219"/>
      <c r="H195" s="199"/>
      <c r="I195" s="200"/>
      <c r="J195" s="5"/>
      <c r="K195" s="1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88">
        <f>'Données projet'!A184</f>
        <v>140</v>
      </c>
      <c r="B196" s="189">
        <f>'Données projet'!D184</f>
        <v>27</v>
      </c>
      <c r="C196" s="200">
        <v>200</v>
      </c>
      <c r="D196" s="187">
        <f t="shared" si="11"/>
        <v>5400</v>
      </c>
      <c r="E196" s="202"/>
      <c r="F196" s="259"/>
      <c r="G196" s="219"/>
      <c r="H196" s="199"/>
      <c r="I196" s="200"/>
      <c r="J196" s="5"/>
      <c r="K196" s="1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88">
        <f>'Données projet'!A185</f>
        <v>150</v>
      </c>
      <c r="B197" s="189">
        <f>'Données projet'!D185</f>
        <v>293</v>
      </c>
      <c r="C197" s="200">
        <v>200</v>
      </c>
      <c r="D197" s="187">
        <f t="shared" si="11"/>
        <v>58600</v>
      </c>
      <c r="E197" s="202"/>
      <c r="F197" s="259"/>
      <c r="G197" s="219"/>
      <c r="H197" s="199"/>
      <c r="I197" s="200"/>
      <c r="J197" s="5"/>
      <c r="K197" s="1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7"/>
      <c r="G198" s="219"/>
      <c r="H198" s="199"/>
      <c r="I198" s="200"/>
      <c r="J198" s="5"/>
      <c r="K198" s="1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7"/>
      <c r="G199" s="219"/>
      <c r="H199" s="199"/>
      <c r="I199" s="200"/>
      <c r="J199" s="5"/>
      <c r="K199" s="1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2" t="str">
        <f>IF('Données projet'!$B$15="","",'Données projet'!$B$15)</f>
        <v/>
      </c>
      <c r="C200" s="5"/>
      <c r="D200" s="5"/>
      <c r="E200" s="5"/>
      <c r="F200" s="257"/>
      <c r="G200" s="219"/>
      <c r="H200" s="199"/>
      <c r="I200" s="200"/>
      <c r="J200" s="5"/>
      <c r="K200" s="1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7"/>
      <c r="G201" s="219"/>
      <c r="H201" s="199"/>
      <c r="I201" s="200"/>
      <c r="J201" s="5"/>
      <c r="K201" s="1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3" t="s">
        <v>180</v>
      </c>
      <c r="B202" s="51" t="s">
        <v>256</v>
      </c>
      <c r="C202" s="51" t="s">
        <v>255</v>
      </c>
      <c r="D202" s="253" t="s">
        <v>252</v>
      </c>
      <c r="E202" s="253" t="s">
        <v>320</v>
      </c>
      <c r="F202" s="258"/>
      <c r="G202" s="219"/>
      <c r="H202" s="199"/>
      <c r="I202" s="200"/>
      <c r="J202" s="5"/>
      <c r="K202" s="1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6">
        <v>0</v>
      </c>
      <c r="B203" s="209" t="s">
        <v>132</v>
      </c>
      <c r="C203" s="208" t="s">
        <v>132</v>
      </c>
      <c r="D203" s="207" t="s">
        <v>132</v>
      </c>
      <c r="E203" s="202"/>
      <c r="F203" s="258"/>
      <c r="G203" s="219"/>
      <c r="H203" s="199"/>
      <c r="I203" s="200"/>
      <c r="J203" s="5"/>
      <c r="K203" s="1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6">
        <v>1</v>
      </c>
      <c r="B204" s="209" t="s">
        <v>132</v>
      </c>
      <c r="C204" s="208" t="s">
        <v>132</v>
      </c>
      <c r="D204" s="207" t="s">
        <v>132</v>
      </c>
      <c r="E204" s="202"/>
      <c r="F204" s="258"/>
      <c r="G204" s="217"/>
      <c r="H204" s="199"/>
      <c r="I204" s="200"/>
      <c r="J204" s="5"/>
      <c r="K204" s="1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6">
        <v>2</v>
      </c>
      <c r="B205" s="209" t="s">
        <v>132</v>
      </c>
      <c r="C205" s="208" t="s">
        <v>132</v>
      </c>
      <c r="D205" s="207" t="s">
        <v>132</v>
      </c>
      <c r="E205" s="202"/>
      <c r="F205" s="258"/>
      <c r="G205" s="217"/>
      <c r="H205" s="199"/>
      <c r="I205" s="200"/>
      <c r="J205" s="5"/>
      <c r="K205" s="1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6">
        <v>3</v>
      </c>
      <c r="B206" s="209" t="s">
        <v>132</v>
      </c>
      <c r="C206" s="208" t="s">
        <v>132</v>
      </c>
      <c r="D206" s="207" t="s">
        <v>132</v>
      </c>
      <c r="E206" s="202"/>
      <c r="F206" s="258"/>
      <c r="G206" s="217"/>
      <c r="H206" s="199"/>
      <c r="I206" s="200"/>
      <c r="J206" s="5"/>
      <c r="K206" s="1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6">
        <v>4</v>
      </c>
      <c r="B207" s="209" t="s">
        <v>132</v>
      </c>
      <c r="C207" s="208" t="s">
        <v>132</v>
      </c>
      <c r="D207" s="207" t="s">
        <v>132</v>
      </c>
      <c r="E207" s="202"/>
      <c r="F207" s="258"/>
      <c r="G207" s="217"/>
      <c r="H207" s="199"/>
      <c r="I207" s="200"/>
      <c r="J207" s="5"/>
      <c r="K207" s="1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6">
        <v>5</v>
      </c>
      <c r="B208" s="209" t="s">
        <v>132</v>
      </c>
      <c r="C208" s="208" t="s">
        <v>132</v>
      </c>
      <c r="D208" s="207" t="s">
        <v>132</v>
      </c>
      <c r="E208" s="202"/>
      <c r="F208" s="258"/>
      <c r="G208" s="218"/>
      <c r="H208" s="199"/>
      <c r="I208" s="200"/>
      <c r="J208" s="5"/>
      <c r="K208" s="1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88">
        <f>'Données projet'!A192</f>
        <v>0</v>
      </c>
      <c r="B209" s="189">
        <f>'Données projet'!D192</f>
        <v>0</v>
      </c>
      <c r="C209" s="202"/>
      <c r="D209" s="187">
        <f>B209*C209</f>
        <v>0</v>
      </c>
      <c r="E209" s="202"/>
      <c r="F209" s="259"/>
      <c r="G209" s="218"/>
      <c r="H209" s="199"/>
      <c r="I209" s="200"/>
      <c r="J209" s="5"/>
      <c r="K209" s="1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88">
        <f>'Données projet'!A193</f>
        <v>0</v>
      </c>
      <c r="B210" s="189">
        <f>'Données projet'!D193</f>
        <v>0</v>
      </c>
      <c r="C210" s="202"/>
      <c r="D210" s="187">
        <f t="shared" ref="D210:D228" si="12">B210*C210</f>
        <v>0</v>
      </c>
      <c r="E210" s="202"/>
      <c r="F210" s="259"/>
      <c r="G210" s="218"/>
      <c r="H210" s="199"/>
      <c r="I210" s="200"/>
      <c r="J210" s="5"/>
      <c r="K210" s="1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88">
        <f>'Données projet'!A194</f>
        <v>0</v>
      </c>
      <c r="B211" s="189">
        <f>'Données projet'!D194</f>
        <v>0</v>
      </c>
      <c r="C211" s="202"/>
      <c r="D211" s="187">
        <f t="shared" si="12"/>
        <v>0</v>
      </c>
      <c r="E211" s="202"/>
      <c r="F211" s="259"/>
      <c r="G211" s="218"/>
      <c r="H211" s="199"/>
      <c r="I211" s="200"/>
      <c r="J211" s="5"/>
      <c r="K211" s="1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88">
        <f>'Données projet'!A195</f>
        <v>0</v>
      </c>
      <c r="B212" s="189">
        <f>'Données projet'!D195</f>
        <v>0</v>
      </c>
      <c r="C212" s="202"/>
      <c r="D212" s="187">
        <f t="shared" si="12"/>
        <v>0</v>
      </c>
      <c r="E212" s="202"/>
      <c r="F212" s="259"/>
      <c r="G212" s="218"/>
      <c r="H212" s="199"/>
      <c r="I212" s="200"/>
      <c r="J212" s="5"/>
      <c r="K212" s="1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88">
        <f>'Données projet'!A196</f>
        <v>0</v>
      </c>
      <c r="B213" s="189">
        <f>'Données projet'!D196</f>
        <v>0</v>
      </c>
      <c r="C213" s="202"/>
      <c r="D213" s="187">
        <f t="shared" si="12"/>
        <v>0</v>
      </c>
      <c r="E213" s="202"/>
      <c r="F213" s="259"/>
      <c r="G213" s="218"/>
      <c r="H213" s="199"/>
      <c r="I213" s="200"/>
      <c r="J213" s="5"/>
      <c r="K213" s="1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88">
        <f>'Données projet'!A197</f>
        <v>0</v>
      </c>
      <c r="B214" s="189">
        <f>'Données projet'!D197</f>
        <v>0</v>
      </c>
      <c r="C214" s="202"/>
      <c r="D214" s="187">
        <f t="shared" si="12"/>
        <v>0</v>
      </c>
      <c r="E214" s="202"/>
      <c r="F214" s="259"/>
      <c r="G214" s="218"/>
      <c r="H214" s="199"/>
      <c r="I214" s="200"/>
      <c r="J214" s="5"/>
      <c r="K214" s="1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88">
        <f>'Données projet'!A198</f>
        <v>0</v>
      </c>
      <c r="B215" s="189">
        <f>'Données projet'!D198</f>
        <v>0</v>
      </c>
      <c r="C215" s="202"/>
      <c r="D215" s="187">
        <f t="shared" si="12"/>
        <v>0</v>
      </c>
      <c r="E215" s="202"/>
      <c r="F215" s="259"/>
      <c r="G215" s="219"/>
      <c r="H215" s="199"/>
      <c r="I215" s="200"/>
      <c r="J215" s="5"/>
      <c r="K215" s="1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88">
        <f>'Données projet'!A199</f>
        <v>0</v>
      </c>
      <c r="B216" s="189">
        <f>'Données projet'!D199</f>
        <v>0</v>
      </c>
      <c r="C216" s="202"/>
      <c r="D216" s="187">
        <f t="shared" si="12"/>
        <v>0</v>
      </c>
      <c r="E216" s="202"/>
      <c r="F216" s="259"/>
      <c r="G216" s="219"/>
      <c r="H216" s="199"/>
      <c r="I216" s="200"/>
      <c r="J216" s="5"/>
      <c r="K216" s="1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88">
        <f>'Données projet'!A200</f>
        <v>0</v>
      </c>
      <c r="B217" s="189">
        <f>'Données projet'!D200</f>
        <v>0</v>
      </c>
      <c r="C217" s="202"/>
      <c r="D217" s="187">
        <f t="shared" si="12"/>
        <v>0</v>
      </c>
      <c r="E217" s="202"/>
      <c r="F217" s="259"/>
      <c r="G217" s="219"/>
      <c r="H217" s="199"/>
      <c r="I217" s="200"/>
      <c r="J217" s="5"/>
      <c r="K217" s="1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88">
        <f>'Données projet'!A201</f>
        <v>0</v>
      </c>
      <c r="B218" s="189">
        <f>'Données projet'!D201</f>
        <v>0</v>
      </c>
      <c r="C218" s="202"/>
      <c r="D218" s="187">
        <f t="shared" si="12"/>
        <v>0</v>
      </c>
      <c r="E218" s="202"/>
      <c r="F218" s="259"/>
      <c r="G218" s="219"/>
      <c r="H218" s="199"/>
      <c r="I218" s="200"/>
      <c r="J218" s="5"/>
      <c r="K218" s="1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88">
        <f>'Données projet'!A202</f>
        <v>0</v>
      </c>
      <c r="B219" s="189">
        <f>'Données projet'!D202</f>
        <v>0</v>
      </c>
      <c r="C219" s="202"/>
      <c r="D219" s="187">
        <f t="shared" si="12"/>
        <v>0</v>
      </c>
      <c r="E219" s="202"/>
      <c r="F219" s="259"/>
      <c r="G219" s="219"/>
      <c r="H219" s="199"/>
      <c r="I219" s="200"/>
      <c r="J219" s="5"/>
      <c r="K219" s="1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88">
        <f>'Données projet'!A203</f>
        <v>0</v>
      </c>
      <c r="B220" s="189">
        <f>'Données projet'!D203</f>
        <v>0</v>
      </c>
      <c r="C220" s="202"/>
      <c r="D220" s="187">
        <f t="shared" si="12"/>
        <v>0</v>
      </c>
      <c r="E220" s="202"/>
      <c r="F220" s="259"/>
      <c r="G220" s="219"/>
      <c r="H220" s="5"/>
      <c r="I220" s="5"/>
      <c r="J220" s="5"/>
      <c r="K220" s="1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88">
        <f>'Données projet'!A204</f>
        <v>0</v>
      </c>
      <c r="B221" s="189">
        <f>'Données projet'!D204</f>
        <v>0</v>
      </c>
      <c r="C221" s="202"/>
      <c r="D221" s="187">
        <f t="shared" si="12"/>
        <v>0</v>
      </c>
      <c r="E221" s="202"/>
      <c r="F221" s="259"/>
      <c r="G221" s="219"/>
      <c r="H221" s="5"/>
      <c r="I221" s="5"/>
      <c r="J221" s="5"/>
      <c r="K221" s="1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88">
        <f>'Données projet'!A205</f>
        <v>0</v>
      </c>
      <c r="B222" s="189">
        <f>'Données projet'!D205</f>
        <v>0</v>
      </c>
      <c r="C222" s="202"/>
      <c r="D222" s="187">
        <f t="shared" si="12"/>
        <v>0</v>
      </c>
      <c r="E222" s="202"/>
      <c r="F222" s="259"/>
      <c r="G222" s="219"/>
      <c r="H222" s="5"/>
      <c r="I222" s="5"/>
      <c r="J222" s="5"/>
      <c r="K222" s="1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88">
        <f>'Données projet'!A206</f>
        <v>0</v>
      </c>
      <c r="B223" s="189">
        <f>'Données projet'!D206</f>
        <v>0</v>
      </c>
      <c r="C223" s="202"/>
      <c r="D223" s="187">
        <f t="shared" si="12"/>
        <v>0</v>
      </c>
      <c r="E223" s="202"/>
      <c r="F223" s="259"/>
      <c r="G223" s="219"/>
      <c r="H223" s="5"/>
      <c r="I223" s="5"/>
      <c r="J223" s="5"/>
      <c r="K223" s="1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88">
        <f>'Données projet'!A207</f>
        <v>0</v>
      </c>
      <c r="B224" s="189">
        <f>'Données projet'!D207</f>
        <v>0</v>
      </c>
      <c r="C224" s="202"/>
      <c r="D224" s="187">
        <f t="shared" si="12"/>
        <v>0</v>
      </c>
      <c r="E224" s="202"/>
      <c r="F224" s="259"/>
      <c r="G224" s="219"/>
      <c r="H224" s="5"/>
      <c r="I224" s="5"/>
      <c r="J224" s="5"/>
      <c r="K224" s="1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88">
        <f>'Données projet'!A208</f>
        <v>0</v>
      </c>
      <c r="B225" s="189">
        <f>'Données projet'!D208</f>
        <v>0</v>
      </c>
      <c r="C225" s="202"/>
      <c r="D225" s="187">
        <f t="shared" si="12"/>
        <v>0</v>
      </c>
      <c r="E225" s="202"/>
      <c r="F225" s="259"/>
      <c r="G225" s="219"/>
      <c r="H225" s="5"/>
      <c r="I225" s="5"/>
      <c r="J225" s="5"/>
      <c r="K225" s="1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88">
        <f>'Données projet'!A209</f>
        <v>0</v>
      </c>
      <c r="B226" s="189">
        <f>'Données projet'!D209</f>
        <v>0</v>
      </c>
      <c r="C226" s="202"/>
      <c r="D226" s="187">
        <f t="shared" si="12"/>
        <v>0</v>
      </c>
      <c r="E226" s="202"/>
      <c r="F226" s="259"/>
      <c r="G226" s="219"/>
      <c r="H226" s="5"/>
      <c r="I226" s="5"/>
      <c r="J226" s="5"/>
      <c r="K226" s="1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88">
        <f>'Données projet'!A210</f>
        <v>0</v>
      </c>
      <c r="B227" s="189">
        <f>'Données projet'!D210</f>
        <v>0</v>
      </c>
      <c r="C227" s="202"/>
      <c r="D227" s="187">
        <f t="shared" si="12"/>
        <v>0</v>
      </c>
      <c r="E227" s="202"/>
      <c r="F227" s="259"/>
      <c r="G227" s="219"/>
      <c r="H227" s="5"/>
      <c r="I227" s="5"/>
      <c r="J227" s="5"/>
      <c r="K227" s="1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88">
        <f>'Données projet'!A211</f>
        <v>0</v>
      </c>
      <c r="B228" s="189">
        <f>'Données projet'!D211</f>
        <v>0</v>
      </c>
      <c r="C228" s="202"/>
      <c r="D228" s="187">
        <f t="shared" si="12"/>
        <v>0</v>
      </c>
      <c r="E228" s="202"/>
      <c r="F228" s="259"/>
      <c r="G228" s="219"/>
      <c r="H228" s="5"/>
      <c r="I228" s="5"/>
      <c r="J228" s="5"/>
      <c r="K228" s="1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7"/>
      <c r="G229" s="219"/>
      <c r="H229" s="5"/>
      <c r="I229" s="5"/>
      <c r="J229" s="5"/>
      <c r="K229" s="1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7"/>
      <c r="G230" s="219"/>
      <c r="H230" s="5"/>
      <c r="I230" s="5"/>
      <c r="J230" s="5"/>
      <c r="K230" s="1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2" t="str">
        <f>IF('Données projet'!$B$16="","",'Données projet'!$B$16)</f>
        <v/>
      </c>
      <c r="C231" s="5"/>
      <c r="D231" s="5"/>
      <c r="E231" s="5"/>
      <c r="F231" s="257"/>
      <c r="G231" s="219"/>
      <c r="H231" s="5"/>
      <c r="I231" s="5"/>
      <c r="J231" s="5"/>
      <c r="K231" s="1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7"/>
      <c r="G232" s="219"/>
      <c r="H232" s="5"/>
      <c r="I232" s="5"/>
      <c r="J232" s="5"/>
      <c r="K232" s="1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3" t="s">
        <v>180</v>
      </c>
      <c r="B233" s="51" t="s">
        <v>256</v>
      </c>
      <c r="C233" s="51" t="s">
        <v>255</v>
      </c>
      <c r="D233" s="253" t="s">
        <v>252</v>
      </c>
      <c r="E233" s="253" t="s">
        <v>320</v>
      </c>
      <c r="F233" s="258"/>
      <c r="G233" s="219"/>
      <c r="H233" s="5"/>
      <c r="I233" s="5"/>
      <c r="J233" s="5"/>
      <c r="K233" s="1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6">
        <v>0</v>
      </c>
      <c r="B234" s="209" t="s">
        <v>132</v>
      </c>
      <c r="C234" s="208" t="s">
        <v>132</v>
      </c>
      <c r="D234" s="207" t="s">
        <v>132</v>
      </c>
      <c r="E234" s="202"/>
      <c r="F234" s="258"/>
      <c r="G234" s="219"/>
      <c r="H234" s="5"/>
      <c r="I234" s="5"/>
      <c r="J234" s="5"/>
      <c r="K234" s="1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6">
        <v>1</v>
      </c>
      <c r="B235" s="209" t="s">
        <v>132</v>
      </c>
      <c r="C235" s="208" t="s">
        <v>132</v>
      </c>
      <c r="D235" s="207" t="s">
        <v>132</v>
      </c>
      <c r="E235" s="202"/>
      <c r="F235" s="258"/>
      <c r="G235" s="217"/>
      <c r="H235" s="5"/>
      <c r="I235" s="5"/>
      <c r="J235" s="5"/>
      <c r="K235" s="1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6">
        <v>2</v>
      </c>
      <c r="B236" s="209" t="s">
        <v>132</v>
      </c>
      <c r="C236" s="208" t="s">
        <v>132</v>
      </c>
      <c r="D236" s="207" t="s">
        <v>132</v>
      </c>
      <c r="E236" s="202"/>
      <c r="F236" s="258"/>
      <c r="G236" s="217"/>
      <c r="H236" s="5"/>
      <c r="I236" s="5"/>
      <c r="J236" s="5"/>
      <c r="K236" s="1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6">
        <v>3</v>
      </c>
      <c r="B237" s="209" t="s">
        <v>132</v>
      </c>
      <c r="C237" s="208" t="s">
        <v>132</v>
      </c>
      <c r="D237" s="207" t="s">
        <v>132</v>
      </c>
      <c r="E237" s="202"/>
      <c r="F237" s="258"/>
      <c r="G237" s="217"/>
      <c r="H237" s="5"/>
      <c r="I237" s="5"/>
      <c r="J237" s="5"/>
      <c r="K237" s="1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6">
        <v>4</v>
      </c>
      <c r="B238" s="209" t="s">
        <v>132</v>
      </c>
      <c r="C238" s="208" t="s">
        <v>132</v>
      </c>
      <c r="D238" s="207" t="s">
        <v>132</v>
      </c>
      <c r="E238" s="202"/>
      <c r="F238" s="258"/>
      <c r="G238" s="217"/>
      <c r="H238" s="5"/>
      <c r="I238" s="5"/>
      <c r="J238" s="5"/>
      <c r="K238" s="1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6">
        <v>5</v>
      </c>
      <c r="B239" s="209" t="s">
        <v>132</v>
      </c>
      <c r="C239" s="208" t="s">
        <v>132</v>
      </c>
      <c r="D239" s="207" t="s">
        <v>132</v>
      </c>
      <c r="E239" s="202"/>
      <c r="F239" s="258"/>
      <c r="G239" s="218"/>
      <c r="H239" s="5"/>
      <c r="I239" s="5"/>
      <c r="J239" s="5"/>
      <c r="K239" s="1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88">
        <f>'Données projet'!A218</f>
        <v>0</v>
      </c>
      <c r="B240" s="189">
        <f>'Données projet'!D218</f>
        <v>0</v>
      </c>
      <c r="C240" s="202"/>
      <c r="D240" s="187">
        <f>B240*C240</f>
        <v>0</v>
      </c>
      <c r="E240" s="202"/>
      <c r="F240" s="259"/>
      <c r="G240" s="218"/>
      <c r="H240" s="5"/>
      <c r="I240" s="5"/>
      <c r="J240" s="5"/>
      <c r="K240" s="1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88">
        <f>'Données projet'!A219</f>
        <v>0</v>
      </c>
      <c r="B241" s="189">
        <f>'Données projet'!D219</f>
        <v>0</v>
      </c>
      <c r="C241" s="202"/>
      <c r="D241" s="187">
        <f t="shared" ref="D241:D259" si="13">B241*C241</f>
        <v>0</v>
      </c>
      <c r="E241" s="202"/>
      <c r="F241" s="259"/>
      <c r="G241" s="218"/>
      <c r="H241" s="5"/>
      <c r="I241" s="5"/>
      <c r="J241" s="5"/>
      <c r="K241" s="1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88">
        <f>'Données projet'!A220</f>
        <v>0</v>
      </c>
      <c r="B242" s="189">
        <f>'Données projet'!D220</f>
        <v>0</v>
      </c>
      <c r="C242" s="202"/>
      <c r="D242" s="187">
        <f t="shared" si="13"/>
        <v>0</v>
      </c>
      <c r="E242" s="202"/>
      <c r="F242" s="259"/>
      <c r="G242" s="218"/>
      <c r="H242" s="5"/>
      <c r="I242" s="5"/>
      <c r="J242" s="5"/>
      <c r="K242" s="1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88">
        <f>'Données projet'!A221</f>
        <v>0</v>
      </c>
      <c r="B243" s="189">
        <f>'Données projet'!D221</f>
        <v>0</v>
      </c>
      <c r="C243" s="202"/>
      <c r="D243" s="187">
        <f t="shared" si="13"/>
        <v>0</v>
      </c>
      <c r="E243" s="202"/>
      <c r="F243" s="259"/>
      <c r="G243" s="218"/>
      <c r="H243" s="5"/>
      <c r="I243" s="5"/>
      <c r="J243" s="5"/>
      <c r="K243" s="1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88">
        <f>'Données projet'!A222</f>
        <v>0</v>
      </c>
      <c r="B244" s="189">
        <f>'Données projet'!D222</f>
        <v>0</v>
      </c>
      <c r="C244" s="202"/>
      <c r="D244" s="187">
        <f t="shared" si="13"/>
        <v>0</v>
      </c>
      <c r="E244" s="202"/>
      <c r="F244" s="259"/>
      <c r="G244" s="218"/>
      <c r="H244" s="5"/>
      <c r="I244" s="5"/>
      <c r="J244" s="5"/>
      <c r="K244" s="1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88">
        <f>'Données projet'!A223</f>
        <v>0</v>
      </c>
      <c r="B245" s="189">
        <f>'Données projet'!D223</f>
        <v>0</v>
      </c>
      <c r="C245" s="202"/>
      <c r="D245" s="187">
        <f t="shared" si="13"/>
        <v>0</v>
      </c>
      <c r="E245" s="202"/>
      <c r="F245" s="259"/>
      <c r="G245" s="218"/>
      <c r="H245" s="5"/>
      <c r="I245" s="5"/>
      <c r="J245" s="5"/>
      <c r="K245" s="1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88">
        <f>'Données projet'!A224</f>
        <v>0</v>
      </c>
      <c r="B246" s="189">
        <f>'Données projet'!D224</f>
        <v>0</v>
      </c>
      <c r="C246" s="202"/>
      <c r="D246" s="187">
        <f t="shared" si="13"/>
        <v>0</v>
      </c>
      <c r="E246" s="202"/>
      <c r="F246" s="259"/>
      <c r="G246" s="219"/>
      <c r="H246" s="5"/>
      <c r="I246" s="5"/>
      <c r="J246" s="5"/>
      <c r="K246" s="1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88">
        <f>'Données projet'!A225</f>
        <v>0</v>
      </c>
      <c r="B247" s="189">
        <f>'Données projet'!D225</f>
        <v>0</v>
      </c>
      <c r="C247" s="202"/>
      <c r="D247" s="187">
        <f t="shared" si="13"/>
        <v>0</v>
      </c>
      <c r="E247" s="202"/>
      <c r="F247" s="259"/>
      <c r="G247" s="219"/>
      <c r="H247" s="5"/>
      <c r="I247" s="5"/>
      <c r="J247" s="5"/>
      <c r="K247" s="1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88">
        <f>'Données projet'!A226</f>
        <v>0</v>
      </c>
      <c r="B248" s="189">
        <f>'Données projet'!D226</f>
        <v>0</v>
      </c>
      <c r="C248" s="202"/>
      <c r="D248" s="187">
        <f t="shared" si="13"/>
        <v>0</v>
      </c>
      <c r="E248" s="202"/>
      <c r="F248" s="259"/>
      <c r="G248" s="219"/>
      <c r="H248" s="5"/>
      <c r="I248" s="5"/>
      <c r="J248" s="5"/>
      <c r="K248" s="1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88">
        <f>'Données projet'!A227</f>
        <v>0</v>
      </c>
      <c r="B249" s="189">
        <f>'Données projet'!D227</f>
        <v>0</v>
      </c>
      <c r="C249" s="202"/>
      <c r="D249" s="187">
        <f t="shared" si="13"/>
        <v>0</v>
      </c>
      <c r="E249" s="202"/>
      <c r="F249" s="259"/>
      <c r="G249" s="219"/>
      <c r="H249" s="5"/>
      <c r="I249" s="5"/>
      <c r="J249" s="5"/>
      <c r="K249" s="1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88">
        <f>'Données projet'!A228</f>
        <v>0</v>
      </c>
      <c r="B250" s="189">
        <f>'Données projet'!D228</f>
        <v>0</v>
      </c>
      <c r="C250" s="202"/>
      <c r="D250" s="187">
        <f t="shared" si="13"/>
        <v>0</v>
      </c>
      <c r="E250" s="202"/>
      <c r="F250" s="259"/>
      <c r="G250" s="219"/>
      <c r="H250" s="5"/>
      <c r="I250" s="5"/>
      <c r="J250" s="5"/>
      <c r="K250" s="1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88">
        <f>'Données projet'!A229</f>
        <v>0</v>
      </c>
      <c r="B251" s="189">
        <f>'Données projet'!D229</f>
        <v>0</v>
      </c>
      <c r="C251" s="202"/>
      <c r="D251" s="187">
        <f t="shared" si="13"/>
        <v>0</v>
      </c>
      <c r="E251" s="202"/>
      <c r="F251" s="259"/>
      <c r="G251" s="219"/>
      <c r="H251" s="5"/>
      <c r="I251" s="5"/>
      <c r="J251" s="5"/>
      <c r="K251" s="1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88">
        <f>'Données projet'!A230</f>
        <v>0</v>
      </c>
      <c r="B252" s="189">
        <f>'Données projet'!D230</f>
        <v>0</v>
      </c>
      <c r="C252" s="202"/>
      <c r="D252" s="187">
        <f t="shared" si="13"/>
        <v>0</v>
      </c>
      <c r="E252" s="202"/>
      <c r="F252" s="259"/>
      <c r="G252" s="219"/>
      <c r="H252" s="5"/>
      <c r="I252" s="5"/>
      <c r="J252" s="5"/>
      <c r="K252" s="1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88">
        <f>'Données projet'!A231</f>
        <v>0</v>
      </c>
      <c r="B253" s="189">
        <f>'Données projet'!D231</f>
        <v>0</v>
      </c>
      <c r="C253" s="202"/>
      <c r="D253" s="187">
        <f t="shared" si="13"/>
        <v>0</v>
      </c>
      <c r="E253" s="202"/>
      <c r="F253" s="259"/>
      <c r="G253" s="219"/>
      <c r="H253" s="5"/>
      <c r="I253" s="5"/>
      <c r="J253" s="5"/>
      <c r="K253" s="1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88">
        <f>'Données projet'!A232</f>
        <v>0</v>
      </c>
      <c r="B254" s="189">
        <f>'Données projet'!D232</f>
        <v>0</v>
      </c>
      <c r="C254" s="202"/>
      <c r="D254" s="187">
        <f t="shared" si="13"/>
        <v>0</v>
      </c>
      <c r="E254" s="202"/>
      <c r="F254" s="259"/>
      <c r="G254" s="219"/>
      <c r="H254" s="5"/>
      <c r="I254" s="5"/>
      <c r="J254" s="5"/>
      <c r="K254" s="1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88">
        <f>'Données projet'!A233</f>
        <v>0</v>
      </c>
      <c r="B255" s="189">
        <f>'Données projet'!D233</f>
        <v>0</v>
      </c>
      <c r="C255" s="202"/>
      <c r="D255" s="187">
        <f t="shared" si="13"/>
        <v>0</v>
      </c>
      <c r="E255" s="202"/>
      <c r="F255" s="259"/>
      <c r="G255" s="219"/>
      <c r="H255" s="5"/>
      <c r="I255" s="5"/>
      <c r="J255" s="5"/>
      <c r="K255" s="1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88">
        <f>'Données projet'!A234</f>
        <v>0</v>
      </c>
      <c r="B256" s="189">
        <f>'Données projet'!D234</f>
        <v>0</v>
      </c>
      <c r="C256" s="202"/>
      <c r="D256" s="187">
        <f t="shared" si="13"/>
        <v>0</v>
      </c>
      <c r="E256" s="202"/>
      <c r="F256" s="259"/>
      <c r="G256" s="219"/>
      <c r="H256" s="5"/>
      <c r="I256" s="5"/>
      <c r="J256" s="5"/>
      <c r="K256" s="1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88">
        <f>'Données projet'!A235</f>
        <v>0</v>
      </c>
      <c r="B257" s="189">
        <f>'Données projet'!D235</f>
        <v>0</v>
      </c>
      <c r="C257" s="202"/>
      <c r="D257" s="187">
        <f t="shared" si="13"/>
        <v>0</v>
      </c>
      <c r="E257" s="202"/>
      <c r="F257" s="259"/>
      <c r="G257" s="219"/>
      <c r="H257" s="5"/>
      <c r="I257" s="5"/>
      <c r="J257" s="5"/>
      <c r="K257" s="1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88">
        <f>'Données projet'!A236</f>
        <v>0</v>
      </c>
      <c r="B258" s="189">
        <f>'Données projet'!D236</f>
        <v>0</v>
      </c>
      <c r="C258" s="202"/>
      <c r="D258" s="187">
        <f t="shared" si="13"/>
        <v>0</v>
      </c>
      <c r="E258" s="202"/>
      <c r="F258" s="259"/>
      <c r="G258" s="219"/>
      <c r="H258" s="5"/>
      <c r="I258" s="5"/>
      <c r="J258" s="5"/>
      <c r="K258" s="1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88">
        <f>'Données projet'!A237</f>
        <v>0</v>
      </c>
      <c r="B259" s="189">
        <f>'Données projet'!D237</f>
        <v>0</v>
      </c>
      <c r="C259" s="202"/>
      <c r="D259" s="187">
        <f t="shared" si="13"/>
        <v>0</v>
      </c>
      <c r="E259" s="202"/>
      <c r="F259" s="259"/>
      <c r="G259" s="219"/>
      <c r="H259" s="5"/>
      <c r="I259" s="5"/>
      <c r="J259" s="5"/>
      <c r="K259" s="1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7"/>
      <c r="G260" s="219"/>
      <c r="H260" s="5"/>
      <c r="I260" s="5"/>
      <c r="J260" s="5"/>
      <c r="K260" s="1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7"/>
      <c r="G261" s="219"/>
      <c r="H261" s="5"/>
      <c r="I261" s="5"/>
      <c r="J261" s="5"/>
      <c r="K261" s="1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2" t="str">
        <f>IF('Données projet'!$B$17="","",'Données projet'!$B$17)</f>
        <v/>
      </c>
      <c r="C262" s="5"/>
      <c r="D262" s="5"/>
      <c r="E262" s="5"/>
      <c r="F262" s="257"/>
      <c r="G262" s="219"/>
      <c r="H262" s="5"/>
      <c r="I262" s="5"/>
      <c r="J262" s="5"/>
      <c r="K262" s="1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7"/>
      <c r="G263" s="219"/>
      <c r="H263" s="5"/>
      <c r="I263" s="5"/>
      <c r="J263" s="5"/>
      <c r="K263" s="1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3" t="s">
        <v>180</v>
      </c>
      <c r="B264" s="51" t="s">
        <v>256</v>
      </c>
      <c r="C264" s="51" t="s">
        <v>255</v>
      </c>
      <c r="D264" s="253" t="s">
        <v>252</v>
      </c>
      <c r="E264" s="253" t="s">
        <v>320</v>
      </c>
      <c r="F264" s="258"/>
      <c r="G264" s="219"/>
      <c r="H264" s="5"/>
      <c r="I264" s="5"/>
      <c r="J264" s="5"/>
      <c r="K264" s="1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6">
        <v>0</v>
      </c>
      <c r="B265" s="209" t="s">
        <v>132</v>
      </c>
      <c r="C265" s="208" t="s">
        <v>132</v>
      </c>
      <c r="D265" s="207" t="s">
        <v>132</v>
      </c>
      <c r="E265" s="202"/>
      <c r="F265" s="258"/>
      <c r="G265" s="219"/>
      <c r="H265" s="5"/>
      <c r="I265" s="5"/>
      <c r="J265" s="5"/>
      <c r="K265" s="1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6">
        <v>1</v>
      </c>
      <c r="B266" s="209" t="s">
        <v>132</v>
      </c>
      <c r="C266" s="208" t="s">
        <v>132</v>
      </c>
      <c r="D266" s="207" t="s">
        <v>132</v>
      </c>
      <c r="E266" s="202"/>
      <c r="F266" s="258"/>
      <c r="G266" s="217"/>
      <c r="H266" s="5"/>
      <c r="I266" s="5"/>
      <c r="J266" s="5"/>
      <c r="K266" s="1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6">
        <v>2</v>
      </c>
      <c r="B267" s="209" t="s">
        <v>132</v>
      </c>
      <c r="C267" s="208" t="s">
        <v>132</v>
      </c>
      <c r="D267" s="207" t="s">
        <v>132</v>
      </c>
      <c r="E267" s="202"/>
      <c r="F267" s="258"/>
      <c r="G267" s="217"/>
      <c r="H267" s="5"/>
      <c r="I267" s="5"/>
      <c r="J267" s="5"/>
      <c r="K267" s="1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6">
        <v>3</v>
      </c>
      <c r="B268" s="209" t="s">
        <v>132</v>
      </c>
      <c r="C268" s="208" t="s">
        <v>132</v>
      </c>
      <c r="D268" s="207" t="s">
        <v>132</v>
      </c>
      <c r="E268" s="202"/>
      <c r="F268" s="258"/>
      <c r="G268" s="217"/>
      <c r="H268" s="5"/>
      <c r="I268" s="5"/>
      <c r="J268" s="5"/>
      <c r="K268" s="1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6">
        <v>4</v>
      </c>
      <c r="B269" s="209" t="s">
        <v>132</v>
      </c>
      <c r="C269" s="208" t="s">
        <v>132</v>
      </c>
      <c r="D269" s="207" t="s">
        <v>132</v>
      </c>
      <c r="E269" s="202"/>
      <c r="F269" s="258"/>
      <c r="G269" s="217"/>
      <c r="H269" s="5"/>
      <c r="I269" s="5"/>
      <c r="J269" s="5"/>
      <c r="K269" s="1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6">
        <v>5</v>
      </c>
      <c r="B270" s="209" t="s">
        <v>132</v>
      </c>
      <c r="C270" s="208" t="s">
        <v>132</v>
      </c>
      <c r="D270" s="207" t="s">
        <v>132</v>
      </c>
      <c r="E270" s="202"/>
      <c r="F270" s="258"/>
      <c r="G270" s="218"/>
      <c r="H270" s="5"/>
      <c r="I270" s="5"/>
      <c r="J270" s="5"/>
      <c r="K270" s="1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88">
        <f>'Données projet'!A244</f>
        <v>0</v>
      </c>
      <c r="B271" s="189">
        <f>'Données projet'!D244</f>
        <v>0</v>
      </c>
      <c r="C271" s="202"/>
      <c r="D271" s="187">
        <f>B271*C271</f>
        <v>0</v>
      </c>
      <c r="E271" s="202"/>
      <c r="F271" s="259"/>
      <c r="G271" s="218"/>
      <c r="H271" s="5"/>
      <c r="I271" s="5"/>
      <c r="J271" s="5"/>
      <c r="K271" s="1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88">
        <f>'Données projet'!A245</f>
        <v>0</v>
      </c>
      <c r="B272" s="189">
        <f>'Données projet'!D245</f>
        <v>0</v>
      </c>
      <c r="C272" s="202"/>
      <c r="D272" s="187">
        <f t="shared" ref="D272:D290" si="14">B272*C272</f>
        <v>0</v>
      </c>
      <c r="E272" s="202"/>
      <c r="F272" s="259"/>
      <c r="G272" s="218"/>
      <c r="H272" s="5"/>
      <c r="I272" s="5"/>
      <c r="J272" s="5"/>
      <c r="K272" s="1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88">
        <f>'Données projet'!A246</f>
        <v>0</v>
      </c>
      <c r="B273" s="189">
        <f>'Données projet'!D246</f>
        <v>0</v>
      </c>
      <c r="C273" s="202"/>
      <c r="D273" s="187">
        <f t="shared" si="14"/>
        <v>0</v>
      </c>
      <c r="E273" s="202"/>
      <c r="F273" s="259"/>
      <c r="G273" s="218"/>
      <c r="H273" s="5"/>
      <c r="I273" s="5"/>
      <c r="J273" s="5"/>
      <c r="K273" s="1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88">
        <f>'Données projet'!A247</f>
        <v>0</v>
      </c>
      <c r="B274" s="189">
        <f>'Données projet'!D247</f>
        <v>0</v>
      </c>
      <c r="C274" s="202"/>
      <c r="D274" s="187">
        <f t="shared" si="14"/>
        <v>0</v>
      </c>
      <c r="E274" s="202"/>
      <c r="F274" s="259"/>
      <c r="G274" s="218"/>
      <c r="H274" s="5"/>
      <c r="I274" s="5"/>
      <c r="J274" s="5"/>
      <c r="K274" s="1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88">
        <f>'Données projet'!A248</f>
        <v>0</v>
      </c>
      <c r="B275" s="189">
        <f>'Données projet'!D248</f>
        <v>0</v>
      </c>
      <c r="C275" s="202"/>
      <c r="D275" s="187">
        <f t="shared" si="14"/>
        <v>0</v>
      </c>
      <c r="E275" s="202"/>
      <c r="F275" s="259"/>
      <c r="G275" s="218"/>
      <c r="H275" s="5"/>
      <c r="I275" s="5"/>
      <c r="J275" s="5"/>
      <c r="K275" s="1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88">
        <f>'Données projet'!A249</f>
        <v>0</v>
      </c>
      <c r="B276" s="189">
        <f>'Données projet'!D249</f>
        <v>0</v>
      </c>
      <c r="C276" s="202"/>
      <c r="D276" s="187">
        <f t="shared" si="14"/>
        <v>0</v>
      </c>
      <c r="E276" s="202"/>
      <c r="F276" s="259"/>
      <c r="G276" s="218"/>
      <c r="H276" s="5"/>
      <c r="I276" s="5"/>
      <c r="J276" s="5"/>
      <c r="K276" s="1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88">
        <f>'Données projet'!A250</f>
        <v>0</v>
      </c>
      <c r="B277" s="189">
        <f>'Données projet'!D250</f>
        <v>0</v>
      </c>
      <c r="C277" s="202"/>
      <c r="D277" s="187">
        <f t="shared" si="14"/>
        <v>0</v>
      </c>
      <c r="E277" s="202"/>
      <c r="F277" s="259"/>
      <c r="G277" s="219"/>
      <c r="H277" s="5"/>
      <c r="I277" s="5"/>
      <c r="J277" s="5"/>
      <c r="K277" s="1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88">
        <f>'Données projet'!A251</f>
        <v>0</v>
      </c>
      <c r="B278" s="189">
        <f>'Données projet'!D251</f>
        <v>0</v>
      </c>
      <c r="C278" s="202"/>
      <c r="D278" s="187">
        <f t="shared" si="14"/>
        <v>0</v>
      </c>
      <c r="E278" s="202"/>
      <c r="F278" s="259"/>
      <c r="G278" s="219"/>
      <c r="H278" s="5"/>
      <c r="I278" s="5"/>
      <c r="J278" s="5"/>
      <c r="K278" s="1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88">
        <f>'Données projet'!A252</f>
        <v>0</v>
      </c>
      <c r="B279" s="189">
        <f>'Données projet'!D252</f>
        <v>0</v>
      </c>
      <c r="C279" s="202"/>
      <c r="D279" s="187">
        <f t="shared" si="14"/>
        <v>0</v>
      </c>
      <c r="E279" s="202"/>
      <c r="F279" s="259"/>
      <c r="G279" s="219"/>
      <c r="H279" s="5"/>
      <c r="I279" s="5"/>
      <c r="J279" s="5"/>
      <c r="K279" s="1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88">
        <f>'Données projet'!A253</f>
        <v>0</v>
      </c>
      <c r="B280" s="189">
        <f>'Données projet'!D253</f>
        <v>0</v>
      </c>
      <c r="C280" s="202"/>
      <c r="D280" s="187">
        <f t="shared" si="14"/>
        <v>0</v>
      </c>
      <c r="E280" s="202"/>
      <c r="F280" s="259"/>
      <c r="G280" s="219"/>
      <c r="H280" s="5"/>
      <c r="I280" s="5"/>
      <c r="J280" s="5"/>
      <c r="K280" s="1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88">
        <f>'Données projet'!A254</f>
        <v>0</v>
      </c>
      <c r="B281" s="189">
        <f>'Données projet'!D254</f>
        <v>0</v>
      </c>
      <c r="C281" s="202"/>
      <c r="D281" s="187">
        <f t="shared" si="14"/>
        <v>0</v>
      </c>
      <c r="E281" s="202"/>
      <c r="F281" s="259"/>
      <c r="G281" s="219"/>
      <c r="H281" s="5"/>
      <c r="I281" s="5"/>
      <c r="J281" s="5"/>
      <c r="K281" s="1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88">
        <f>'Données projet'!A255</f>
        <v>0</v>
      </c>
      <c r="B282" s="189">
        <f>'Données projet'!D255</f>
        <v>0</v>
      </c>
      <c r="C282" s="202"/>
      <c r="D282" s="187">
        <f t="shared" si="14"/>
        <v>0</v>
      </c>
      <c r="E282" s="202"/>
      <c r="F282" s="259"/>
      <c r="G282" s="219"/>
      <c r="H282" s="5"/>
      <c r="I282" s="5"/>
      <c r="J282" s="5"/>
      <c r="K282" s="1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88">
        <f>'Données projet'!A256</f>
        <v>0</v>
      </c>
      <c r="B283" s="189">
        <f>'Données projet'!D256</f>
        <v>0</v>
      </c>
      <c r="C283" s="202"/>
      <c r="D283" s="187">
        <f t="shared" si="14"/>
        <v>0</v>
      </c>
      <c r="E283" s="202"/>
      <c r="F283" s="259"/>
      <c r="G283" s="219"/>
      <c r="H283" s="5"/>
      <c r="I283" s="5"/>
      <c r="J283" s="5"/>
      <c r="K283" s="1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88">
        <f>'Données projet'!A257</f>
        <v>0</v>
      </c>
      <c r="B284" s="189">
        <f>'Données projet'!D257</f>
        <v>0</v>
      </c>
      <c r="C284" s="202"/>
      <c r="D284" s="187">
        <f t="shared" si="14"/>
        <v>0</v>
      </c>
      <c r="E284" s="202"/>
      <c r="F284" s="259"/>
      <c r="G284" s="219"/>
      <c r="H284" s="5"/>
      <c r="I284" s="5"/>
      <c r="J284" s="5"/>
      <c r="K284" s="1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88">
        <f>'Données projet'!A258</f>
        <v>0</v>
      </c>
      <c r="B285" s="189">
        <f>'Données projet'!D258</f>
        <v>0</v>
      </c>
      <c r="C285" s="202"/>
      <c r="D285" s="187">
        <f t="shared" si="14"/>
        <v>0</v>
      </c>
      <c r="E285" s="202"/>
      <c r="F285" s="259"/>
      <c r="G285" s="219"/>
      <c r="H285" s="5"/>
      <c r="I285" s="5"/>
      <c r="J285" s="5"/>
      <c r="K285" s="1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88">
        <f>'Données projet'!A259</f>
        <v>0</v>
      </c>
      <c r="B286" s="189">
        <f>'Données projet'!D259</f>
        <v>0</v>
      </c>
      <c r="C286" s="202"/>
      <c r="D286" s="187">
        <f t="shared" si="14"/>
        <v>0</v>
      </c>
      <c r="E286" s="202"/>
      <c r="F286" s="259"/>
      <c r="G286" s="219"/>
      <c r="H286" s="5"/>
      <c r="I286" s="5"/>
      <c r="J286" s="5"/>
      <c r="K286" s="1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88">
        <f>'Données projet'!A260</f>
        <v>0</v>
      </c>
      <c r="B287" s="189">
        <f>'Données projet'!D260</f>
        <v>0</v>
      </c>
      <c r="C287" s="202"/>
      <c r="D287" s="187">
        <f t="shared" si="14"/>
        <v>0</v>
      </c>
      <c r="E287" s="202"/>
      <c r="F287" s="259"/>
      <c r="G287" s="219"/>
      <c r="H287" s="5"/>
      <c r="I287" s="5"/>
      <c r="J287" s="5"/>
      <c r="K287" s="1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88">
        <f>'Données projet'!A261</f>
        <v>0</v>
      </c>
      <c r="B288" s="189">
        <f>'Données projet'!D261</f>
        <v>0</v>
      </c>
      <c r="C288" s="202"/>
      <c r="D288" s="187">
        <f t="shared" si="14"/>
        <v>0</v>
      </c>
      <c r="E288" s="202"/>
      <c r="F288" s="259"/>
      <c r="G288" s="219"/>
      <c r="H288" s="5"/>
      <c r="I288" s="5"/>
      <c r="J288" s="5"/>
      <c r="K288" s="1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88">
        <f>'Données projet'!A262</f>
        <v>0</v>
      </c>
      <c r="B289" s="189">
        <f>'Données projet'!D262</f>
        <v>0</v>
      </c>
      <c r="C289" s="202"/>
      <c r="D289" s="187">
        <f t="shared" si="14"/>
        <v>0</v>
      </c>
      <c r="E289" s="202"/>
      <c r="F289" s="259"/>
      <c r="G289" s="219"/>
      <c r="H289" s="5"/>
      <c r="I289" s="5"/>
      <c r="J289" s="5"/>
      <c r="K289" s="1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88">
        <f>'Données projet'!A263</f>
        <v>0</v>
      </c>
      <c r="B290" s="189">
        <f>'Données projet'!D263</f>
        <v>0</v>
      </c>
      <c r="C290" s="202"/>
      <c r="D290" s="187">
        <f t="shared" si="14"/>
        <v>0</v>
      </c>
      <c r="E290" s="202"/>
      <c r="F290" s="259"/>
      <c r="G290" s="219"/>
      <c r="H290" s="5"/>
      <c r="I290" s="5"/>
      <c r="J290" s="5"/>
      <c r="K290" s="1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7"/>
      <c r="G291" s="219"/>
      <c r="H291" s="5"/>
      <c r="I291" s="5"/>
      <c r="J291" s="5"/>
      <c r="K291" s="1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7"/>
      <c r="G292" s="219"/>
      <c r="H292" s="5"/>
      <c r="I292" s="5"/>
      <c r="J292" s="5"/>
      <c r="K292" s="1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2" t="str">
        <f>IF('Données projet'!$B$18="","",'Données projet'!$B$18)</f>
        <v/>
      </c>
      <c r="C293" s="5"/>
      <c r="D293" s="5"/>
      <c r="E293" s="5"/>
      <c r="F293" s="257"/>
      <c r="G293" s="219"/>
      <c r="H293" s="5"/>
      <c r="I293" s="5"/>
      <c r="J293" s="5"/>
      <c r="K293" s="1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7"/>
      <c r="G294" s="219"/>
      <c r="H294" s="5"/>
      <c r="I294" s="5"/>
      <c r="J294" s="5"/>
      <c r="K294" s="1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3" t="s">
        <v>180</v>
      </c>
      <c r="B295" s="51" t="s">
        <v>256</v>
      </c>
      <c r="C295" s="51" t="s">
        <v>255</v>
      </c>
      <c r="D295" s="253" t="s">
        <v>252</v>
      </c>
      <c r="E295" s="253" t="s">
        <v>320</v>
      </c>
      <c r="F295" s="258"/>
      <c r="G295" s="219"/>
      <c r="H295" s="5"/>
      <c r="I295" s="5"/>
      <c r="J295" s="5"/>
      <c r="K295" s="1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6">
        <v>0</v>
      </c>
      <c r="B296" s="209" t="s">
        <v>132</v>
      </c>
      <c r="C296" s="208" t="s">
        <v>132</v>
      </c>
      <c r="D296" s="207" t="s">
        <v>132</v>
      </c>
      <c r="E296" s="202"/>
      <c r="F296" s="258"/>
      <c r="G296" s="219"/>
      <c r="H296" s="5"/>
      <c r="I296" s="5"/>
      <c r="J296" s="5"/>
      <c r="K296" s="1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6">
        <v>1</v>
      </c>
      <c r="B297" s="209" t="s">
        <v>132</v>
      </c>
      <c r="C297" s="208" t="s">
        <v>132</v>
      </c>
      <c r="D297" s="207" t="s">
        <v>132</v>
      </c>
      <c r="E297" s="202"/>
      <c r="F297" s="258"/>
      <c r="G297" s="217"/>
      <c r="H297" s="5"/>
      <c r="I297" s="5"/>
      <c r="J297" s="5"/>
      <c r="K297" s="1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6">
        <v>2</v>
      </c>
      <c r="B298" s="209" t="s">
        <v>132</v>
      </c>
      <c r="C298" s="208" t="s">
        <v>132</v>
      </c>
      <c r="D298" s="207" t="s">
        <v>132</v>
      </c>
      <c r="E298" s="202"/>
      <c r="F298" s="258"/>
      <c r="G298" s="217"/>
      <c r="H298" s="5"/>
      <c r="I298" s="5"/>
      <c r="J298" s="5"/>
      <c r="K298" s="1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6">
        <v>3</v>
      </c>
      <c r="B299" s="209" t="s">
        <v>132</v>
      </c>
      <c r="C299" s="208" t="s">
        <v>132</v>
      </c>
      <c r="D299" s="207" t="s">
        <v>132</v>
      </c>
      <c r="E299" s="202"/>
      <c r="F299" s="258"/>
      <c r="G299" s="217"/>
      <c r="H299" s="5"/>
      <c r="I299" s="5"/>
      <c r="J299" s="5"/>
      <c r="K299" s="1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6">
        <v>4</v>
      </c>
      <c r="B300" s="209" t="s">
        <v>132</v>
      </c>
      <c r="C300" s="208" t="s">
        <v>132</v>
      </c>
      <c r="D300" s="207" t="s">
        <v>132</v>
      </c>
      <c r="E300" s="202"/>
      <c r="F300" s="258"/>
      <c r="G300" s="217"/>
      <c r="H300" s="5"/>
      <c r="I300" s="5"/>
      <c r="J300" s="5"/>
      <c r="K300" s="1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6">
        <v>5</v>
      </c>
      <c r="B301" s="209" t="s">
        <v>132</v>
      </c>
      <c r="C301" s="208" t="s">
        <v>132</v>
      </c>
      <c r="D301" s="207" t="s">
        <v>132</v>
      </c>
      <c r="E301" s="202"/>
      <c r="F301" s="258"/>
      <c r="G301" s="218"/>
      <c r="H301" s="5"/>
      <c r="I301" s="5"/>
      <c r="J301" s="5"/>
      <c r="K301" s="1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88">
        <f>'Données projet'!A270</f>
        <v>0</v>
      </c>
      <c r="B302" s="189">
        <f>'Données projet'!D270</f>
        <v>0</v>
      </c>
      <c r="C302" s="200"/>
      <c r="D302" s="190">
        <f>B302*C302</f>
        <v>0</v>
      </c>
      <c r="E302" s="202"/>
      <c r="F302" s="260"/>
      <c r="G302" s="218"/>
      <c r="H302" s="5"/>
      <c r="I302" s="5"/>
      <c r="J302" s="5"/>
      <c r="K302" s="1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88">
        <f>'Données projet'!A271</f>
        <v>0</v>
      </c>
      <c r="B303" s="189">
        <f>'Données projet'!D271</f>
        <v>0</v>
      </c>
      <c r="C303" s="200"/>
      <c r="D303" s="190">
        <f t="shared" ref="D303:D321" si="15">B303*C303</f>
        <v>0</v>
      </c>
      <c r="E303" s="202"/>
      <c r="F303" s="260"/>
      <c r="G303" s="218"/>
      <c r="H303" s="5"/>
      <c r="I303" s="5"/>
      <c r="J303" s="5"/>
      <c r="K303" s="1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88">
        <f>'Données projet'!A272</f>
        <v>0</v>
      </c>
      <c r="B304" s="189">
        <f>'Données projet'!D272</f>
        <v>0</v>
      </c>
      <c r="C304" s="200"/>
      <c r="D304" s="190">
        <f t="shared" si="15"/>
        <v>0</v>
      </c>
      <c r="E304" s="202"/>
      <c r="F304" s="260"/>
      <c r="G304" s="218"/>
      <c r="H304" s="5"/>
      <c r="I304" s="5"/>
      <c r="J304" s="5"/>
      <c r="K304" s="1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88">
        <f>'Données projet'!A273</f>
        <v>0</v>
      </c>
      <c r="B305" s="189">
        <f>'Données projet'!D273</f>
        <v>0</v>
      </c>
      <c r="C305" s="200"/>
      <c r="D305" s="190">
        <f t="shared" si="15"/>
        <v>0</v>
      </c>
      <c r="E305" s="202"/>
      <c r="F305" s="260"/>
      <c r="G305" s="218"/>
      <c r="H305" s="5"/>
      <c r="I305" s="5"/>
      <c r="J305" s="5"/>
      <c r="K305" s="1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88">
        <f>'Données projet'!A274</f>
        <v>0</v>
      </c>
      <c r="B306" s="189">
        <f>'Données projet'!D274</f>
        <v>0</v>
      </c>
      <c r="C306" s="200"/>
      <c r="D306" s="190">
        <f t="shared" si="15"/>
        <v>0</v>
      </c>
      <c r="E306" s="202"/>
      <c r="F306" s="260"/>
      <c r="G306" s="218"/>
      <c r="H306" s="5"/>
      <c r="I306" s="5"/>
      <c r="J306" s="5"/>
      <c r="K306" s="1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88">
        <f>'Données projet'!A275</f>
        <v>0</v>
      </c>
      <c r="B307" s="189">
        <f>'Données projet'!D275</f>
        <v>0</v>
      </c>
      <c r="C307" s="200"/>
      <c r="D307" s="190">
        <f t="shared" si="15"/>
        <v>0</v>
      </c>
      <c r="E307" s="202"/>
      <c r="F307" s="260"/>
      <c r="G307" s="218"/>
      <c r="H307" s="5"/>
      <c r="I307" s="5"/>
      <c r="J307" s="5"/>
      <c r="K307" s="1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88">
        <f>'Données projet'!A276</f>
        <v>0</v>
      </c>
      <c r="B308" s="189">
        <f>'Données projet'!D276</f>
        <v>0</v>
      </c>
      <c r="C308" s="200"/>
      <c r="D308" s="190">
        <f t="shared" si="15"/>
        <v>0</v>
      </c>
      <c r="E308" s="202"/>
      <c r="F308" s="260"/>
      <c r="G308" s="214"/>
      <c r="H308" s="5"/>
      <c r="I308" s="5"/>
      <c r="J308" s="5"/>
      <c r="K308" s="1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88">
        <f>'Données projet'!A277</f>
        <v>0</v>
      </c>
      <c r="B309" s="189">
        <f>'Données projet'!D277</f>
        <v>0</v>
      </c>
      <c r="C309" s="200"/>
      <c r="D309" s="190">
        <f t="shared" si="15"/>
        <v>0</v>
      </c>
      <c r="E309" s="202"/>
      <c r="F309" s="260"/>
      <c r="G309" s="214"/>
      <c r="H309" s="5"/>
      <c r="I309" s="5"/>
      <c r="J309" s="5"/>
      <c r="K309" s="1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88">
        <f>'Données projet'!A278</f>
        <v>0</v>
      </c>
      <c r="B310" s="189">
        <f>'Données projet'!D278</f>
        <v>0</v>
      </c>
      <c r="C310" s="200"/>
      <c r="D310" s="190">
        <f t="shared" si="15"/>
        <v>0</v>
      </c>
      <c r="E310" s="202"/>
      <c r="F310" s="260"/>
      <c r="G310" s="214"/>
      <c r="H310" s="5"/>
      <c r="I310" s="5"/>
      <c r="J310" s="5"/>
      <c r="K310" s="1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88">
        <f>'Données projet'!A279</f>
        <v>0</v>
      </c>
      <c r="B311" s="189">
        <f>'Données projet'!D279</f>
        <v>0</v>
      </c>
      <c r="C311" s="200"/>
      <c r="D311" s="190">
        <f t="shared" si="15"/>
        <v>0</v>
      </c>
      <c r="E311" s="202"/>
      <c r="F311" s="260"/>
      <c r="G311" s="214"/>
      <c r="H311" s="5"/>
      <c r="I311" s="5"/>
      <c r="J311" s="5"/>
      <c r="K311" s="1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88">
        <f>'Données projet'!A280</f>
        <v>0</v>
      </c>
      <c r="B312" s="189">
        <f>'Données projet'!D280</f>
        <v>0</v>
      </c>
      <c r="C312" s="200"/>
      <c r="D312" s="190">
        <f t="shared" si="15"/>
        <v>0</v>
      </c>
      <c r="E312" s="202"/>
      <c r="F312" s="260"/>
      <c r="G312" s="214"/>
      <c r="H312" s="5"/>
      <c r="I312" s="5"/>
      <c r="J312" s="5"/>
      <c r="K312" s="1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88">
        <f>'Données projet'!A281</f>
        <v>0</v>
      </c>
      <c r="B313" s="189">
        <f>'Données projet'!D281</f>
        <v>0</v>
      </c>
      <c r="C313" s="200"/>
      <c r="D313" s="190">
        <f t="shared" si="15"/>
        <v>0</v>
      </c>
      <c r="E313" s="202"/>
      <c r="F313" s="260"/>
      <c r="G313" s="214"/>
      <c r="H313" s="5"/>
      <c r="I313" s="5"/>
      <c r="J313" s="5"/>
      <c r="K313" s="1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88">
        <f>'Données projet'!A282</f>
        <v>0</v>
      </c>
      <c r="B314" s="189">
        <f>'Données projet'!D282</f>
        <v>0</v>
      </c>
      <c r="C314" s="200"/>
      <c r="D314" s="190">
        <f t="shared" si="15"/>
        <v>0</v>
      </c>
      <c r="E314" s="202"/>
      <c r="F314" s="260"/>
      <c r="G314" s="214"/>
      <c r="H314" s="5"/>
      <c r="I314" s="5"/>
      <c r="J314" s="5"/>
      <c r="K314" s="1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88">
        <f>'Données projet'!A283</f>
        <v>0</v>
      </c>
      <c r="B315" s="189">
        <f>'Données projet'!D283</f>
        <v>0</v>
      </c>
      <c r="C315" s="200"/>
      <c r="D315" s="190">
        <f t="shared" si="15"/>
        <v>0</v>
      </c>
      <c r="E315" s="202"/>
      <c r="F315" s="260"/>
      <c r="G315" s="214"/>
      <c r="H315" s="5"/>
      <c r="I315" s="5"/>
      <c r="J315" s="5"/>
      <c r="K315" s="1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88">
        <f>'Données projet'!A284</f>
        <v>0</v>
      </c>
      <c r="B316" s="189">
        <f>'Données projet'!D284</f>
        <v>0</v>
      </c>
      <c r="C316" s="200"/>
      <c r="D316" s="190">
        <f t="shared" si="15"/>
        <v>0</v>
      </c>
      <c r="E316" s="202"/>
      <c r="F316" s="260"/>
      <c r="G316" s="214"/>
      <c r="H316" s="5"/>
      <c r="I316" s="5"/>
      <c r="J316" s="5"/>
      <c r="K316" s="1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88">
        <f>'Données projet'!A285</f>
        <v>0</v>
      </c>
      <c r="B317" s="189">
        <f>'Données projet'!D285</f>
        <v>0</v>
      </c>
      <c r="C317" s="200"/>
      <c r="D317" s="190">
        <f t="shared" si="15"/>
        <v>0</v>
      </c>
      <c r="E317" s="202"/>
      <c r="F317" s="260"/>
      <c r="G317" s="214"/>
      <c r="H317" s="5"/>
      <c r="I317" s="5"/>
      <c r="J317" s="5"/>
      <c r="K317" s="1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88">
        <f>'Données projet'!A286</f>
        <v>0</v>
      </c>
      <c r="B318" s="189">
        <f>'Données projet'!D286</f>
        <v>0</v>
      </c>
      <c r="C318" s="200"/>
      <c r="D318" s="190">
        <f t="shared" si="15"/>
        <v>0</v>
      </c>
      <c r="E318" s="202"/>
      <c r="F318" s="260"/>
      <c r="G318" s="214"/>
      <c r="H318" s="5"/>
      <c r="I318" s="5"/>
      <c r="J318" s="5"/>
      <c r="K318" s="1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88">
        <f>'Données projet'!A287</f>
        <v>0</v>
      </c>
      <c r="B319" s="189">
        <f>'Données projet'!D287</f>
        <v>0</v>
      </c>
      <c r="C319" s="200"/>
      <c r="D319" s="190">
        <f t="shared" si="15"/>
        <v>0</v>
      </c>
      <c r="E319" s="202"/>
      <c r="F319" s="260"/>
      <c r="G319" s="214"/>
      <c r="H319" s="5"/>
      <c r="I319" s="5"/>
      <c r="J319" s="5"/>
      <c r="K319" s="1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88">
        <f>'Données projet'!A288</f>
        <v>0</v>
      </c>
      <c r="B320" s="189">
        <f>'Données projet'!D288</f>
        <v>0</v>
      </c>
      <c r="C320" s="200"/>
      <c r="D320" s="190">
        <f t="shared" si="15"/>
        <v>0</v>
      </c>
      <c r="E320" s="202"/>
      <c r="F320" s="260"/>
      <c r="G320" s="214"/>
      <c r="H320" s="5"/>
      <c r="I320" s="5"/>
      <c r="J320" s="5"/>
      <c r="K320" s="1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88">
        <f>'Données projet'!A289</f>
        <v>0</v>
      </c>
      <c r="B321" s="189">
        <f>'Données projet'!D289</f>
        <v>0</v>
      </c>
      <c r="C321" s="205"/>
      <c r="D321" s="190">
        <f t="shared" si="15"/>
        <v>0</v>
      </c>
      <c r="E321" s="202"/>
      <c r="F321" s="260"/>
      <c r="G321" s="214"/>
      <c r="H321" s="5"/>
      <c r="I321" s="5"/>
      <c r="J321" s="5"/>
      <c r="K321" s="1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4"/>
      <c r="H322" s="5"/>
      <c r="I322" s="5"/>
      <c r="J322" s="5"/>
      <c r="K322" s="1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4"/>
      <c r="H323" s="5"/>
      <c r="I323" s="5"/>
      <c r="J323" s="5"/>
      <c r="K323" s="1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4"/>
      <c r="H324" s="5"/>
      <c r="I324" s="5"/>
      <c r="J324" s="5"/>
      <c r="K324" s="1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4"/>
      <c r="H325" s="5"/>
      <c r="I325" s="5"/>
      <c r="J325" s="5"/>
      <c r="K325" s="1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4"/>
      <c r="H326" s="5"/>
      <c r="I326" s="5"/>
      <c r="J326" s="5"/>
      <c r="K326" s="1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4"/>
      <c r="H327" s="5"/>
      <c r="I327" s="5"/>
      <c r="J327" s="5"/>
      <c r="K327" s="1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7"/>
      <c r="G328" s="22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7"/>
      <c r="G329" s="22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7"/>
      <c r="G330" s="22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7"/>
      <c r="G331" s="22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7"/>
      <c r="G332" s="22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7"/>
      <c r="G333" s="22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7"/>
      <c r="G334" s="22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7"/>
      <c r="G335" s="22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7"/>
      <c r="G336" s="22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7"/>
      <c r="G337" s="22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7"/>
      <c r="G338" s="22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7"/>
      <c r="G339" s="22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7"/>
      <c r="G340" s="22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7"/>
      <c r="G341" s="22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7"/>
      <c r="G342" s="22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7"/>
      <c r="G343" s="22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7"/>
      <c r="G344" s="22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7"/>
      <c r="G345" s="22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7"/>
      <c r="G346" s="22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7"/>
      <c r="G347" s="22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7"/>
      <c r="G348" s="22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7"/>
      <c r="G349" s="22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7"/>
      <c r="G350" s="22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7"/>
      <c r="G351" s="22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7"/>
      <c r="G352" s="22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7"/>
      <c r="G353" s="22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7"/>
      <c r="G354" s="22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7"/>
      <c r="G355" s="22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7"/>
      <c r="G356" s="22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7"/>
      <c r="G357" s="22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7"/>
      <c r="G358" s="22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7"/>
      <c r="G359" s="22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7"/>
      <c r="G360" s="22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7"/>
      <c r="G361" s="22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7"/>
      <c r="G362" s="22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7"/>
      <c r="G363" s="22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7"/>
      <c r="G364" s="22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7"/>
      <c r="G365" s="22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7"/>
      <c r="G366" s="22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7"/>
      <c r="G367" s="22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7"/>
      <c r="G368" s="22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7"/>
      <c r="G369" s="22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7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7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7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7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7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7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7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7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7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7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7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7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7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7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7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7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7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7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7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7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7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7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7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7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7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7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Hippolyte.Reignier</cp:lastModifiedBy>
  <dcterms:created xsi:type="dcterms:W3CDTF">2021-02-01T08:22:39Z</dcterms:created>
  <dcterms:modified xsi:type="dcterms:W3CDTF">2024-02-15T13:38:58Z</dcterms:modified>
</cp:coreProperties>
</file>