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Florian_BOUCHET (Simon COMBES)/Dossier LBC/"/>
    </mc:Choice>
  </mc:AlternateContent>
  <xr:revisionPtr revIDLastSave="5" documentId="8_{4BB2A50E-5CE6-4773-9321-8C4EEA6AE696}" xr6:coauthVersionLast="47" xr6:coauthVersionMax="47" xr10:uidLastSave="{3BA816CA-EAE7-4E67-A93C-E168DDAA1B98}"/>
  <bookViews>
    <workbookView xWindow="-120" yWindow="-1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1" i="6" l="1"/>
  <c r="E110" i="6"/>
  <c r="E79" i="6"/>
  <c r="E48" i="6"/>
  <c r="E17" i="6"/>
  <c r="E143" i="6"/>
  <c r="E142" i="6"/>
  <c r="E112" i="6"/>
  <c r="E111" i="6"/>
  <c r="E81" i="6"/>
  <c r="E80" i="6"/>
  <c r="E50" i="6"/>
  <c r="E49" i="6"/>
  <c r="E19" i="6"/>
  <c r="E18" i="6"/>
  <c r="A36" i="1" l="1"/>
  <c r="B36" i="1"/>
  <c r="C36" i="1"/>
  <c r="D36" i="1"/>
  <c r="E36" i="1"/>
  <c r="F36" i="1"/>
  <c r="G36" i="1"/>
  <c r="H36" i="1"/>
  <c r="A37" i="1"/>
  <c r="B37" i="1"/>
  <c r="C37" i="1"/>
  <c r="D37" i="1"/>
  <c r="E37" i="1"/>
  <c r="F37" i="1"/>
  <c r="G37" i="1"/>
  <c r="H37" i="1"/>
  <c r="A38" i="1"/>
  <c r="B38" i="1"/>
  <c r="C38" i="1"/>
  <c r="D38" i="1"/>
  <c r="E38" i="1"/>
  <c r="F38" i="1"/>
  <c r="G38" i="1"/>
  <c r="H38" i="1"/>
  <c r="A39" i="1"/>
  <c r="B39" i="1"/>
  <c r="C39" i="1"/>
  <c r="D39" i="1"/>
  <c r="E39" i="1"/>
  <c r="F39" i="1"/>
  <c r="G39" i="1"/>
  <c r="H39" i="1"/>
  <c r="A40" i="1"/>
  <c r="B40" i="1"/>
  <c r="C40" i="1"/>
  <c r="D40" i="1"/>
  <c r="E40" i="1"/>
  <c r="F40" i="1"/>
  <c r="G40" i="1"/>
  <c r="H40" i="1"/>
  <c r="A41" i="1"/>
  <c r="B41" i="1"/>
  <c r="C41" i="1"/>
  <c r="D41" i="1"/>
  <c r="E41" i="1"/>
  <c r="F41" i="1"/>
  <c r="G41" i="1"/>
  <c r="H41" i="1"/>
  <c r="A42" i="1"/>
  <c r="B42" i="1"/>
  <c r="C42" i="1"/>
  <c r="D42" i="1"/>
  <c r="E42" i="1"/>
  <c r="F42" i="1"/>
  <c r="G42" i="1"/>
  <c r="H4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D165" i="2" s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D192" i="2" s="1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3" i="2" a="1"/>
  <c r="BC83" i="2" s="1"/>
  <c r="BC38" i="2" a="1"/>
  <c r="BC3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AX200" i="2"/>
  <c r="AH151" i="2" l="1" a="1"/>
  <c r="AH151" i="2" s="1"/>
  <c r="BC18" i="2" a="1"/>
  <c r="BC18" i="2" s="1"/>
  <c r="BC164" i="2" a="1"/>
  <c r="BC164" i="2" s="1"/>
  <c r="BC192" i="2" a="1"/>
  <c r="BC192" i="2" s="1"/>
  <c r="BC55" i="2" a="1"/>
  <c r="BC55" i="2" s="1"/>
  <c r="BC117" i="2" a="1"/>
  <c r="BC117" i="2" s="1"/>
  <c r="BC130" i="2" a="1"/>
  <c r="BC130" i="2" s="1"/>
  <c r="BC181" i="2" a="1"/>
  <c r="BC181" i="2" s="1"/>
  <c r="BC32" i="2" a="1"/>
  <c r="BC32" i="2" s="1"/>
  <c r="BC65" i="2" a="1"/>
  <c r="BC65" i="2" s="1"/>
  <c r="BC7" i="2" a="1"/>
  <c r="BC7" i="2" s="1"/>
  <c r="BD7" i="2" s="1"/>
  <c r="BC185" i="2" a="1"/>
  <c r="BC185" i="2" s="1"/>
  <c r="BC82" i="2" a="1"/>
  <c r="BC82" i="2" s="1"/>
  <c r="BC151" i="2" a="1"/>
  <c r="BC151" i="2" s="1"/>
  <c r="BC126" i="2" a="1"/>
  <c r="BC126" i="2" s="1"/>
  <c r="BC143" i="2" a="1"/>
  <c r="BC143" i="2" s="1"/>
  <c r="BC47" i="2" a="1"/>
  <c r="BC47" i="2" s="1"/>
  <c r="BC114" i="2" a="1"/>
  <c r="BC114" i="2" s="1"/>
  <c r="BC31" i="2" a="1"/>
  <c r="BC31" i="2" s="1"/>
  <c r="BC68" i="2" a="1"/>
  <c r="BC68" i="2" s="1"/>
  <c r="BC84" i="2" a="1"/>
  <c r="BC84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CD60" i="2" l="1"/>
  <c r="CD35" i="2"/>
  <c r="CD187" i="2"/>
  <c r="CD116" i="2"/>
  <c r="CD96" i="2"/>
  <c r="CD192" i="2"/>
  <c r="CD57" i="2"/>
  <c r="CD42" i="2"/>
  <c r="CD180" i="2"/>
  <c r="CD93" i="2"/>
  <c r="CD64" i="2"/>
  <c r="CD114" i="2"/>
  <c r="CD162" i="2"/>
  <c r="CD195" i="2"/>
  <c r="CD115" i="2"/>
  <c r="CD12" i="2"/>
  <c r="CD74" i="2"/>
  <c r="CD191" i="2"/>
  <c r="CD136" i="2"/>
  <c r="CD188" i="2"/>
  <c r="CD4" i="2"/>
  <c r="CD45" i="2"/>
  <c r="CD123" i="2"/>
  <c r="CD126" i="2"/>
  <c r="CD62" i="2"/>
  <c r="CD131" i="2"/>
  <c r="CD119" i="2"/>
  <c r="CD128" i="2"/>
  <c r="CD83" i="2"/>
  <c r="CD196" i="2"/>
  <c r="CD167" i="2"/>
  <c r="CD121" i="2"/>
  <c r="CD174" i="2"/>
  <c r="CD106" i="2"/>
  <c r="CD165" i="2"/>
  <c r="CD22" i="2"/>
  <c r="CD166" i="2"/>
  <c r="CD113" i="2"/>
  <c r="CD129" i="2"/>
  <c r="CD47" i="2"/>
  <c r="CD178" i="2"/>
  <c r="CD11" i="2"/>
  <c r="CD10" i="2"/>
  <c r="CD159" i="2"/>
  <c r="CD152" i="2"/>
  <c r="CD72" i="2"/>
  <c r="CD85" i="2"/>
  <c r="CD160" i="2"/>
  <c r="CD43" i="2"/>
  <c r="CD198" i="2"/>
  <c r="CD173" i="2"/>
  <c r="CD34" i="2"/>
  <c r="CD84" i="2"/>
  <c r="CD81" i="2"/>
  <c r="CD108" i="2"/>
  <c r="CD88" i="2"/>
  <c r="CD148" i="2"/>
  <c r="CD58" i="2"/>
  <c r="CD149" i="2"/>
  <c r="CD127" i="2"/>
  <c r="CD194" i="2"/>
  <c r="CD146" i="2"/>
  <c r="CD41" i="2"/>
  <c r="CD164" i="2"/>
  <c r="CD151" i="2"/>
  <c r="CD63" i="2"/>
  <c r="CD26" i="2"/>
  <c r="CD56" i="2"/>
  <c r="CD175" i="2"/>
  <c r="CD203" i="2"/>
  <c r="CD18" i="2"/>
  <c r="CD150" i="2"/>
  <c r="CD55" i="2"/>
  <c r="CD110" i="2"/>
  <c r="CD52" i="2"/>
  <c r="CD71" i="2"/>
  <c r="CD24" i="2"/>
  <c r="CD29" i="2"/>
  <c r="CD190" i="2"/>
  <c r="CD53" i="2"/>
  <c r="CD98" i="2"/>
  <c r="CD86" i="2"/>
  <c r="CD7" i="2"/>
  <c r="CD90" i="2"/>
  <c r="CD133" i="2"/>
  <c r="CD154" i="2"/>
  <c r="CD143" i="2"/>
  <c r="CD28" i="2"/>
  <c r="CD39" i="2"/>
  <c r="CD163" i="2"/>
  <c r="CD70" i="2"/>
  <c r="CD176" i="2"/>
  <c r="CD155" i="2"/>
  <c r="CD3" i="2"/>
  <c r="C9" i="4" s="1"/>
  <c r="E9" i="4" s="1"/>
  <c r="F9" i="4" s="1"/>
  <c r="G9" i="4" s="1"/>
  <c r="L9" i="4" s="1"/>
  <c r="CD87" i="2"/>
  <c r="CD51" i="2"/>
  <c r="CD17" i="2"/>
  <c r="CD177" i="2"/>
  <c r="CD130" i="2"/>
  <c r="CD92" i="2"/>
  <c r="CD37" i="2"/>
  <c r="CD147" i="2"/>
  <c r="CD44" i="2"/>
  <c r="CD122" i="2"/>
  <c r="CD33" i="2"/>
  <c r="CD171" i="2"/>
  <c r="CD189" i="2"/>
  <c r="CD9" i="2"/>
  <c r="CD134" i="2"/>
  <c r="CD61" i="2"/>
  <c r="CD100" i="2"/>
  <c r="CD30" i="2"/>
  <c r="CD31" i="2"/>
  <c r="CD67" i="2"/>
  <c r="CD54" i="2"/>
  <c r="CD48" i="2"/>
  <c r="CD118" i="2"/>
  <c r="CD144" i="2"/>
  <c r="CD117" i="2"/>
  <c r="CD200" i="2"/>
  <c r="CD141" i="2"/>
  <c r="CD202" i="2"/>
  <c r="CD107" i="2"/>
  <c r="CD132" i="2"/>
  <c r="CD27" i="2"/>
  <c r="CD172" i="2"/>
  <c r="CD102" i="2"/>
  <c r="CD158" i="2"/>
  <c r="CD101" i="2"/>
  <c r="CD94" i="2"/>
  <c r="CD184" i="2"/>
  <c r="CD140" i="2"/>
  <c r="CD46" i="2"/>
  <c r="CD65" i="2"/>
  <c r="CD185" i="2"/>
  <c r="CD25" i="2"/>
  <c r="CD69" i="2"/>
  <c r="CD137" i="2"/>
  <c r="CD6" i="2"/>
  <c r="CD124" i="2"/>
  <c r="CD23" i="2"/>
  <c r="CD36" i="2"/>
  <c r="CD59" i="2"/>
  <c r="CD103" i="2"/>
  <c r="CD199" i="2"/>
  <c r="CD109" i="2"/>
  <c r="CD89" i="2"/>
  <c r="CD75" i="2"/>
  <c r="CD76" i="2"/>
  <c r="CD112" i="2"/>
  <c r="CD78" i="2"/>
  <c r="CD168" i="2"/>
  <c r="CD49" i="2"/>
  <c r="CD157" i="2"/>
  <c r="CD95" i="2"/>
  <c r="CD97" i="2"/>
  <c r="CD20" i="2"/>
  <c r="CD179" i="2"/>
  <c r="CD99" i="2"/>
  <c r="CD153" i="2"/>
  <c r="CD82" i="2"/>
  <c r="CD170" i="2"/>
  <c r="CD66" i="2"/>
  <c r="CD183" i="2"/>
  <c r="CD186" i="2"/>
  <c r="CD80" i="2"/>
  <c r="CD8" i="2"/>
  <c r="CD135" i="2"/>
  <c r="CD77" i="2"/>
  <c r="CD145" i="2"/>
  <c r="CD156" i="2"/>
  <c r="CD19" i="2"/>
  <c r="CD120" i="2"/>
  <c r="CD73" i="2"/>
  <c r="CD182" i="2"/>
  <c r="CD13" i="2"/>
  <c r="CD79" i="2"/>
  <c r="CD201" i="2"/>
  <c r="CD111" i="2"/>
  <c r="CD16" i="2"/>
  <c r="CD32" i="2"/>
  <c r="CD40" i="2"/>
  <c r="CD142" i="2"/>
  <c r="CD14" i="2"/>
  <c r="CD169" i="2"/>
  <c r="CD50" i="2"/>
  <c r="CD181" i="2"/>
  <c r="CD68" i="2"/>
  <c r="CD193" i="2"/>
  <c r="CD161" i="2"/>
  <c r="CD105" i="2"/>
  <c r="CD104" i="2"/>
  <c r="CD21" i="2"/>
  <c r="CD138" i="2"/>
  <c r="CD91" i="2"/>
  <c r="CD197" i="2"/>
  <c r="CD125" i="2"/>
  <c r="CD38" i="2"/>
  <c r="CD15" i="2"/>
  <c r="CD5" i="2"/>
  <c r="CD139" i="2"/>
  <c r="FE106" i="2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<sst xmlns="http://schemas.openxmlformats.org/spreadsheetml/2006/main" count="1176" uniqueCount="325">
  <si>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</si>
  <si>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</si>
  <si>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</si>
  <si>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</si>
  <si>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</si>
  <si>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</si>
  <si>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</si>
  <si>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</si>
  <si>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</si>
  <si>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</si>
  <si>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</si>
  <si>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</si>
  <si>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</si>
  <si>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</si>
  <si>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</si>
  <si>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</si>
  <si>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</si>
  <si>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</si>
  <si>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</si>
  <si>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</si>
  <si>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</si>
  <si>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Pin noir d'Autriche</t>
  </si>
  <si>
    <t>Essence 4</t>
  </si>
  <si>
    <t>Cèdre de l'Atlas</t>
  </si>
  <si>
    <t>Essence 5</t>
  </si>
  <si>
    <t>Châtaignier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</si>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</sst>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color rgb="FFFF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4" fillId="0" borderId="0"/>
  </cellStyleXfs>
  <cellXfs count="32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32" fillId="21" borderId="54" xfId="0" applyFont="1" applyFill="1" applyBorder="1" applyAlignment="1" applyProtection="1">
      <alignment horizontal="center"/>
      <protection locked="0" hidden="1"/>
    </xf>
    <xf numFmtId="0" fontId="32" fillId="21" borderId="55" xfId="0" applyFont="1" applyFill="1" applyBorder="1" applyAlignment="1" applyProtection="1">
      <alignment horizontal="center"/>
      <protection locked="0"/>
    </xf>
    <xf numFmtId="0" fontId="32" fillId="21" borderId="55" xfId="0" applyFont="1" applyFill="1" applyBorder="1" applyAlignment="1" applyProtection="1">
      <alignment horizontal="center"/>
      <protection locked="0" hidden="1"/>
    </xf>
    <xf numFmtId="9" fontId="32" fillId="21" borderId="55" xfId="1" applyFont="1" applyFill="1" applyBorder="1" applyAlignment="1" applyProtection="1">
      <alignment horizontal="center"/>
      <protection locked="0" hidden="1"/>
    </xf>
    <xf numFmtId="0" fontId="32" fillId="21" borderId="56" xfId="0" applyFont="1" applyFill="1" applyBorder="1" applyAlignment="1" applyProtection="1">
      <alignment horizontal="center"/>
      <protection locked="0" hidden="1"/>
    </xf>
    <xf numFmtId="0" fontId="32" fillId="21" borderId="57" xfId="0" applyFont="1" applyFill="1" applyBorder="1" applyAlignment="1" applyProtection="1">
      <alignment horizontal="center"/>
      <protection locked="0"/>
    </xf>
    <xf numFmtId="0" fontId="32" fillId="21" borderId="57" xfId="0" applyFont="1" applyFill="1" applyBorder="1" applyAlignment="1" applyProtection="1">
      <alignment horizontal="center"/>
      <protection locked="0" hidden="1"/>
    </xf>
    <xf numFmtId="9" fontId="32" fillId="21" borderId="57" xfId="1" applyFont="1" applyFill="1" applyBorder="1" applyAlignment="1" applyProtection="1">
      <alignment horizontal="center"/>
      <protection locked="0" hidden="1"/>
    </xf>
    <xf numFmtId="9" fontId="32" fillId="21" borderId="57" xfId="0" applyNumberFormat="1" applyFont="1" applyFill="1" applyBorder="1" applyAlignment="1" applyProtection="1">
      <alignment horizontal="center"/>
      <protection locked="0" hidden="1"/>
    </xf>
    <xf numFmtId="0" fontId="33" fillId="21" borderId="56" xfId="0" applyFont="1" applyFill="1" applyBorder="1" applyAlignment="1" applyProtection="1">
      <alignment horizontal="center"/>
      <protection locked="0" hidden="1"/>
    </xf>
    <xf numFmtId="0" fontId="33" fillId="21" borderId="57" xfId="0" applyFont="1" applyFill="1" applyBorder="1" applyAlignment="1" applyProtection="1">
      <alignment horizontal="center"/>
      <protection locked="0" hidden="1"/>
    </xf>
    <xf numFmtId="0" fontId="32" fillId="21" borderId="56" xfId="0" applyFont="1" applyFill="1" applyBorder="1" applyAlignment="1" applyProtection="1">
      <alignment horizontal="center" vertical="center"/>
      <protection locked="0" hidden="1"/>
    </xf>
    <xf numFmtId="1" fontId="32" fillId="21" borderId="57" xfId="0" applyNumberFormat="1" applyFont="1" applyFill="1" applyBorder="1" applyAlignment="1" applyProtection="1">
      <alignment horizontal="center" vertical="center"/>
      <protection locked="0" hidden="1"/>
    </xf>
    <xf numFmtId="3" fontId="32" fillId="21" borderId="55" xfId="0" applyNumberFormat="1" applyFont="1" applyFill="1" applyBorder="1" applyAlignment="1" applyProtection="1">
      <alignment horizontal="center"/>
      <protection locked="0"/>
    </xf>
    <xf numFmtId="9" fontId="32" fillId="21" borderId="55" xfId="1" applyFont="1" applyFill="1" applyBorder="1" applyAlignment="1" applyProtection="1">
      <alignment horizontal="center"/>
      <protection locked="0"/>
    </xf>
    <xf numFmtId="3" fontId="32" fillId="21" borderId="57" xfId="0" applyNumberFormat="1" applyFont="1" applyFill="1" applyBorder="1" applyAlignment="1" applyProtection="1">
      <alignment horizontal="center"/>
      <protection locked="0"/>
    </xf>
    <xf numFmtId="9" fontId="32" fillId="21" borderId="57" xfId="1" applyFont="1" applyFill="1" applyBorder="1" applyAlignment="1" applyProtection="1">
      <alignment horizontal="center"/>
      <protection locked="0"/>
    </xf>
    <xf numFmtId="9" fontId="32" fillId="21" borderId="57" xfId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5">
    <cellStyle name="Lien hypertexte" xfId="2" builtinId="8"/>
    <cellStyle name="Normal" xfId="0" builtinId="0"/>
    <cellStyle name="Normal 3 2 2" xfId="4" xr:uid="{4CB14BFA-331C-4F02-966C-2E4CB7D3EC83}"/>
    <cellStyle name="Normal 3 3" xfId="3" xr:uid="{49E53DC6-E597-4958-A737-1CF3F434B8C6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1.8158496362689804</c:v>
                </c:pt>
                <c:pt idx="2">
                  <c:v>2.1259654268192745</c:v>
                </c:pt>
                <c:pt idx="3">
                  <c:v>2.4892406380778724</c:v>
                </c:pt>
                <c:pt idx="4">
                  <c:v>2.914819728393589</c:v>
                </c:pt>
                <c:pt idx="5">
                  <c:v>3.4134253532946084</c:v>
                </c:pt>
                <c:pt idx="6">
                  <c:v>3.9976315722961666</c:v>
                </c:pt>
                <c:pt idx="7">
                  <c:v>4.6821844853105965</c:v>
                </c:pt>
                <c:pt idx="8">
                  <c:v>5.4843785540369057</c:v>
                </c:pt>
                <c:pt idx="9">
                  <c:v>6.424498304023917</c:v>
                </c:pt>
                <c:pt idx="10">
                  <c:v>7.5263367952555678</c:v>
                </c:pt>
                <c:pt idx="11">
                  <c:v>8.8178042372194074</c:v>
                </c:pt>
                <c:pt idx="12">
                  <c:v>10.331642460353047</c:v>
                </c:pt>
                <c:pt idx="13">
                  <c:v>12.10626370048635</c:v>
                </c:pt>
                <c:pt idx="14">
                  <c:v>14.186735378082497</c:v>
                </c:pt>
                <c:pt idx="15">
                  <c:v>16.625936343989618</c:v>
                </c:pt>
                <c:pt idx="16">
                  <c:v>19.485914517109581</c:v>
                </c:pt>
                <c:pt idx="17">
                  <c:v>22.839481073340533</c:v>
                </c:pt>
                <c:pt idx="18">
                  <c:v>26.772082496293439</c:v>
                </c:pt>
                <c:pt idx="19">
                  <c:v>31.383999029629038</c:v>
                </c:pt>
                <c:pt idx="20">
                  <c:v>36.792926567730966</c:v>
                </c:pt>
                <c:pt idx="21">
                  <c:v>43.137009008433751</c:v>
                </c:pt>
                <c:pt idx="22">
                  <c:v>50.578399830432467</c:v>
                </c:pt>
                <c:pt idx="23">
                  <c:v>59.307445456635179</c:v>
                </c:pt>
                <c:pt idx="24">
                  <c:v>69.547599185072542</c:v>
                </c:pt>
                <c:pt idx="25">
                  <c:v>81.561193536749343</c:v>
                </c:pt>
                <c:pt idx="26">
                  <c:v>95.656221285654908</c:v>
                </c:pt>
                <c:pt idx="27">
                  <c:v>112.19430178882926</c:v>
                </c:pt>
                <c:pt idx="28">
                  <c:v>131.60004021638957</c:v>
                </c:pt>
                <c:pt idx="29">
                  <c:v>154.37202370720476</c:v>
                </c:pt>
                <c:pt idx="30">
                  <c:v>181.09574130339482</c:v>
                </c:pt>
                <c:pt idx="31">
                  <c:v>193.50513389554735</c:v>
                </c:pt>
                <c:pt idx="32">
                  <c:v>205.8960227856634</c:v>
                </c:pt>
                <c:pt idx="33">
                  <c:v>218.2696790687331</c:v>
                </c:pt>
                <c:pt idx="34">
                  <c:v>230.62721782293283</c:v>
                </c:pt>
                <c:pt idx="35">
                  <c:v>242.96962477459226</c:v>
                </c:pt>
                <c:pt idx="36">
                  <c:v>255.29777725401013</c:v>
                </c:pt>
                <c:pt idx="37">
                  <c:v>267.61246088687614</c:v>
                </c:pt>
                <c:pt idx="38">
                  <c:v>279.91438304943642</c:v>
                </c:pt>
                <c:pt idx="39">
                  <c:v>292.2041838324588</c:v>
                </c:pt>
                <c:pt idx="40">
                  <c:v>304.48244506277183</c:v>
                </c:pt>
                <c:pt idx="41">
                  <c:v>230.29685320274862</c:v>
                </c:pt>
                <c:pt idx="42">
                  <c:v>240.85729898264557</c:v>
                </c:pt>
                <c:pt idx="43">
                  <c:v>251.40720829785491</c:v>
                </c:pt>
                <c:pt idx="44">
                  <c:v>261.94708592691535</c:v>
                </c:pt>
                <c:pt idx="45">
                  <c:v>272.47739267879405</c:v>
                </c:pt>
                <c:pt idx="46">
                  <c:v>282.99855081100981</c:v>
                </c:pt>
                <c:pt idx="47">
                  <c:v>293.5109485992275</c:v>
                </c:pt>
                <c:pt idx="48">
                  <c:v>304.01494421747219</c:v>
                </c:pt>
                <c:pt idx="49">
                  <c:v>314.51086905368561</c:v>
                </c:pt>
                <c:pt idx="50">
                  <c:v>324.99903055928581</c:v>
                </c:pt>
                <c:pt idx="51">
                  <c:v>335.47971471146406</c:v>
                </c:pt>
                <c:pt idx="52">
                  <c:v>345.95318815155156</c:v>
                </c:pt>
                <c:pt idx="53">
                  <c:v>356.41970005079355</c:v>
                </c:pt>
                <c:pt idx="54">
                  <c:v>366.8794837454268</c:v>
                </c:pt>
                <c:pt idx="55">
                  <c:v>377.33275817548952</c:v>
                </c:pt>
                <c:pt idx="56">
                  <c:v>303.53166810227208</c:v>
                </c:pt>
                <c:pt idx="57">
                  <c:v>312.84094851875608</c:v>
                </c:pt>
                <c:pt idx="58">
                  <c:v>322.14408571961025</c:v>
                </c:pt>
                <c:pt idx="59">
                  <c:v>331.44128225003948</c:v>
                </c:pt>
                <c:pt idx="60">
                  <c:v>340.73272835703773</c:v>
                </c:pt>
                <c:pt idx="61">
                  <c:v>350.01860305840779</c:v>
                </c:pt>
                <c:pt idx="62">
                  <c:v>359.2990750923571</c:v>
                </c:pt>
                <c:pt idx="63">
                  <c:v>368.57430376381336</c:v>
                </c:pt>
                <c:pt idx="64">
                  <c:v>377.84443970106491</c:v>
                </c:pt>
                <c:pt idx="65">
                  <c:v>387.10962553424162</c:v>
                </c:pt>
                <c:pt idx="66">
                  <c:v>396.36999650542356</c:v>
                </c:pt>
                <c:pt idx="67">
                  <c:v>405.62568101874126</c:v>
                </c:pt>
                <c:pt idx="68">
                  <c:v>414.8768011376315</c:v>
                </c:pt>
                <c:pt idx="69">
                  <c:v>424.12347303541259</c:v>
                </c:pt>
                <c:pt idx="70">
                  <c:v>433.36580740450887</c:v>
                </c:pt>
                <c:pt idx="71">
                  <c:v>361.477734601451</c:v>
                </c:pt>
                <c:pt idx="72">
                  <c:v>369.76946801837352</c:v>
                </c:pt>
                <c:pt idx="73">
                  <c:v>378.05714577939528</c:v>
                </c:pt>
                <c:pt idx="74">
                  <c:v>386.34086938884275</c:v>
                </c:pt>
                <c:pt idx="75">
                  <c:v>394.62073564029157</c:v>
                </c:pt>
                <c:pt idx="76">
                  <c:v>402.89683693160515</c:v>
                </c:pt>
                <c:pt idx="77">
                  <c:v>411.16926155272472</c:v>
                </c:pt>
                <c:pt idx="78">
                  <c:v>419.43809394908311</c:v>
                </c:pt>
                <c:pt idx="79">
                  <c:v>427.70341496315558</c:v>
                </c:pt>
                <c:pt idx="80">
                  <c:v>435.96530205635969</c:v>
                </c:pt>
                <c:pt idx="81">
                  <c:v>371.46007618930088</c:v>
                </c:pt>
                <c:pt idx="82">
                  <c:v>379.48916826833891</c:v>
                </c:pt>
                <c:pt idx="83">
                  <c:v>387.51456445535558</c:v>
                </c:pt>
                <c:pt idx="84">
                  <c:v>395.53635213812896</c:v>
                </c:pt>
                <c:pt idx="85">
                  <c:v>403.55461486835981</c:v>
                </c:pt>
                <c:pt idx="86">
                  <c:v>411.56943260460747</c:v>
                </c:pt>
                <c:pt idx="87">
                  <c:v>419.58088193530733</c:v>
                </c:pt>
                <c:pt idx="88">
                  <c:v>427.58903628386139</c:v>
                </c:pt>
                <c:pt idx="89">
                  <c:v>435.5939660975564</c:v>
                </c:pt>
                <c:pt idx="90">
                  <c:v>443.59573902186753</c:v>
                </c:pt>
                <c:pt idx="91">
                  <c:v>451.59442006152534</c:v>
                </c:pt>
                <c:pt idx="92">
                  <c:v>459.59007172957325</c:v>
                </c:pt>
                <c:pt idx="93">
                  <c:v>467.58275418550915</c:v>
                </c:pt>
                <c:pt idx="94">
                  <c:v>475.57252536348642</c:v>
                </c:pt>
                <c:pt idx="95">
                  <c:v>483.55944109144997</c:v>
                </c:pt>
                <c:pt idx="96">
                  <c:v>229.19302630377692</c:v>
                </c:pt>
                <c:pt idx="97">
                  <c:v>234.96721022630467</c:v>
                </c:pt>
                <c:pt idx="98">
                  <c:v>240.73815669154223</c:v>
                </c:pt>
                <c:pt idx="99">
                  <c:v>246.50595438579171</c:v>
                </c:pt>
                <c:pt idx="100">
                  <c:v>252.27068749964624</c:v>
                </c:pt>
                <c:pt idx="101">
                  <c:v>258.03243605574824</c:v>
                </c:pt>
                <c:pt idx="102">
                  <c:v>263.79127620570301</c:v>
                </c:pt>
                <c:pt idx="103">
                  <c:v>269.54728049967713</c:v>
                </c:pt>
                <c:pt idx="104">
                  <c:v>275.30051813173475</c:v>
                </c:pt>
                <c:pt idx="105">
                  <c:v>281.05105516357031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56.52447903948589</c:v>
                </c:pt>
                <c:pt idx="17">
                  <c:v>75.417287743586172</c:v>
                </c:pt>
                <c:pt idx="18">
                  <c:v>94.18861383711068</c:v>
                </c:pt>
                <c:pt idx="19">
                  <c:v>112.86626694477626</c:v>
                </c:pt>
                <c:pt idx="20">
                  <c:v>131.46799611812642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167.2163927003555</c:v>
                </c:pt>
                <c:pt idx="25">
                  <c:v>187.24258760716546</c:v>
                </c:pt>
                <c:pt idx="26">
                  <c:v>161.4845145207187</c:v>
                </c:pt>
                <c:pt idx="27">
                  <c:v>180.25531254791363</c:v>
                </c:pt>
                <c:pt idx="28">
                  <c:v>198.98032494703705</c:v>
                </c:pt>
                <c:pt idx="29">
                  <c:v>217.6644679358476</c:v>
                </c:pt>
                <c:pt idx="30">
                  <c:v>236.31174371498548</c:v>
                </c:pt>
                <c:pt idx="31">
                  <c:v>209.11889593919315</c:v>
                </c:pt>
                <c:pt idx="32">
                  <c:v>226.20232842131611</c:v>
                </c:pt>
                <c:pt idx="33">
                  <c:v>243.2562184477562</c:v>
                </c:pt>
                <c:pt idx="34">
                  <c:v>260.28292868621458</c:v>
                </c:pt>
                <c:pt idx="35">
                  <c:v>277.28448730625314</c:v>
                </c:pt>
                <c:pt idx="36">
                  <c:v>248.30390605743386</c:v>
                </c:pt>
                <c:pt idx="37">
                  <c:v>263.43320731240294</c:v>
                </c:pt>
                <c:pt idx="38">
                  <c:v>278.54291135662532</c:v>
                </c:pt>
                <c:pt idx="39">
                  <c:v>293.63423101263402</c:v>
                </c:pt>
                <c:pt idx="40">
                  <c:v>308.70824422691641</c:v>
                </c:pt>
                <c:pt idx="41">
                  <c:v>277.59910531675143</c:v>
                </c:pt>
                <c:pt idx="42">
                  <c:v>290.49166725088827</c:v>
                </c:pt>
                <c:pt idx="43">
                  <c:v>303.37144778612083</c:v>
                </c:pt>
                <c:pt idx="44">
                  <c:v>316.23906615147223</c:v>
                </c:pt>
                <c:pt idx="45">
                  <c:v>329.09508705409189</c:v>
                </c:pt>
                <c:pt idx="46">
                  <c:v>305.88313923039249</c:v>
                </c:pt>
                <c:pt idx="47">
                  <c:v>317.1801373243116</c:v>
                </c:pt>
                <c:pt idx="48">
                  <c:v>328.46822517413659</c:v>
                </c:pt>
                <c:pt idx="49">
                  <c:v>339.74775226555511</c:v>
                </c:pt>
                <c:pt idx="50">
                  <c:v>351.01904297525942</c:v>
                </c:pt>
                <c:pt idx="51">
                  <c:v>333.79571492319059</c:v>
                </c:pt>
                <c:pt idx="52">
                  <c:v>343.1926172490393</c:v>
                </c:pt>
                <c:pt idx="53">
                  <c:v>352.58386588275084</c:v>
                </c:pt>
                <c:pt idx="54">
                  <c:v>361.96963273404782</c:v>
                </c:pt>
                <c:pt idx="55">
                  <c:v>371.35008006494354</c:v>
                </c:pt>
                <c:pt idx="56">
                  <c:v>359.15446843311406</c:v>
                </c:pt>
                <c:pt idx="57">
                  <c:v>367.28586264352111</c:v>
                </c:pt>
                <c:pt idx="58">
                  <c:v>375.41332750586366</c:v>
                </c:pt>
                <c:pt idx="59">
                  <c:v>383.53696014432609</c:v>
                </c:pt>
                <c:pt idx="60">
                  <c:v>391.65685323028885</c:v>
                </c:pt>
                <c:pt idx="61">
                  <c:v>379.78806142237414</c:v>
                </c:pt>
                <c:pt idx="62">
                  <c:v>386.66043357385661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396.02758560852732</c:v>
                </c:pt>
                <c:pt idx="67">
                  <c:v>401.95762458122334</c:v>
                </c:pt>
                <c:pt idx="68">
                  <c:v>407.88577090657145</c:v>
                </c:pt>
                <c:pt idx="69">
                  <c:v>413.81205599750388</c:v>
                </c:pt>
                <c:pt idx="70">
                  <c:v>419.73651029301612</c:v>
                </c:pt>
                <c:pt idx="71">
                  <c:v>409.44549880731046</c:v>
                </c:pt>
                <c:pt idx="72">
                  <c:v>414.74761709639341</c:v>
                </c:pt>
                <c:pt idx="73">
                  <c:v>420.04827352578349</c:v>
                </c:pt>
                <c:pt idx="74">
                  <c:v>425.34748916314447</c:v>
                </c:pt>
                <c:pt idx="75">
                  <c:v>430.64528450788202</c:v>
                </c:pt>
                <c:pt idx="76">
                  <c:v>420.98353332932419</c:v>
                </c:pt>
                <c:pt idx="77">
                  <c:v>425.34748916314447</c:v>
                </c:pt>
                <c:pt idx="78">
                  <c:v>429.71048176345192</c:v>
                </c:pt>
                <c:pt idx="79">
                  <c:v>434.07252230054763</c:v>
                </c:pt>
                <c:pt idx="80">
                  <c:v>438.43362170168325</c:v>
                </c:pt>
                <c:pt idx="81">
                  <c:v>425.9708325305989</c:v>
                </c:pt>
                <c:pt idx="82">
                  <c:v>425.9708325305989</c:v>
                </c:pt>
                <c:pt idx="83">
                  <c:v>425.9708325305989</c:v>
                </c:pt>
                <c:pt idx="84">
                  <c:v>425.9708325305989</c:v>
                </c:pt>
                <c:pt idx="85">
                  <c:v>425.9708325305989</c:v>
                </c:pt>
                <c:pt idx="86">
                  <c:v>425.9708325305989</c:v>
                </c:pt>
                <c:pt idx="87">
                  <c:v>425.9708325305989</c:v>
                </c:pt>
                <c:pt idx="88">
                  <c:v>425.9708325305989</c:v>
                </c:pt>
                <c:pt idx="89">
                  <c:v>425.9708325305989</c:v>
                </c:pt>
                <c:pt idx="90">
                  <c:v>425.9708325305989</c:v>
                </c:pt>
                <c:pt idx="91">
                  <c:v>425.9708325305989</c:v>
                </c:pt>
                <c:pt idx="92">
                  <c:v>425.9708325305989</c:v>
                </c:pt>
                <c:pt idx="93">
                  <c:v>425.9708325305989</c:v>
                </c:pt>
                <c:pt idx="94">
                  <c:v>425.9708325305989</c:v>
                </c:pt>
                <c:pt idx="95">
                  <c:v>425.9708325305989</c:v>
                </c:pt>
                <c:pt idx="96">
                  <c:v>425.9708325305989</c:v>
                </c:pt>
                <c:pt idx="97">
                  <c:v>425.9708325305989</c:v>
                </c:pt>
                <c:pt idx="98">
                  <c:v>425.9708325305989</c:v>
                </c:pt>
                <c:pt idx="99">
                  <c:v>425.9708325305989</c:v>
                </c:pt>
                <c:pt idx="100">
                  <c:v>425.9708325305989</c:v>
                </c:pt>
                <c:pt idx="101">
                  <c:v>425.9708325305989</c:v>
                </c:pt>
                <c:pt idx="102">
                  <c:v>425.9708325305989</c:v>
                </c:pt>
                <c:pt idx="103">
                  <c:v>425.9708325305989</c:v>
                </c:pt>
                <c:pt idx="104">
                  <c:v>425.9708325305989</c:v>
                </c:pt>
                <c:pt idx="105">
                  <c:v>425.9708325305989</c:v>
                </c:pt>
                <c:pt idx="106">
                  <c:v>425.9708325305989</c:v>
                </c:pt>
                <c:pt idx="107">
                  <c:v>425.9708325305989</c:v>
                </c:pt>
                <c:pt idx="108">
                  <c:v>425.9708325305989</c:v>
                </c:pt>
                <c:pt idx="109">
                  <c:v>425.9708325305989</c:v>
                </c:pt>
                <c:pt idx="110">
                  <c:v>425.9708325305989</c:v>
                </c:pt>
                <c:pt idx="111">
                  <c:v>425.9708325305989</c:v>
                </c:pt>
                <c:pt idx="112">
                  <c:v>425.9708325305989</c:v>
                </c:pt>
                <c:pt idx="113">
                  <c:v>425.9708325305989</c:v>
                </c:pt>
                <c:pt idx="114">
                  <c:v>425.9708325305989</c:v>
                </c:pt>
                <c:pt idx="115">
                  <c:v>425.9708325305989</c:v>
                </c:pt>
                <c:pt idx="116">
                  <c:v>425.9708325305989</c:v>
                </c:pt>
                <c:pt idx="117">
                  <c:v>425.9708325305989</c:v>
                </c:pt>
                <c:pt idx="118">
                  <c:v>425.9708325305989</c:v>
                </c:pt>
                <c:pt idx="119">
                  <c:v>425.9708325305989</c:v>
                </c:pt>
                <c:pt idx="120">
                  <c:v>425.9708325305989</c:v>
                </c:pt>
                <c:pt idx="121">
                  <c:v>425.9708325305989</c:v>
                </c:pt>
                <c:pt idx="122">
                  <c:v>425.9708325305989</c:v>
                </c:pt>
                <c:pt idx="123">
                  <c:v>425.9708325305989</c:v>
                </c:pt>
                <c:pt idx="124">
                  <c:v>425.9708325305989</c:v>
                </c:pt>
                <c:pt idx="125">
                  <c:v>425.9708325305989</c:v>
                </c:pt>
                <c:pt idx="126">
                  <c:v>425.9708325305989</c:v>
                </c:pt>
                <c:pt idx="127">
                  <c:v>425.9708325305989</c:v>
                </c:pt>
                <c:pt idx="128">
                  <c:v>425.9708325305989</c:v>
                </c:pt>
                <c:pt idx="129">
                  <c:v>425.9708325305989</c:v>
                </c:pt>
                <c:pt idx="130">
                  <c:v>425.9708325305989</c:v>
                </c:pt>
                <c:pt idx="131">
                  <c:v>425.9708325305989</c:v>
                </c:pt>
                <c:pt idx="132">
                  <c:v>425.9708325305989</c:v>
                </c:pt>
                <c:pt idx="133">
                  <c:v>425.9708325305989</c:v>
                </c:pt>
                <c:pt idx="134">
                  <c:v>425.9708325305989</c:v>
                </c:pt>
                <c:pt idx="135">
                  <c:v>425.9708325305989</c:v>
                </c:pt>
                <c:pt idx="136">
                  <c:v>425.9708325305989</c:v>
                </c:pt>
                <c:pt idx="137">
                  <c:v>425.9708325305989</c:v>
                </c:pt>
                <c:pt idx="138">
                  <c:v>425.9708325305989</c:v>
                </c:pt>
                <c:pt idx="139">
                  <c:v>425.9708325305989</c:v>
                </c:pt>
                <c:pt idx="140">
                  <c:v>425.9708325305989</c:v>
                </c:pt>
                <c:pt idx="141">
                  <c:v>425.9708325305989</c:v>
                </c:pt>
                <c:pt idx="142">
                  <c:v>425.9708325305989</c:v>
                </c:pt>
                <c:pt idx="143">
                  <c:v>425.9708325305989</c:v>
                </c:pt>
                <c:pt idx="144">
                  <c:v>425.9708325305989</c:v>
                </c:pt>
                <c:pt idx="145">
                  <c:v>425.9708325305989</c:v>
                </c:pt>
                <c:pt idx="146">
                  <c:v>425.9708325305989</c:v>
                </c:pt>
                <c:pt idx="147">
                  <c:v>425.9708325305989</c:v>
                </c:pt>
                <c:pt idx="148">
                  <c:v>425.9708325305989</c:v>
                </c:pt>
                <c:pt idx="149">
                  <c:v>425.9708325305989</c:v>
                </c:pt>
                <c:pt idx="150">
                  <c:v>425.9708325305989</c:v>
                </c:pt>
                <c:pt idx="151">
                  <c:v>425.9708325305989</c:v>
                </c:pt>
                <c:pt idx="152">
                  <c:v>425.9708325305989</c:v>
                </c:pt>
                <c:pt idx="153">
                  <c:v>425.9708325305989</c:v>
                </c:pt>
                <c:pt idx="154">
                  <c:v>425.9708325305989</c:v>
                </c:pt>
                <c:pt idx="155">
                  <c:v>425.9708325305989</c:v>
                </c:pt>
                <c:pt idx="156">
                  <c:v>425.9708325305989</c:v>
                </c:pt>
                <c:pt idx="157">
                  <c:v>425.9708325305989</c:v>
                </c:pt>
                <c:pt idx="158">
                  <c:v>425.9708325305989</c:v>
                </c:pt>
                <c:pt idx="159">
                  <c:v>425.9708325305989</c:v>
                </c:pt>
                <c:pt idx="160">
                  <c:v>425.9708325305989</c:v>
                </c:pt>
                <c:pt idx="161">
                  <c:v>425.9708325305989</c:v>
                </c:pt>
                <c:pt idx="162">
                  <c:v>425.9708325305989</c:v>
                </c:pt>
                <c:pt idx="163">
                  <c:v>425.9708325305989</c:v>
                </c:pt>
                <c:pt idx="164">
                  <c:v>425.9708325305989</c:v>
                </c:pt>
                <c:pt idx="165">
                  <c:v>425.9708325305989</c:v>
                </c:pt>
                <c:pt idx="166">
                  <c:v>425.9708325305989</c:v>
                </c:pt>
                <c:pt idx="167">
                  <c:v>425.9708325305989</c:v>
                </c:pt>
                <c:pt idx="168">
                  <c:v>425.9708325305989</c:v>
                </c:pt>
                <c:pt idx="169">
                  <c:v>425.9708325305989</c:v>
                </c:pt>
                <c:pt idx="170">
                  <c:v>425.9708325305989</c:v>
                </c:pt>
                <c:pt idx="171">
                  <c:v>425.9708325305989</c:v>
                </c:pt>
                <c:pt idx="172">
                  <c:v>425.9708325305989</c:v>
                </c:pt>
                <c:pt idx="173">
                  <c:v>425.9708325305989</c:v>
                </c:pt>
                <c:pt idx="174">
                  <c:v>425.9708325305989</c:v>
                </c:pt>
                <c:pt idx="175">
                  <c:v>425.9708325305989</c:v>
                </c:pt>
                <c:pt idx="176">
                  <c:v>425.9708325305989</c:v>
                </c:pt>
                <c:pt idx="177">
                  <c:v>425.9708325305989</c:v>
                </c:pt>
                <c:pt idx="178">
                  <c:v>425.9708325305989</c:v>
                </c:pt>
                <c:pt idx="179">
                  <c:v>425.9708325305989</c:v>
                </c:pt>
                <c:pt idx="180">
                  <c:v>425.9708325305989</c:v>
                </c:pt>
                <c:pt idx="181">
                  <c:v>425.9708325305989</c:v>
                </c:pt>
                <c:pt idx="182">
                  <c:v>425.9708325305989</c:v>
                </c:pt>
                <c:pt idx="183">
                  <c:v>425.9708325305989</c:v>
                </c:pt>
                <c:pt idx="184">
                  <c:v>425.9708325305989</c:v>
                </c:pt>
                <c:pt idx="185">
                  <c:v>425.9708325305989</c:v>
                </c:pt>
                <c:pt idx="186">
                  <c:v>425.9708325305989</c:v>
                </c:pt>
                <c:pt idx="187">
                  <c:v>425.9708325305989</c:v>
                </c:pt>
                <c:pt idx="188">
                  <c:v>425.9708325305989</c:v>
                </c:pt>
                <c:pt idx="189">
                  <c:v>425.9708325305989</c:v>
                </c:pt>
                <c:pt idx="190">
                  <c:v>425.9708325305989</c:v>
                </c:pt>
                <c:pt idx="191">
                  <c:v>425.9708325305989</c:v>
                </c:pt>
                <c:pt idx="192">
                  <c:v>425.9708325305989</c:v>
                </c:pt>
                <c:pt idx="193">
                  <c:v>425.9708325305989</c:v>
                </c:pt>
                <c:pt idx="194">
                  <c:v>425.9708325305989</c:v>
                </c:pt>
                <c:pt idx="195">
                  <c:v>425.9708325305989</c:v>
                </c:pt>
                <c:pt idx="196">
                  <c:v>425.9708325305989</c:v>
                </c:pt>
                <c:pt idx="197">
                  <c:v>425.9708325305989</c:v>
                </c:pt>
                <c:pt idx="198">
                  <c:v>425.9708325305989</c:v>
                </c:pt>
                <c:pt idx="199">
                  <c:v>425.9708325305989</c:v>
                </c:pt>
                <c:pt idx="200">
                  <c:v>425.9708325305989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casFontaine\Oklima\Team%20Oklima%20-%20Documents\03%20-%20D&#233;veloppement\1%20-%20FORET\1%20-%20PROJETS\Florian_BOUCHET%20(Simon%20COMBES)\Calculateur_RE_OKLIMA_v3.6_bouchet.xlsx" TargetMode="External"/><Relationship Id="rId1" Type="http://schemas.openxmlformats.org/officeDocument/2006/relationships/externalLinkPath" Target="file:///C:\Users\LucasFontaine\Oklima\Team%20Oklima%20-%20Documents\03%20-%20D&#233;veloppement\1%20-%20FORET\1%20-%20PROJETS\Florian_BOUCHET%20(Simon%20COMBES)\Calculateur_RE_OKLIMA_v3.6_bouch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ez-moi"/>
      <sheetName val="CO2"/>
      <sheetName val="ECO"/>
      <sheetName val="&gt;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COUT"/>
      <sheetName val="Feuil2"/>
      <sheetName val="ESSENCES"/>
      <sheetName val="Feuil1"/>
      <sheetName val="param"/>
    </sheetNames>
    <sheetDataSet>
      <sheetData sheetId="0"/>
      <sheetData sheetId="1"/>
      <sheetData sheetId="2"/>
      <sheetData sheetId="3"/>
      <sheetData sheetId="4">
        <row r="36">
          <cell r="A36">
            <v>18</v>
          </cell>
          <cell r="B36">
            <v>182.89230769230767</v>
          </cell>
          <cell r="C36">
            <v>1</v>
          </cell>
          <cell r="D36">
            <v>69.284615384615378</v>
          </cell>
          <cell r="E36">
            <v>0</v>
          </cell>
          <cell r="F36">
            <v>0.56000000000000005</v>
          </cell>
          <cell r="G36">
            <v>0.44</v>
          </cell>
          <cell r="H36">
            <v>0</v>
          </cell>
        </row>
        <row r="37">
          <cell r="A37">
            <v>24</v>
          </cell>
          <cell r="B37">
            <v>237.56153846153845</v>
          </cell>
          <cell r="C37">
            <v>2</v>
          </cell>
          <cell r="D37">
            <v>42.661538461538463</v>
          </cell>
          <cell r="E37">
            <v>0.7</v>
          </cell>
          <cell r="F37">
            <v>0.16800000000000001</v>
          </cell>
          <cell r="G37">
            <v>0.13200000000000001</v>
          </cell>
          <cell r="H37">
            <v>0</v>
          </cell>
        </row>
        <row r="38">
          <cell r="A38">
            <v>30</v>
          </cell>
          <cell r="B38">
            <v>331.86923076923074</v>
          </cell>
          <cell r="C38">
            <v>3</v>
          </cell>
          <cell r="D38">
            <v>65.669230769230765</v>
          </cell>
          <cell r="E38">
            <v>0.7</v>
          </cell>
          <cell r="F38">
            <v>0.16800000000000001</v>
          </cell>
          <cell r="G38">
            <v>0.13200000000000001</v>
          </cell>
          <cell r="H38">
            <v>0</v>
          </cell>
        </row>
        <row r="39">
          <cell r="A39">
            <v>36</v>
          </cell>
          <cell r="B39">
            <v>403.50769230769237</v>
          </cell>
          <cell r="C39">
            <v>4</v>
          </cell>
          <cell r="D39">
            <v>69.3</v>
          </cell>
          <cell r="E39">
            <v>0.7</v>
          </cell>
          <cell r="F39">
            <v>0.16800000000000001</v>
          </cell>
          <cell r="G39">
            <v>0.13200000000000001</v>
          </cell>
          <cell r="H39">
            <v>0</v>
          </cell>
        </row>
        <row r="40">
          <cell r="A40">
            <v>42</v>
          </cell>
          <cell r="B40">
            <v>468.72307692307686</v>
          </cell>
          <cell r="C40">
            <v>5</v>
          </cell>
          <cell r="D40">
            <v>73.392307692307682</v>
          </cell>
          <cell r="E40">
            <v>0.7</v>
          </cell>
          <cell r="F40">
            <v>0.16800000000000001</v>
          </cell>
          <cell r="G40">
            <v>0.13200000000000001</v>
          </cell>
          <cell r="H40">
            <v>0</v>
          </cell>
        </row>
        <row r="41">
          <cell r="A41">
            <v>48</v>
          </cell>
          <cell r="B41">
            <v>525.0846153846154</v>
          </cell>
          <cell r="C41">
            <v>6</v>
          </cell>
          <cell r="D41">
            <v>81.330769230769235</v>
          </cell>
          <cell r="E41">
            <v>0.7</v>
          </cell>
          <cell r="F41">
            <v>0.16800000000000001</v>
          </cell>
          <cell r="G41">
            <v>0.13200000000000001</v>
          </cell>
          <cell r="H41">
            <v>0</v>
          </cell>
        </row>
        <row r="42">
          <cell r="A42">
            <v>54</v>
          </cell>
          <cell r="B42">
            <v>566.79999999999995</v>
          </cell>
          <cell r="C42">
            <v>7</v>
          </cell>
          <cell r="D42">
            <v>566.79999999999995</v>
          </cell>
          <cell r="E42">
            <v>0.7</v>
          </cell>
          <cell r="F42">
            <v>0.16800000000000001</v>
          </cell>
          <cell r="G42">
            <v>0.13200000000000001</v>
          </cell>
          <cell r="H42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257812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2" t="s">
        <v>0</v>
      </c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</row>
    <row r="13" spans="2:13" ht="15" customHeight="1" x14ac:dyDescent="0.25">
      <c r="B13" s="282"/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</row>
    <row r="14" spans="2:13" ht="15" customHeight="1" x14ac:dyDescent="0.25"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</row>
    <row r="15" spans="2:13" ht="18.75" customHeight="1" x14ac:dyDescent="0.25">
      <c r="B15" s="282"/>
      <c r="C15" s="282"/>
      <c r="D15" s="282"/>
      <c r="E15" s="282"/>
      <c r="F15" s="282"/>
      <c r="G15" s="282"/>
      <c r="H15" s="282"/>
      <c r="I15" s="282"/>
      <c r="J15" s="282"/>
      <c r="K15" s="282"/>
      <c r="L15" s="282"/>
      <c r="M15" s="282"/>
    </row>
    <row r="16" spans="2:13" ht="18.75" customHeight="1" x14ac:dyDescent="0.25">
      <c r="B16" s="282"/>
      <c r="C16" s="282"/>
      <c r="D16" s="282"/>
      <c r="E16" s="282"/>
      <c r="F16" s="282"/>
      <c r="G16" s="282"/>
      <c r="H16" s="282"/>
      <c r="I16" s="282"/>
      <c r="J16" s="282"/>
      <c r="K16" s="282"/>
      <c r="L16" s="282"/>
      <c r="M16" s="282"/>
    </row>
    <row r="18" spans="2:13" ht="12" customHeight="1" x14ac:dyDescent="0.25">
      <c r="B18" s="282" t="s">
        <v>1</v>
      </c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</row>
    <row r="19" spans="2:13" ht="12" customHeight="1" x14ac:dyDescent="0.25"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</row>
    <row r="20" spans="2:13" ht="12" customHeight="1" x14ac:dyDescent="0.25"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</row>
    <row r="21" spans="2:13" ht="12" customHeight="1" x14ac:dyDescent="0.25"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</row>
    <row r="22" spans="2:13" ht="12" customHeight="1" x14ac:dyDescent="0.25">
      <c r="B22" s="282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</row>
    <row r="23" spans="2:13" ht="12" customHeight="1" x14ac:dyDescent="0.25"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</row>
    <row r="24" spans="2:13" ht="12" customHeight="1" x14ac:dyDescent="0.25"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</row>
    <row r="25" spans="2:13" ht="12" customHeight="1" x14ac:dyDescent="0.25"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</row>
    <row r="26" spans="2:13" ht="12" customHeight="1" x14ac:dyDescent="0.25"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</row>
    <row r="27" spans="2:13" ht="12" customHeight="1" x14ac:dyDescent="0.25"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</row>
    <row r="28" spans="2:13" ht="12" customHeight="1" x14ac:dyDescent="0.25"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</row>
    <row r="29" spans="2:13" ht="12" customHeight="1" x14ac:dyDescent="0.25"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</row>
    <row r="30" spans="2:13" ht="12" customHeight="1" x14ac:dyDescent="0.25"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</row>
    <row r="31" spans="2:13" ht="12" customHeight="1" x14ac:dyDescent="0.25"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74" zoomScaleNormal="85" workbookViewId="0">
      <selection activeCell="G14" sqref="G1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83" t="s">
        <v>2</v>
      </c>
      <c r="D1" s="283"/>
      <c r="E1" s="28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88" t="s">
        <v>4</v>
      </c>
      <c r="C3" s="289"/>
      <c r="D3" s="289"/>
      <c r="E3" s="289"/>
      <c r="F3" s="290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93" t="s">
        <v>7</v>
      </c>
      <c r="B5" s="293"/>
      <c r="C5" s="24">
        <v>2.3275000000000001</v>
      </c>
      <c r="D5" s="294" t="s">
        <v>8</v>
      </c>
      <c r="E5" s="295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92" t="s">
        <v>9</v>
      </c>
      <c r="B7" s="292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15</v>
      </c>
      <c r="B9" s="31" t="s">
        <v>16</v>
      </c>
      <c r="C9" s="32">
        <v>0.35</v>
      </c>
      <c r="D9" s="33">
        <f t="shared" ref="D9:D18" si="0">C9*$C$5</f>
        <v>0.81462500000000004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18</v>
      </c>
      <c r="B10" s="31" t="s">
        <v>19</v>
      </c>
      <c r="C10" s="32">
        <v>0.35</v>
      </c>
      <c r="D10" s="33">
        <f t="shared" si="0"/>
        <v>0.81462500000000004</v>
      </c>
      <c r="E10" s="34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20</v>
      </c>
      <c r="B11" s="31" t="s">
        <v>21</v>
      </c>
      <c r="C11" s="32">
        <v>0.1</v>
      </c>
      <c r="D11" s="33">
        <f t="shared" si="0"/>
        <v>0.23275000000000001</v>
      </c>
      <c r="E11" s="34">
        <v>105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22</v>
      </c>
      <c r="B12" s="31" t="s">
        <v>23</v>
      </c>
      <c r="C12" s="32">
        <v>0.1</v>
      </c>
      <c r="D12" s="33">
        <f t="shared" si="0"/>
        <v>0.23275000000000001</v>
      </c>
      <c r="E12" s="34">
        <v>105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24</v>
      </c>
      <c r="B13" s="31" t="s">
        <v>25</v>
      </c>
      <c r="C13" s="32">
        <v>0.1</v>
      </c>
      <c r="D13" s="33">
        <f t="shared" si="0"/>
        <v>0.23275000000000001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26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27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28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29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30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31</v>
      </c>
      <c r="C19" s="37">
        <f>SUM(C9:C18)</f>
        <v>0.99999999999999989</v>
      </c>
      <c r="D19" s="38">
        <f>SUM(D9:D18)</f>
        <v>2.3275000000000006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91" t="s">
        <v>32</v>
      </c>
      <c r="B22" s="291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33</v>
      </c>
      <c r="B24" s="42" t="s">
        <v>34</v>
      </c>
      <c r="C24" s="43">
        <v>0</v>
      </c>
      <c r="D24" s="44" t="s">
        <v>35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36</v>
      </c>
      <c r="B25" s="42" t="s">
        <v>37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38</v>
      </c>
      <c r="B26" s="42" t="s">
        <v>39</v>
      </c>
      <c r="C26" s="43">
        <v>0.1</v>
      </c>
      <c r="D26" s="44" t="s">
        <v>40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41</v>
      </c>
      <c r="B27" s="42" t="s">
        <v>42</v>
      </c>
      <c r="C27" s="43">
        <v>0</v>
      </c>
      <c r="D27" s="44" t="s">
        <v>43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92" t="s">
        <v>44</v>
      </c>
      <c r="B30" s="292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15</v>
      </c>
      <c r="B32" s="47" t="str">
        <f>IF(B9="","",B9)</f>
        <v>Douglas</v>
      </c>
      <c r="D32" s="229" t="s">
        <v>45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46</v>
      </c>
      <c r="C34" s="284" t="s">
        <v>47</v>
      </c>
      <c r="D34" s="284"/>
      <c r="E34" s="285" t="s">
        <v>48</v>
      </c>
      <c r="F34" s="286"/>
      <c r="G34" s="286"/>
      <c r="H34" s="287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49</v>
      </c>
      <c r="B35" s="36" t="s">
        <v>50</v>
      </c>
      <c r="C35" s="48" t="s">
        <v>51</v>
      </c>
      <c r="D35" s="48" t="s">
        <v>52</v>
      </c>
      <c r="E35" s="36" t="s">
        <v>53</v>
      </c>
      <c r="F35" s="36" t="s">
        <v>54</v>
      </c>
      <c r="G35" s="36" t="s">
        <v>55</v>
      </c>
      <c r="H35" s="36" t="s">
        <v>56</v>
      </c>
      <c r="I35" s="48" t="s">
        <v>57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f>'[1]Données projet'!A36</f>
        <v>18</v>
      </c>
      <c r="B36" s="60">
        <f>'[1]Données projet'!B36</f>
        <v>182.89230769230767</v>
      </c>
      <c r="C36" s="60">
        <f>'[1]Données projet'!C36</f>
        <v>1</v>
      </c>
      <c r="D36" s="60">
        <f>'[1]Données projet'!D36</f>
        <v>69.284615384615378</v>
      </c>
      <c r="E36" s="51">
        <f>'[1]Données projet'!E36</f>
        <v>0</v>
      </c>
      <c r="F36" s="51">
        <f>'[1]Données projet'!F36</f>
        <v>0.56000000000000005</v>
      </c>
      <c r="G36" s="51">
        <f>'[1]Données projet'!G36</f>
        <v>0.44</v>
      </c>
      <c r="H36" s="51">
        <f>'[1]Données projet'!H36</f>
        <v>0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f>'[1]Données projet'!A37</f>
        <v>24</v>
      </c>
      <c r="B37" s="60">
        <f>'[1]Données projet'!B37</f>
        <v>237.56153846153845</v>
      </c>
      <c r="C37" s="60">
        <f>'[1]Données projet'!C37</f>
        <v>2</v>
      </c>
      <c r="D37" s="60">
        <f>'[1]Données projet'!D37</f>
        <v>42.661538461538463</v>
      </c>
      <c r="E37" s="51">
        <f>'[1]Données projet'!E37</f>
        <v>0.7</v>
      </c>
      <c r="F37" s="51">
        <f>'[1]Données projet'!F37</f>
        <v>0.16800000000000001</v>
      </c>
      <c r="G37" s="51">
        <f>'[1]Données projet'!G37</f>
        <v>0.13200000000000001</v>
      </c>
      <c r="H37" s="51">
        <f>'[1]Données projet'!H37</f>
        <v>0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f>'[1]Données projet'!A38</f>
        <v>30</v>
      </c>
      <c r="B38" s="60">
        <f>'[1]Données projet'!B38</f>
        <v>331.86923076923074</v>
      </c>
      <c r="C38" s="60">
        <f>'[1]Données projet'!C38</f>
        <v>3</v>
      </c>
      <c r="D38" s="60">
        <f>'[1]Données projet'!D38</f>
        <v>65.669230769230765</v>
      </c>
      <c r="E38" s="51">
        <f>'[1]Données projet'!E38</f>
        <v>0.7</v>
      </c>
      <c r="F38" s="51">
        <f>'[1]Données projet'!F38</f>
        <v>0.16800000000000001</v>
      </c>
      <c r="G38" s="51">
        <f>'[1]Données projet'!G38</f>
        <v>0.13200000000000001</v>
      </c>
      <c r="H38" s="51">
        <f>'[1]Données projet'!H38</f>
        <v>0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f>'[1]Données projet'!A39</f>
        <v>36</v>
      </c>
      <c r="B39" s="60">
        <f>'[1]Données projet'!B39</f>
        <v>403.50769230769237</v>
      </c>
      <c r="C39" s="60">
        <f>'[1]Données projet'!C39</f>
        <v>4</v>
      </c>
      <c r="D39" s="60">
        <f>'[1]Données projet'!D39</f>
        <v>69.3</v>
      </c>
      <c r="E39" s="51">
        <f>'[1]Données projet'!E39</f>
        <v>0.7</v>
      </c>
      <c r="F39" s="51">
        <f>'[1]Données projet'!F39</f>
        <v>0.16800000000000001</v>
      </c>
      <c r="G39" s="51">
        <f>'[1]Données projet'!G39</f>
        <v>0.13200000000000001</v>
      </c>
      <c r="H39" s="51">
        <f>'[1]Données projet'!H39</f>
        <v>0</v>
      </c>
      <c r="I39" s="49">
        <f t="shared" si="1"/>
        <v>22.884615384615397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f>'[1]Données projet'!A40</f>
        <v>42</v>
      </c>
      <c r="B40" s="60">
        <f>'[1]Données projet'!B40</f>
        <v>468.72307692307686</v>
      </c>
      <c r="C40" s="60">
        <f>'[1]Données projet'!C40</f>
        <v>5</v>
      </c>
      <c r="D40" s="60">
        <f>'[1]Données projet'!D40</f>
        <v>73.392307692307682</v>
      </c>
      <c r="E40" s="51">
        <f>'[1]Données projet'!E40</f>
        <v>0.7</v>
      </c>
      <c r="F40" s="51">
        <f>'[1]Données projet'!F40</f>
        <v>0.16800000000000001</v>
      </c>
      <c r="G40" s="51">
        <f>'[1]Données projet'!G40</f>
        <v>0.13200000000000001</v>
      </c>
      <c r="H40" s="51">
        <f>'[1]Données projet'!H40</f>
        <v>0</v>
      </c>
      <c r="I40" s="49">
        <f t="shared" si="1"/>
        <v>22.419230769230751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f>'[1]Données projet'!A41</f>
        <v>48</v>
      </c>
      <c r="B41" s="60">
        <f>'[1]Données projet'!B41</f>
        <v>525.0846153846154</v>
      </c>
      <c r="C41" s="60">
        <f>'[1]Données projet'!C41</f>
        <v>6</v>
      </c>
      <c r="D41" s="60">
        <f>'[1]Données projet'!D41</f>
        <v>81.330769230769235</v>
      </c>
      <c r="E41" s="51">
        <f>'[1]Données projet'!E41</f>
        <v>0.7</v>
      </c>
      <c r="F41" s="51">
        <f>'[1]Données projet'!F41</f>
        <v>0.16800000000000001</v>
      </c>
      <c r="G41" s="51">
        <f>'[1]Données projet'!G41</f>
        <v>0.13200000000000001</v>
      </c>
      <c r="H41" s="51">
        <f>'[1]Données projet'!H41</f>
        <v>0</v>
      </c>
      <c r="I41" s="53">
        <f t="shared" si="1"/>
        <v>21.625641025641034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f>'[1]Données projet'!A42</f>
        <v>54</v>
      </c>
      <c r="B42" s="60">
        <f>'[1]Données projet'!B42</f>
        <v>566.79999999999995</v>
      </c>
      <c r="C42" s="60">
        <f>'[1]Données projet'!C42</f>
        <v>7</v>
      </c>
      <c r="D42" s="60">
        <f>'[1]Données projet'!D42</f>
        <v>566.79999999999995</v>
      </c>
      <c r="E42" s="51">
        <f>'[1]Données projet'!E42</f>
        <v>0.7</v>
      </c>
      <c r="F42" s="51">
        <f>'[1]Données projet'!F42</f>
        <v>0.16800000000000001</v>
      </c>
      <c r="G42" s="51">
        <f>'[1]Données projet'!G42</f>
        <v>0.13200000000000001</v>
      </c>
      <c r="H42" s="51">
        <f>'[1]Données projet'!H42</f>
        <v>0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18</v>
      </c>
      <c r="B58" s="52" t="str">
        <f>IF(B10="","",B10)</f>
        <v>Pin laricio</v>
      </c>
      <c r="D58" s="229" t="s">
        <v>45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46</v>
      </c>
      <c r="C60" s="284" t="s">
        <v>47</v>
      </c>
      <c r="D60" s="284"/>
      <c r="E60" s="285" t="s">
        <v>48</v>
      </c>
      <c r="F60" s="286"/>
      <c r="G60" s="286"/>
      <c r="H60" s="287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49</v>
      </c>
      <c r="B61" s="36" t="s">
        <v>50</v>
      </c>
      <c r="C61" s="48" t="s">
        <v>51</v>
      </c>
      <c r="D61" s="48" t="s">
        <v>52</v>
      </c>
      <c r="E61" s="36" t="s">
        <v>53</v>
      </c>
      <c r="F61" s="36" t="s">
        <v>54</v>
      </c>
      <c r="G61" s="36" t="s">
        <v>55</v>
      </c>
      <c r="H61" s="36" t="s">
        <v>56</v>
      </c>
      <c r="I61" s="48" t="s">
        <v>57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257">
        <v>19</v>
      </c>
      <c r="B62" s="258">
        <v>127.98461538461538</v>
      </c>
      <c r="C62" s="258">
        <v>1</v>
      </c>
      <c r="D62" s="258">
        <v>46.53846153846154</v>
      </c>
      <c r="E62" s="259">
        <v>0</v>
      </c>
      <c r="F62" s="259">
        <v>0.56000000000000005</v>
      </c>
      <c r="G62" s="259">
        <v>0.44</v>
      </c>
      <c r="H62" s="259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257">
        <v>24</v>
      </c>
      <c r="B63" s="258">
        <v>159.94615384615383</v>
      </c>
      <c r="C63" s="258">
        <v>2</v>
      </c>
      <c r="D63" s="258">
        <v>40.41538461538461</v>
      </c>
      <c r="E63" s="259">
        <v>0.7</v>
      </c>
      <c r="F63" s="259">
        <v>0.16800000000000001</v>
      </c>
      <c r="G63" s="259">
        <v>0.13200000000000001</v>
      </c>
      <c r="H63" s="259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257">
        <v>30</v>
      </c>
      <c r="B64" s="258">
        <v>215.65384615384616</v>
      </c>
      <c r="C64" s="258">
        <v>3</v>
      </c>
      <c r="D64" s="258">
        <v>55.869230769230761</v>
      </c>
      <c r="E64" s="259">
        <v>0.7</v>
      </c>
      <c r="F64" s="259">
        <v>0.16800000000000001</v>
      </c>
      <c r="G64" s="259">
        <v>0.13200000000000001</v>
      </c>
      <c r="H64" s="259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257">
        <v>37</v>
      </c>
      <c r="B65" s="258">
        <v>268.16923076923075</v>
      </c>
      <c r="C65" s="258">
        <v>4</v>
      </c>
      <c r="D65" s="258">
        <v>43.623076923076923</v>
      </c>
      <c r="E65" s="259">
        <v>0.7</v>
      </c>
      <c r="F65" s="259">
        <v>0.16800000000000001</v>
      </c>
      <c r="G65" s="259">
        <v>0.13200000000000001</v>
      </c>
      <c r="H65" s="259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257">
        <v>46</v>
      </c>
      <c r="B66" s="258">
        <v>362.82307692307688</v>
      </c>
      <c r="C66" s="258">
        <v>5</v>
      </c>
      <c r="D66" s="258">
        <v>72.561538461538461</v>
      </c>
      <c r="E66" s="259">
        <v>0.7</v>
      </c>
      <c r="F66" s="259">
        <v>0.16800000000000001</v>
      </c>
      <c r="G66" s="259">
        <v>0.13200000000000001</v>
      </c>
      <c r="H66" s="259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257">
        <v>56</v>
      </c>
      <c r="B67" s="258">
        <v>428.20000000000005</v>
      </c>
      <c r="C67" s="258">
        <v>6</v>
      </c>
      <c r="D67" s="258">
        <v>60.092307692307692</v>
      </c>
      <c r="E67" s="260">
        <v>0.7</v>
      </c>
      <c r="F67" s="260">
        <v>0.16800000000000001</v>
      </c>
      <c r="G67" s="260">
        <v>0.13200000000000001</v>
      </c>
      <c r="H67" s="260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257">
        <v>66</v>
      </c>
      <c r="B68" s="258">
        <v>488.65384615384613</v>
      </c>
      <c r="C68" s="258">
        <v>7</v>
      </c>
      <c r="D68" s="258">
        <v>68.146153846153851</v>
      </c>
      <c r="E68" s="260">
        <v>0.7</v>
      </c>
      <c r="F68" s="260">
        <v>0.16800000000000001</v>
      </c>
      <c r="G68" s="260">
        <v>0.13200000000000001</v>
      </c>
      <c r="H68" s="260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261">
        <v>76</v>
      </c>
      <c r="B69" s="261">
        <v>520.22307692307686</v>
      </c>
      <c r="C69" s="261">
        <v>8</v>
      </c>
      <c r="D69" s="261">
        <v>520.22307692307686</v>
      </c>
      <c r="E69" s="260">
        <v>0.7</v>
      </c>
      <c r="F69" s="260">
        <v>0.16800000000000001</v>
      </c>
      <c r="G69" s="260">
        <v>0.13200000000000001</v>
      </c>
      <c r="H69" s="260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20</v>
      </c>
      <c r="B84" s="52" t="str">
        <f>IF(B11="","",B11)</f>
        <v>Pin noir d'Autriche</v>
      </c>
      <c r="D84" s="229" t="s">
        <v>45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46</v>
      </c>
      <c r="C86" s="284" t="s">
        <v>47</v>
      </c>
      <c r="D86" s="284"/>
      <c r="E86" s="285" t="s">
        <v>48</v>
      </c>
      <c r="F86" s="286"/>
      <c r="G86" s="286"/>
      <c r="H86" s="287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49</v>
      </c>
      <c r="B87" s="36" t="s">
        <v>50</v>
      </c>
      <c r="C87" s="48" t="s">
        <v>51</v>
      </c>
      <c r="D87" s="48" t="s">
        <v>52</v>
      </c>
      <c r="E87" s="36" t="s">
        <v>53</v>
      </c>
      <c r="F87" s="36" t="s">
        <v>54</v>
      </c>
      <c r="G87" s="36" t="s">
        <v>55</v>
      </c>
      <c r="H87" s="36" t="s">
        <v>56</v>
      </c>
      <c r="I87" s="48" t="s">
        <v>57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264">
        <v>30</v>
      </c>
      <c r="B88" s="277">
        <v>136.25384615384615</v>
      </c>
      <c r="C88" s="265" t="s">
        <v>58</v>
      </c>
      <c r="D88" s="265">
        <v>0</v>
      </c>
      <c r="E88" s="267">
        <v>0</v>
      </c>
      <c r="F88" s="267">
        <v>0</v>
      </c>
      <c r="G88" s="267">
        <v>0</v>
      </c>
      <c r="H88" s="278">
        <v>0</v>
      </c>
      <c r="I88" s="53">
        <f>IFERROR(B88/A88,"")</f>
        <v>4.5417948717948722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268">
        <v>40</v>
      </c>
      <c r="B89" s="279">
        <v>232.1076923076923</v>
      </c>
      <c r="C89" s="269">
        <v>1</v>
      </c>
      <c r="D89" s="279">
        <v>65.969230769230776</v>
      </c>
      <c r="E89" s="271">
        <v>0</v>
      </c>
      <c r="F89" s="271">
        <v>0.63</v>
      </c>
      <c r="G89" s="271">
        <v>0.37</v>
      </c>
      <c r="H89" s="280">
        <v>0</v>
      </c>
      <c r="I89" s="53">
        <f t="shared" ref="I89:I107" si="3">IF(A89&lt;&gt;0,(B89-(B88-D88))/(A89-A88),"")</f>
        <v>9.5853846153846156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268">
        <v>55</v>
      </c>
      <c r="B90" s="279">
        <v>289.14615384615382</v>
      </c>
      <c r="C90" s="269">
        <v>2</v>
      </c>
      <c r="D90" s="279">
        <v>65.053846153846152</v>
      </c>
      <c r="E90" s="280">
        <v>0.11</v>
      </c>
      <c r="F90" s="280">
        <v>0.62</v>
      </c>
      <c r="G90" s="280">
        <v>0.27</v>
      </c>
      <c r="H90" s="280">
        <v>0</v>
      </c>
      <c r="I90" s="53">
        <f t="shared" si="3"/>
        <v>8.2005128205128202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268">
        <v>70</v>
      </c>
      <c r="B91" s="279">
        <v>333.18461538461537</v>
      </c>
      <c r="C91" s="269">
        <v>3</v>
      </c>
      <c r="D91" s="279">
        <v>62.976923076923079</v>
      </c>
      <c r="E91" s="280">
        <v>0.23</v>
      </c>
      <c r="F91" s="280">
        <v>0.53</v>
      </c>
      <c r="G91" s="280">
        <v>0.34</v>
      </c>
      <c r="H91" s="280">
        <v>0</v>
      </c>
      <c r="I91" s="53">
        <f t="shared" si="3"/>
        <v>7.2728205128205143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268">
        <v>80</v>
      </c>
      <c r="B92" s="279">
        <v>335.23076923076917</v>
      </c>
      <c r="C92" s="269">
        <v>4</v>
      </c>
      <c r="D92" s="279">
        <v>56.992307692307691</v>
      </c>
      <c r="E92" s="280">
        <v>0.44</v>
      </c>
      <c r="F92" s="280">
        <v>0.33</v>
      </c>
      <c r="G92" s="280">
        <v>0.23</v>
      </c>
      <c r="H92" s="280">
        <v>0</v>
      </c>
      <c r="I92" s="53">
        <f t="shared" si="3"/>
        <v>6.5023076923076868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268">
        <v>95</v>
      </c>
      <c r="B93" s="279">
        <v>372.73846153846154</v>
      </c>
      <c r="C93" s="269">
        <v>5</v>
      </c>
      <c r="D93" s="279">
        <v>203.73846153846154</v>
      </c>
      <c r="E93" s="281">
        <v>0.7</v>
      </c>
      <c r="F93" s="281">
        <v>0.21</v>
      </c>
      <c r="G93" s="281">
        <v>0.09</v>
      </c>
      <c r="H93" s="281">
        <v>0</v>
      </c>
      <c r="I93" s="53">
        <f t="shared" si="3"/>
        <v>6.3000000000000034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268">
        <v>105</v>
      </c>
      <c r="B94" s="279">
        <v>213.82307692307694</v>
      </c>
      <c r="C94" s="269">
        <v>6</v>
      </c>
      <c r="D94" s="279">
        <v>213.82307692307694</v>
      </c>
      <c r="E94" s="281">
        <v>0.83</v>
      </c>
      <c r="F94" s="281">
        <v>0.11</v>
      </c>
      <c r="G94" s="281">
        <v>0.06</v>
      </c>
      <c r="H94" s="281">
        <v>0</v>
      </c>
      <c r="I94" s="53">
        <f t="shared" si="3"/>
        <v>4.4823076923076943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22</v>
      </c>
      <c r="B110" s="52" t="str">
        <f>IF(B12="","",B12)</f>
        <v>Cèdre de l'Atlas</v>
      </c>
      <c r="D110" s="229" t="s">
        <v>45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46</v>
      </c>
      <c r="C112" s="284" t="s">
        <v>47</v>
      </c>
      <c r="D112" s="284"/>
      <c r="E112" s="285" t="s">
        <v>48</v>
      </c>
      <c r="F112" s="286"/>
      <c r="G112" s="286"/>
      <c r="H112" s="287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49</v>
      </c>
      <c r="B113" s="36" t="s">
        <v>50</v>
      </c>
      <c r="C113" s="48" t="s">
        <v>51</v>
      </c>
      <c r="D113" s="48" t="s">
        <v>52</v>
      </c>
      <c r="E113" s="36" t="s">
        <v>53</v>
      </c>
      <c r="F113" s="36" t="s">
        <v>54</v>
      </c>
      <c r="G113" s="36" t="s">
        <v>55</v>
      </c>
      <c r="H113" s="36" t="s">
        <v>56</v>
      </c>
      <c r="I113" s="48" t="s">
        <v>57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257">
        <v>30</v>
      </c>
      <c r="B114" s="258">
        <v>216.79230769230767</v>
      </c>
      <c r="C114" s="257" t="s">
        <v>58</v>
      </c>
      <c r="D114" s="258">
        <v>0</v>
      </c>
      <c r="E114" s="259">
        <v>0.7</v>
      </c>
      <c r="F114" s="259">
        <v>0.16800000000000001</v>
      </c>
      <c r="G114" s="259">
        <v>0.13200000000000001</v>
      </c>
      <c r="H114" s="259">
        <v>0</v>
      </c>
      <c r="I114" s="53">
        <f>IFERROR(B114/A114,"")</f>
        <v>7.2264102564102561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257">
        <v>42</v>
      </c>
      <c r="B115" s="258">
        <v>410.3692307692308</v>
      </c>
      <c r="C115" s="257">
        <v>1</v>
      </c>
      <c r="D115" s="258">
        <v>179.84615384615384</v>
      </c>
      <c r="E115" s="259">
        <v>0</v>
      </c>
      <c r="F115" s="259">
        <v>0.56000000000000005</v>
      </c>
      <c r="G115" s="259">
        <v>0.44</v>
      </c>
      <c r="H115" s="259">
        <v>0</v>
      </c>
      <c r="I115" s="53">
        <f t="shared" ref="I115:I133" si="4">IF(A115&lt;&gt;0,(B115-(B114-D114))/(A115-A114),"")</f>
        <v>16.131410256410259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257">
        <v>49</v>
      </c>
      <c r="B116" s="258">
        <v>339.85384615384612</v>
      </c>
      <c r="C116" s="257">
        <v>2</v>
      </c>
      <c r="D116" s="258">
        <v>94.476923076923072</v>
      </c>
      <c r="E116" s="259">
        <v>0.7</v>
      </c>
      <c r="F116" s="259">
        <v>0.16800000000000001</v>
      </c>
      <c r="G116" s="259">
        <v>0.13200000000000001</v>
      </c>
      <c r="H116" s="259">
        <v>0</v>
      </c>
      <c r="I116" s="53">
        <f t="shared" si="4"/>
        <v>15.618681318681309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257">
        <v>56</v>
      </c>
      <c r="B117" s="258">
        <v>348.05384615384617</v>
      </c>
      <c r="C117" s="257">
        <v>3</v>
      </c>
      <c r="D117" s="258">
        <v>72.769230769230759</v>
      </c>
      <c r="E117" s="259">
        <v>0.7</v>
      </c>
      <c r="F117" s="259">
        <v>0.16800000000000001</v>
      </c>
      <c r="G117" s="259">
        <v>0.13200000000000001</v>
      </c>
      <c r="H117" s="259">
        <v>0</v>
      </c>
      <c r="I117" s="53">
        <f t="shared" si="4"/>
        <v>14.668131868131875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257">
        <v>63</v>
      </c>
      <c r="B118" s="258">
        <v>375.17692307692306</v>
      </c>
      <c r="C118" s="257">
        <v>4</v>
      </c>
      <c r="D118" s="258">
        <v>71.123076923076923</v>
      </c>
      <c r="E118" s="259">
        <v>0.7</v>
      </c>
      <c r="F118" s="259">
        <v>0.16800000000000001</v>
      </c>
      <c r="G118" s="259">
        <v>0.13200000000000001</v>
      </c>
      <c r="H118" s="259">
        <v>0</v>
      </c>
      <c r="I118" s="53">
        <f t="shared" si="4"/>
        <v>14.270329670329668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257">
        <v>71</v>
      </c>
      <c r="B119" s="258">
        <v>413.95384615384614</v>
      </c>
      <c r="C119" s="257">
        <v>5</v>
      </c>
      <c r="D119" s="258">
        <v>80.399999999999991</v>
      </c>
      <c r="E119" s="260">
        <v>0.7</v>
      </c>
      <c r="F119" s="260">
        <v>0.16800000000000001</v>
      </c>
      <c r="G119" s="260">
        <v>0.13200000000000001</v>
      </c>
      <c r="H119" s="260">
        <v>0</v>
      </c>
      <c r="I119" s="53">
        <f t="shared" si="4"/>
        <v>13.737499999999997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258">
        <v>79</v>
      </c>
      <c r="B120" s="258">
        <v>436.86153846153843</v>
      </c>
      <c r="C120" s="258">
        <v>6</v>
      </c>
      <c r="D120" s="258">
        <v>77.338461538461544</v>
      </c>
      <c r="E120" s="262">
        <v>0.7</v>
      </c>
      <c r="F120" s="262">
        <v>0.16800000000000001</v>
      </c>
      <c r="G120" s="262">
        <v>0.13200000000000001</v>
      </c>
      <c r="H120" s="262">
        <v>0</v>
      </c>
      <c r="I120" s="53">
        <f t="shared" si="4"/>
        <v>12.913461538461533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263">
        <v>87</v>
      </c>
      <c r="B121" s="263">
        <v>456.51538461538462</v>
      </c>
      <c r="C121" s="263">
        <v>7</v>
      </c>
      <c r="D121" s="263">
        <v>77.330769230769235</v>
      </c>
      <c r="E121" s="262">
        <v>0.7</v>
      </c>
      <c r="F121" s="262">
        <v>0.16800000000000001</v>
      </c>
      <c r="G121" s="262">
        <v>0.13200000000000001</v>
      </c>
      <c r="H121" s="262">
        <v>0</v>
      </c>
      <c r="I121" s="53">
        <f t="shared" si="4"/>
        <v>12.124038461538468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263">
        <v>95</v>
      </c>
      <c r="B122" s="263">
        <v>469.12307692307689</v>
      </c>
      <c r="C122" s="263">
        <v>8</v>
      </c>
      <c r="D122" s="263">
        <v>234.42307692307691</v>
      </c>
      <c r="E122" s="262">
        <v>0.7</v>
      </c>
      <c r="F122" s="262">
        <v>0.16800000000000001</v>
      </c>
      <c r="G122" s="262">
        <v>0.13200000000000001</v>
      </c>
      <c r="H122" s="262">
        <v>0</v>
      </c>
      <c r="I122" s="53">
        <f t="shared" si="4"/>
        <v>11.242307692307691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105</v>
      </c>
      <c r="B123" s="60">
        <v>309.71538461538461</v>
      </c>
      <c r="C123" s="60">
        <v>9</v>
      </c>
      <c r="D123" s="60">
        <v>309.71538461538461</v>
      </c>
      <c r="E123" s="87">
        <v>0.7</v>
      </c>
      <c r="F123" s="87">
        <v>0.16800000000000001</v>
      </c>
      <c r="G123" s="87">
        <v>0.13200000000000001</v>
      </c>
      <c r="H123" s="87">
        <v>0</v>
      </c>
      <c r="I123" s="53">
        <f t="shared" si="4"/>
        <v>7.5015384615384617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24</v>
      </c>
      <c r="B136" s="52" t="str">
        <f>IF(B13="","",B13)</f>
        <v>Châtaignier</v>
      </c>
      <c r="D136" s="229" t="s">
        <v>45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46</v>
      </c>
      <c r="C138" s="284" t="s">
        <v>47</v>
      </c>
      <c r="D138" s="284"/>
      <c r="E138" s="285" t="s">
        <v>48</v>
      </c>
      <c r="F138" s="286"/>
      <c r="G138" s="286"/>
      <c r="H138" s="287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49</v>
      </c>
      <c r="B139" s="36" t="s">
        <v>50</v>
      </c>
      <c r="C139" s="48" t="s">
        <v>51</v>
      </c>
      <c r="D139" s="48" t="s">
        <v>52</v>
      </c>
      <c r="E139" s="36" t="s">
        <v>53</v>
      </c>
      <c r="F139" s="36" t="s">
        <v>54</v>
      </c>
      <c r="G139" s="36" t="s">
        <v>55</v>
      </c>
      <c r="H139" s="36" t="s">
        <v>56</v>
      </c>
      <c r="I139" s="48" t="s">
        <v>57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264">
        <v>15</v>
      </c>
      <c r="B140" s="265">
        <v>37</v>
      </c>
      <c r="C140" s="266">
        <v>1</v>
      </c>
      <c r="D140" s="265">
        <v>15</v>
      </c>
      <c r="E140" s="267">
        <v>0</v>
      </c>
      <c r="F140" s="267">
        <v>0</v>
      </c>
      <c r="G140" s="267">
        <v>0</v>
      </c>
      <c r="H140" s="267">
        <v>1</v>
      </c>
      <c r="I140" s="57">
        <f>IFERROR(B140/A140,"")</f>
        <v>2.4666666666666668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268">
        <v>20</v>
      </c>
      <c r="B141" s="269">
        <v>80</v>
      </c>
      <c r="C141" s="270">
        <v>2</v>
      </c>
      <c r="D141" s="269">
        <v>28</v>
      </c>
      <c r="E141" s="271">
        <v>0</v>
      </c>
      <c r="F141" s="271">
        <v>0</v>
      </c>
      <c r="G141" s="271">
        <v>0</v>
      </c>
      <c r="H141" s="271">
        <v>1</v>
      </c>
      <c r="I141" s="57">
        <f t="shared" ref="I141:I159" si="5">IF(A141&lt;&gt;0,(B141-(B140-D140))/(A141-A140),"")</f>
        <v>11.6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268">
        <v>25</v>
      </c>
      <c r="B142" s="269">
        <v>115</v>
      </c>
      <c r="C142" s="270">
        <v>3</v>
      </c>
      <c r="D142" s="269">
        <v>28</v>
      </c>
      <c r="E142" s="271">
        <v>0</v>
      </c>
      <c r="F142" s="271">
        <v>7.0000000000000007E-2</v>
      </c>
      <c r="G142" s="271">
        <v>0</v>
      </c>
      <c r="H142" s="271">
        <v>0.93</v>
      </c>
      <c r="I142" s="57">
        <f t="shared" si="5"/>
        <v>12.6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268">
        <v>30</v>
      </c>
      <c r="B143" s="269">
        <v>146</v>
      </c>
      <c r="C143" s="270">
        <v>4</v>
      </c>
      <c r="D143" s="269">
        <v>28</v>
      </c>
      <c r="E143" s="271">
        <v>0.04</v>
      </c>
      <c r="F143" s="271">
        <v>0.28999999999999998</v>
      </c>
      <c r="G143" s="271">
        <v>0</v>
      </c>
      <c r="H143" s="271">
        <v>0.68</v>
      </c>
      <c r="I143" s="57">
        <f t="shared" si="5"/>
        <v>11.8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268">
        <v>35</v>
      </c>
      <c r="B144" s="269">
        <v>172</v>
      </c>
      <c r="C144" s="270">
        <v>5</v>
      </c>
      <c r="D144" s="269">
        <v>28</v>
      </c>
      <c r="E144" s="271">
        <v>0.18</v>
      </c>
      <c r="F144" s="271">
        <v>0.43</v>
      </c>
      <c r="G144" s="271">
        <v>0</v>
      </c>
      <c r="H144" s="271">
        <v>0.39</v>
      </c>
      <c r="I144" s="57">
        <f t="shared" si="5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268">
        <v>40</v>
      </c>
      <c r="B145" s="269">
        <v>192</v>
      </c>
      <c r="C145" s="270">
        <v>6</v>
      </c>
      <c r="D145" s="269">
        <v>28</v>
      </c>
      <c r="E145" s="271">
        <v>0.39</v>
      </c>
      <c r="F145" s="271">
        <v>0.39</v>
      </c>
      <c r="G145" s="271">
        <v>0</v>
      </c>
      <c r="H145" s="271">
        <v>0.21</v>
      </c>
      <c r="I145" s="57">
        <f t="shared" si="5"/>
        <v>9.6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268">
        <v>45</v>
      </c>
      <c r="B146" s="269">
        <v>205</v>
      </c>
      <c r="C146" s="270">
        <v>7</v>
      </c>
      <c r="D146" s="269">
        <v>22</v>
      </c>
      <c r="E146" s="271">
        <v>0.59</v>
      </c>
      <c r="F146" s="271">
        <v>0.27</v>
      </c>
      <c r="G146" s="271">
        <v>0</v>
      </c>
      <c r="H146" s="271">
        <v>0.14000000000000001</v>
      </c>
      <c r="I146" s="57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268">
        <v>50</v>
      </c>
      <c r="B147" s="269">
        <v>219</v>
      </c>
      <c r="C147" s="270">
        <v>8</v>
      </c>
      <c r="D147" s="269">
        <v>17</v>
      </c>
      <c r="E147" s="271">
        <v>0.71</v>
      </c>
      <c r="F147" s="271">
        <v>0.18</v>
      </c>
      <c r="G147" s="271">
        <v>0</v>
      </c>
      <c r="H147" s="271">
        <v>0.12</v>
      </c>
      <c r="I147" s="57">
        <f>IF(A147&lt;&gt;0,(B147-(B146-D146))/(A147-A146),"")</f>
        <v>7.2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268">
        <v>55</v>
      </c>
      <c r="B148" s="269">
        <v>232</v>
      </c>
      <c r="C148" s="270">
        <v>9</v>
      </c>
      <c r="D148" s="269">
        <v>13</v>
      </c>
      <c r="E148" s="271">
        <v>0.77</v>
      </c>
      <c r="F148" s="271">
        <v>0.15</v>
      </c>
      <c r="G148" s="271">
        <v>0</v>
      </c>
      <c r="H148" s="271">
        <v>0.08</v>
      </c>
      <c r="I148" s="57">
        <f t="shared" si="5"/>
        <v>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268">
        <v>60</v>
      </c>
      <c r="B149" s="269">
        <v>245</v>
      </c>
      <c r="C149" s="270">
        <v>10</v>
      </c>
      <c r="D149" s="269">
        <v>12</v>
      </c>
      <c r="E149" s="271">
        <v>0.83</v>
      </c>
      <c r="F149" s="271">
        <v>0.08</v>
      </c>
      <c r="G149" s="271">
        <v>0</v>
      </c>
      <c r="H149" s="271">
        <v>0.08</v>
      </c>
      <c r="I149" s="57">
        <f t="shared" si="5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268">
        <v>65</v>
      </c>
      <c r="B150" s="269">
        <v>255</v>
      </c>
      <c r="C150" s="270">
        <v>11</v>
      </c>
      <c r="D150" s="269">
        <v>11</v>
      </c>
      <c r="E150" s="271">
        <v>0.82</v>
      </c>
      <c r="F150" s="271">
        <v>0.09</v>
      </c>
      <c r="G150" s="271">
        <v>0</v>
      </c>
      <c r="H150" s="271">
        <v>0.09</v>
      </c>
      <c r="I150" s="57">
        <f t="shared" si="5"/>
        <v>4.4000000000000004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268">
        <v>70</v>
      </c>
      <c r="B151" s="269">
        <v>263</v>
      </c>
      <c r="C151" s="270">
        <v>12</v>
      </c>
      <c r="D151" s="269">
        <v>10</v>
      </c>
      <c r="E151" s="271">
        <v>0.9</v>
      </c>
      <c r="F151" s="271">
        <v>0.1</v>
      </c>
      <c r="G151" s="271">
        <v>0</v>
      </c>
      <c r="H151" s="271">
        <v>0</v>
      </c>
      <c r="I151" s="57">
        <f t="shared" si="5"/>
        <v>3.8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268">
        <v>75</v>
      </c>
      <c r="B152" s="269">
        <v>270</v>
      </c>
      <c r="C152" s="270">
        <v>13</v>
      </c>
      <c r="D152" s="269">
        <v>9</v>
      </c>
      <c r="E152" s="272">
        <v>0.89</v>
      </c>
      <c r="F152" s="272">
        <v>0.11</v>
      </c>
      <c r="G152" s="272">
        <v>0</v>
      </c>
      <c r="H152" s="272">
        <v>0</v>
      </c>
      <c r="I152" s="57">
        <f t="shared" si="5"/>
        <v>3.4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273">
        <v>80</v>
      </c>
      <c r="B153" s="269">
        <v>275</v>
      </c>
      <c r="C153" s="274">
        <v>14</v>
      </c>
      <c r="D153" s="269">
        <v>8</v>
      </c>
      <c r="E153" s="272">
        <v>0.88</v>
      </c>
      <c r="F153" s="272">
        <v>0.13</v>
      </c>
      <c r="G153" s="272">
        <v>0</v>
      </c>
      <c r="H153" s="272">
        <v>0</v>
      </c>
      <c r="I153" s="57">
        <f t="shared" si="5"/>
        <v>2.8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275"/>
      <c r="B154" s="276"/>
      <c r="C154" s="270"/>
      <c r="D154" s="270"/>
      <c r="E154" s="272"/>
      <c r="F154" s="272"/>
      <c r="G154" s="272"/>
      <c r="H154" s="272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26</v>
      </c>
      <c r="B162" s="52" t="str">
        <f>IF(B14="","",B14)</f>
        <v/>
      </c>
      <c r="D162" s="229" t="s">
        <v>45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46</v>
      </c>
      <c r="C164" s="284" t="s">
        <v>47</v>
      </c>
      <c r="D164" s="284"/>
      <c r="E164" s="285" t="s">
        <v>48</v>
      </c>
      <c r="F164" s="286"/>
      <c r="G164" s="286"/>
      <c r="H164" s="287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49</v>
      </c>
      <c r="B165" s="36" t="s">
        <v>50</v>
      </c>
      <c r="C165" s="48" t="s">
        <v>51</v>
      </c>
      <c r="D165" s="48" t="s">
        <v>52</v>
      </c>
      <c r="E165" s="36" t="s">
        <v>53</v>
      </c>
      <c r="F165" s="36" t="s">
        <v>54</v>
      </c>
      <c r="G165" s="36" t="s">
        <v>55</v>
      </c>
      <c r="H165" s="36" t="s">
        <v>56</v>
      </c>
      <c r="I165" s="48" t="s">
        <v>57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27</v>
      </c>
      <c r="B188" s="52" t="str">
        <f>IF(B15="","",B15)</f>
        <v/>
      </c>
      <c r="D188" s="229" t="s">
        <v>45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46</v>
      </c>
      <c r="C190" s="284" t="s">
        <v>47</v>
      </c>
      <c r="D190" s="284"/>
      <c r="E190" s="285" t="s">
        <v>48</v>
      </c>
      <c r="F190" s="286"/>
      <c r="G190" s="286"/>
      <c r="H190" s="287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49</v>
      </c>
      <c r="B191" s="36" t="s">
        <v>50</v>
      </c>
      <c r="C191" s="48" t="s">
        <v>51</v>
      </c>
      <c r="D191" s="48" t="s">
        <v>52</v>
      </c>
      <c r="E191" s="36" t="s">
        <v>53</v>
      </c>
      <c r="F191" s="36" t="s">
        <v>54</v>
      </c>
      <c r="G191" s="36" t="s">
        <v>55</v>
      </c>
      <c r="H191" s="36" t="s">
        <v>56</v>
      </c>
      <c r="I191" s="48" t="s">
        <v>57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28</v>
      </c>
      <c r="B214" s="52" t="str">
        <f>IF(B16="","",B16)</f>
        <v/>
      </c>
      <c r="D214" s="229" t="s">
        <v>45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46</v>
      </c>
      <c r="C216" s="284" t="s">
        <v>47</v>
      </c>
      <c r="D216" s="284"/>
      <c r="E216" s="285" t="s">
        <v>48</v>
      </c>
      <c r="F216" s="286"/>
      <c r="G216" s="286"/>
      <c r="H216" s="287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49</v>
      </c>
      <c r="B217" s="36" t="s">
        <v>50</v>
      </c>
      <c r="C217" s="48" t="s">
        <v>51</v>
      </c>
      <c r="D217" s="48" t="s">
        <v>52</v>
      </c>
      <c r="E217" s="36" t="s">
        <v>53</v>
      </c>
      <c r="F217" s="36" t="s">
        <v>54</v>
      </c>
      <c r="G217" s="36" t="s">
        <v>55</v>
      </c>
      <c r="H217" s="36" t="s">
        <v>56</v>
      </c>
      <c r="I217" s="48" t="s">
        <v>57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29</v>
      </c>
      <c r="B240" s="52" t="str">
        <f>IF(B17="","",B17)</f>
        <v/>
      </c>
      <c r="D240" s="229" t="s">
        <v>45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46</v>
      </c>
      <c r="C242" s="284" t="s">
        <v>47</v>
      </c>
      <c r="D242" s="284"/>
      <c r="E242" s="285" t="s">
        <v>48</v>
      </c>
      <c r="F242" s="286"/>
      <c r="G242" s="286"/>
      <c r="H242" s="287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49</v>
      </c>
      <c r="B243" s="36" t="s">
        <v>50</v>
      </c>
      <c r="C243" s="48" t="s">
        <v>51</v>
      </c>
      <c r="D243" s="48" t="s">
        <v>52</v>
      </c>
      <c r="E243" s="36" t="s">
        <v>53</v>
      </c>
      <c r="F243" s="36" t="s">
        <v>54</v>
      </c>
      <c r="G243" s="36" t="s">
        <v>55</v>
      </c>
      <c r="H243" s="36" t="s">
        <v>56</v>
      </c>
      <c r="I243" s="48" t="s">
        <v>57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30</v>
      </c>
      <c r="B266" s="52" t="str">
        <f>IF(B18="","",B18)</f>
        <v/>
      </c>
      <c r="D266" s="229" t="s">
        <v>45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46</v>
      </c>
      <c r="C268" s="284" t="s">
        <v>47</v>
      </c>
      <c r="D268" s="284"/>
      <c r="E268" s="285" t="s">
        <v>48</v>
      </c>
      <c r="F268" s="286"/>
      <c r="G268" s="286"/>
      <c r="H268" s="287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49</v>
      </c>
      <c r="B269" s="36" t="s">
        <v>50</v>
      </c>
      <c r="C269" s="48" t="s">
        <v>51</v>
      </c>
      <c r="D269" s="48" t="s">
        <v>52</v>
      </c>
      <c r="E269" s="36" t="s">
        <v>53</v>
      </c>
      <c r="F269" s="36" t="s">
        <v>54</v>
      </c>
      <c r="G269" s="36" t="s">
        <v>55</v>
      </c>
      <c r="H269" s="36" t="s">
        <v>56</v>
      </c>
      <c r="I269" s="48" t="s">
        <v>57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Normal="100" workbookViewId="0">
      <selection activeCell="C5" sqref="C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97" t="s">
        <v>59</v>
      </c>
      <c r="C2" s="298"/>
      <c r="D2" s="298"/>
      <c r="E2" s="298"/>
      <c r="F2" s="298"/>
      <c r="G2" s="299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96"/>
      <c r="C4" s="296"/>
      <c r="D4" s="296"/>
      <c r="E4" s="296"/>
      <c r="F4" s="296"/>
      <c r="G4" s="296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60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61</v>
      </c>
      <c r="C7" s="100" t="s">
        <v>62</v>
      </c>
      <c r="D7" s="215"/>
      <c r="E7" s="101"/>
      <c r="F7" s="26" t="s">
        <v>61</v>
      </c>
      <c r="G7" s="100" t="s">
        <v>63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64</v>
      </c>
      <c r="D8" s="23"/>
      <c r="E8" s="105">
        <v>4</v>
      </c>
      <c r="F8" s="61">
        <v>1</v>
      </c>
      <c r="G8" s="102" t="s">
        <v>65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66</v>
      </c>
      <c r="D9" s="23"/>
      <c r="E9" s="105">
        <v>5</v>
      </c>
      <c r="F9" s="61">
        <v>0</v>
      </c>
      <c r="G9" s="103" t="s">
        <v>67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68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69</v>
      </c>
      <c r="D13" s="216"/>
      <c r="E13" s="99"/>
      <c r="F13" s="107"/>
      <c r="G13" s="98" t="s">
        <v>70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71</v>
      </c>
      <c r="D14" s="216"/>
      <c r="E14" s="99"/>
      <c r="F14" s="107"/>
      <c r="G14" s="98" t="s">
        <v>72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61</v>
      </c>
      <c r="C15" s="4"/>
      <c r="D15" s="23"/>
      <c r="E15" s="4"/>
      <c r="F15" s="4"/>
      <c r="G15" s="2" t="s">
        <v>73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74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75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76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303" t="s">
        <v>77</v>
      </c>
      <c r="C1" s="304"/>
      <c r="D1" s="304"/>
      <c r="E1" s="304"/>
      <c r="F1" s="304"/>
      <c r="G1" s="304"/>
      <c r="H1" s="305"/>
      <c r="I1" s="300" t="str">
        <f>IF('Données projet'!$B$9="","",'Données projet'!$B$9)</f>
        <v>Douglas</v>
      </c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2"/>
      <c r="AD1" s="301" t="str">
        <f>IF('Données projet'!$B$10="","",'Données projet'!$B$10)</f>
        <v>Pin laricio</v>
      </c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1"/>
      <c r="AT1" s="301"/>
      <c r="AU1" s="301"/>
      <c r="AV1" s="301"/>
      <c r="AW1" s="301"/>
      <c r="AX1" s="302"/>
      <c r="AY1" s="300" t="str">
        <f>IF('Données projet'!$B$11="","",'Données projet'!$B$11)</f>
        <v>Pin noir d'Autriche</v>
      </c>
      <c r="AZ1" s="301"/>
      <c r="BA1" s="301"/>
      <c r="BB1" s="301"/>
      <c r="BC1" s="301"/>
      <c r="BD1" s="301"/>
      <c r="BE1" s="301"/>
      <c r="BF1" s="301"/>
      <c r="BG1" s="301"/>
      <c r="BH1" s="301"/>
      <c r="BI1" s="301"/>
      <c r="BJ1" s="301"/>
      <c r="BK1" s="301"/>
      <c r="BL1" s="301"/>
      <c r="BM1" s="301"/>
      <c r="BN1" s="301"/>
      <c r="BO1" s="301"/>
      <c r="BP1" s="301"/>
      <c r="BQ1" s="301"/>
      <c r="BR1" s="301"/>
      <c r="BS1" s="302"/>
      <c r="BT1" s="300" t="str">
        <f>IF('Données projet'!$B$12="","",'Données projet'!$B$12)</f>
        <v>Cèdre de l'Atlas</v>
      </c>
      <c r="BU1" s="301"/>
      <c r="BV1" s="301"/>
      <c r="BW1" s="301"/>
      <c r="BX1" s="301"/>
      <c r="BY1" s="301"/>
      <c r="BZ1" s="301"/>
      <c r="CA1" s="301"/>
      <c r="CB1" s="301"/>
      <c r="CC1" s="301"/>
      <c r="CD1" s="301"/>
      <c r="CE1" s="301"/>
      <c r="CF1" s="301"/>
      <c r="CG1" s="301"/>
      <c r="CH1" s="301"/>
      <c r="CI1" s="301"/>
      <c r="CJ1" s="301"/>
      <c r="CK1" s="301"/>
      <c r="CL1" s="301"/>
      <c r="CM1" s="301"/>
      <c r="CN1" s="302"/>
      <c r="CO1" s="300" t="str">
        <f>IF('Données projet'!$B$13="","",'Données projet'!$B$13)</f>
        <v>Châtaignier</v>
      </c>
      <c r="CP1" s="301"/>
      <c r="CQ1" s="301"/>
      <c r="CR1" s="301"/>
      <c r="CS1" s="301"/>
      <c r="CT1" s="301"/>
      <c r="CU1" s="301"/>
      <c r="CV1" s="301"/>
      <c r="CW1" s="301"/>
      <c r="CX1" s="301"/>
      <c r="CY1" s="301"/>
      <c r="CZ1" s="301"/>
      <c r="DA1" s="301"/>
      <c r="DB1" s="301"/>
      <c r="DC1" s="301"/>
      <c r="DD1" s="301"/>
      <c r="DE1" s="301"/>
      <c r="DF1" s="301"/>
      <c r="DG1" s="301"/>
      <c r="DH1" s="301"/>
      <c r="DI1" s="302"/>
      <c r="DJ1" s="300" t="str">
        <f>IF('Données projet'!$B$14="","",'Données projet'!$B$14)</f>
        <v/>
      </c>
      <c r="DK1" s="301"/>
      <c r="DL1" s="301"/>
      <c r="DM1" s="301"/>
      <c r="DN1" s="301"/>
      <c r="DO1" s="301"/>
      <c r="DP1" s="301"/>
      <c r="DQ1" s="301"/>
      <c r="DR1" s="301"/>
      <c r="DS1" s="301"/>
      <c r="DT1" s="301"/>
      <c r="DU1" s="301"/>
      <c r="DV1" s="301"/>
      <c r="DW1" s="301"/>
      <c r="DX1" s="301"/>
      <c r="DY1" s="301"/>
      <c r="DZ1" s="301"/>
      <c r="EA1" s="301"/>
      <c r="EB1" s="301"/>
      <c r="EC1" s="301"/>
      <c r="ED1" s="302"/>
      <c r="EE1" s="300" t="str">
        <f>IF('Données projet'!$B$15="","",'Données projet'!$B$15)</f>
        <v/>
      </c>
      <c r="EF1" s="301"/>
      <c r="EG1" s="301"/>
      <c r="EH1" s="301"/>
      <c r="EI1" s="301"/>
      <c r="EJ1" s="301"/>
      <c r="EK1" s="301"/>
      <c r="EL1" s="301"/>
      <c r="EM1" s="301"/>
      <c r="EN1" s="301"/>
      <c r="EO1" s="301"/>
      <c r="EP1" s="301"/>
      <c r="EQ1" s="301"/>
      <c r="ER1" s="301"/>
      <c r="ES1" s="301"/>
      <c r="ET1" s="301"/>
      <c r="EU1" s="301"/>
      <c r="EV1" s="301"/>
      <c r="EW1" s="301"/>
      <c r="EX1" s="301"/>
      <c r="EY1" s="302"/>
      <c r="EZ1" s="300" t="str">
        <f>IF('Données projet'!$B$16="","",'Données projet'!$B$16)</f>
        <v/>
      </c>
      <c r="FA1" s="301"/>
      <c r="FB1" s="301"/>
      <c r="FC1" s="301"/>
      <c r="FD1" s="301"/>
      <c r="FE1" s="301"/>
      <c r="FF1" s="301"/>
      <c r="FG1" s="301"/>
      <c r="FH1" s="301"/>
      <c r="FI1" s="301"/>
      <c r="FJ1" s="301"/>
      <c r="FK1" s="301"/>
      <c r="FL1" s="301"/>
      <c r="FM1" s="301"/>
      <c r="FN1" s="301"/>
      <c r="FO1" s="301"/>
      <c r="FP1" s="301"/>
      <c r="FQ1" s="301"/>
      <c r="FR1" s="301"/>
      <c r="FS1" s="301"/>
      <c r="FT1" s="302"/>
      <c r="FU1" s="300" t="str">
        <f>IF('Données projet'!$B$17="","",'Données projet'!$B$17)</f>
        <v/>
      </c>
      <c r="FV1" s="301"/>
      <c r="FW1" s="301"/>
      <c r="FX1" s="301"/>
      <c r="FY1" s="301"/>
      <c r="FZ1" s="301"/>
      <c r="GA1" s="301"/>
      <c r="GB1" s="301"/>
      <c r="GC1" s="301"/>
      <c r="GD1" s="301"/>
      <c r="GE1" s="301"/>
      <c r="GF1" s="301"/>
      <c r="GG1" s="301"/>
      <c r="GH1" s="301"/>
      <c r="GI1" s="301"/>
      <c r="GJ1" s="301"/>
      <c r="GK1" s="301"/>
      <c r="GL1" s="301"/>
      <c r="GM1" s="301"/>
      <c r="GN1" s="301"/>
      <c r="GO1" s="302"/>
      <c r="GP1" s="300" t="str">
        <f>IF('Données projet'!$B$18="","",'Données projet'!$B$18)</f>
        <v/>
      </c>
      <c r="GQ1" s="301"/>
      <c r="GR1" s="301"/>
      <c r="GS1" s="301"/>
      <c r="GT1" s="301"/>
      <c r="GU1" s="301"/>
      <c r="GV1" s="301"/>
      <c r="GW1" s="301"/>
      <c r="GX1" s="301"/>
      <c r="GY1" s="301"/>
      <c r="GZ1" s="301"/>
      <c r="HA1" s="301"/>
      <c r="HB1" s="301"/>
      <c r="HC1" s="301"/>
      <c r="HD1" s="301"/>
      <c r="HE1" s="301"/>
      <c r="HF1" s="301"/>
      <c r="HG1" s="301"/>
      <c r="HH1" s="301"/>
      <c r="HI1" s="301"/>
      <c r="HJ1" s="302"/>
    </row>
    <row r="2" spans="1:218" ht="75.75" thickBot="1" x14ac:dyDescent="0.3">
      <c r="A2" s="71" t="s">
        <v>78</v>
      </c>
      <c r="B2" s="72" t="s">
        <v>79</v>
      </c>
      <c r="C2" s="5" t="s">
        <v>80</v>
      </c>
      <c r="D2" s="5" t="s">
        <v>81</v>
      </c>
      <c r="E2" s="5" t="s">
        <v>82</v>
      </c>
      <c r="F2" s="5" t="s">
        <v>83</v>
      </c>
      <c r="G2" s="5" t="s">
        <v>84</v>
      </c>
      <c r="H2" s="66" t="s">
        <v>85</v>
      </c>
      <c r="I2" s="68" t="s">
        <v>82</v>
      </c>
      <c r="J2" s="69" t="s">
        <v>83</v>
      </c>
      <c r="K2" s="6" t="s">
        <v>86</v>
      </c>
      <c r="L2" s="6" t="s">
        <v>87</v>
      </c>
      <c r="M2" s="6" t="s">
        <v>87</v>
      </c>
      <c r="N2" s="6" t="s">
        <v>88</v>
      </c>
      <c r="O2" s="6" t="s">
        <v>89</v>
      </c>
      <c r="P2" s="6" t="s">
        <v>90</v>
      </c>
      <c r="Q2" s="6" t="s">
        <v>84</v>
      </c>
      <c r="R2" s="6" t="s">
        <v>91</v>
      </c>
      <c r="S2" s="6" t="s">
        <v>92</v>
      </c>
      <c r="T2" s="6" t="s">
        <v>93</v>
      </c>
      <c r="U2" s="7" t="s">
        <v>94</v>
      </c>
      <c r="V2" s="8" t="s">
        <v>95</v>
      </c>
      <c r="W2" s="7" t="s">
        <v>53</v>
      </c>
      <c r="X2" s="7" t="s">
        <v>54</v>
      </c>
      <c r="Y2" s="7" t="s">
        <v>96</v>
      </c>
      <c r="Z2" s="8" t="s">
        <v>97</v>
      </c>
      <c r="AA2" s="8" t="s">
        <v>98</v>
      </c>
      <c r="AB2" s="8" t="s">
        <v>99</v>
      </c>
      <c r="AC2" s="9" t="s">
        <v>100</v>
      </c>
      <c r="AD2" s="69" t="s">
        <v>82</v>
      </c>
      <c r="AE2" s="69" t="s">
        <v>83</v>
      </c>
      <c r="AF2" s="6" t="s">
        <v>86</v>
      </c>
      <c r="AG2" s="6" t="s">
        <v>87</v>
      </c>
      <c r="AH2" s="6" t="s">
        <v>87</v>
      </c>
      <c r="AI2" s="6" t="s">
        <v>88</v>
      </c>
      <c r="AJ2" s="6" t="s">
        <v>89</v>
      </c>
      <c r="AK2" s="6" t="s">
        <v>90</v>
      </c>
      <c r="AL2" s="6" t="s">
        <v>84</v>
      </c>
      <c r="AM2" s="6" t="s">
        <v>91</v>
      </c>
      <c r="AN2" s="6" t="s">
        <v>92</v>
      </c>
      <c r="AO2" s="6" t="s">
        <v>93</v>
      </c>
      <c r="AP2" s="7" t="s">
        <v>94</v>
      </c>
      <c r="AQ2" s="8" t="s">
        <v>95</v>
      </c>
      <c r="AR2" s="7" t="s">
        <v>53</v>
      </c>
      <c r="AS2" s="7" t="s">
        <v>54</v>
      </c>
      <c r="AT2" s="8" t="s">
        <v>101</v>
      </c>
      <c r="AU2" s="8" t="s">
        <v>97</v>
      </c>
      <c r="AV2" s="8" t="s">
        <v>98</v>
      </c>
      <c r="AW2" s="8" t="s">
        <v>99</v>
      </c>
      <c r="AX2" s="8" t="s">
        <v>100</v>
      </c>
      <c r="AY2" s="68" t="s">
        <v>82</v>
      </c>
      <c r="AZ2" s="69" t="s">
        <v>83</v>
      </c>
      <c r="BA2" s="6" t="s">
        <v>86</v>
      </c>
      <c r="BB2" s="6" t="s">
        <v>87</v>
      </c>
      <c r="BC2" s="6" t="s">
        <v>87</v>
      </c>
      <c r="BD2" s="6" t="s">
        <v>88</v>
      </c>
      <c r="BE2" s="6" t="s">
        <v>89</v>
      </c>
      <c r="BF2" s="6" t="s">
        <v>90</v>
      </c>
      <c r="BG2" s="6" t="s">
        <v>84</v>
      </c>
      <c r="BH2" s="6" t="s">
        <v>91</v>
      </c>
      <c r="BI2" s="6" t="s">
        <v>92</v>
      </c>
      <c r="BJ2" s="6" t="s">
        <v>93</v>
      </c>
      <c r="BK2" s="7" t="s">
        <v>94</v>
      </c>
      <c r="BL2" s="8" t="s">
        <v>95</v>
      </c>
      <c r="BM2" s="7" t="s">
        <v>53</v>
      </c>
      <c r="BN2" s="7" t="s">
        <v>54</v>
      </c>
      <c r="BO2" s="8" t="s">
        <v>101</v>
      </c>
      <c r="BP2" s="8" t="s">
        <v>97</v>
      </c>
      <c r="BQ2" s="8" t="s">
        <v>98</v>
      </c>
      <c r="BR2" s="8" t="s">
        <v>99</v>
      </c>
      <c r="BS2" s="9" t="s">
        <v>100</v>
      </c>
      <c r="BT2" s="68" t="s">
        <v>82</v>
      </c>
      <c r="BU2" s="69" t="s">
        <v>83</v>
      </c>
      <c r="BV2" s="6" t="s">
        <v>86</v>
      </c>
      <c r="BW2" s="6" t="s">
        <v>87</v>
      </c>
      <c r="BX2" s="6" t="s">
        <v>87</v>
      </c>
      <c r="BY2" s="6" t="s">
        <v>88</v>
      </c>
      <c r="BZ2" s="6" t="s">
        <v>89</v>
      </c>
      <c r="CA2" s="6" t="s">
        <v>90</v>
      </c>
      <c r="CB2" s="6" t="s">
        <v>84</v>
      </c>
      <c r="CC2" s="6" t="s">
        <v>91</v>
      </c>
      <c r="CD2" s="6" t="s">
        <v>92</v>
      </c>
      <c r="CE2" s="6" t="s">
        <v>93</v>
      </c>
      <c r="CF2" s="7" t="s">
        <v>94</v>
      </c>
      <c r="CG2" s="8" t="s">
        <v>95</v>
      </c>
      <c r="CH2" s="7" t="s">
        <v>53</v>
      </c>
      <c r="CI2" s="7" t="s">
        <v>54</v>
      </c>
      <c r="CJ2" s="8" t="s">
        <v>101</v>
      </c>
      <c r="CK2" s="8" t="s">
        <v>97</v>
      </c>
      <c r="CL2" s="8" t="s">
        <v>98</v>
      </c>
      <c r="CM2" s="8" t="s">
        <v>99</v>
      </c>
      <c r="CN2" s="9" t="s">
        <v>100</v>
      </c>
      <c r="CO2" s="68" t="s">
        <v>82</v>
      </c>
      <c r="CP2" s="69" t="s">
        <v>83</v>
      </c>
      <c r="CQ2" s="6" t="s">
        <v>86</v>
      </c>
      <c r="CR2" s="6" t="s">
        <v>87</v>
      </c>
      <c r="CS2" s="6" t="s">
        <v>87</v>
      </c>
      <c r="CT2" s="6" t="s">
        <v>88</v>
      </c>
      <c r="CU2" s="6" t="s">
        <v>89</v>
      </c>
      <c r="CV2" s="6" t="s">
        <v>90</v>
      </c>
      <c r="CW2" s="6" t="s">
        <v>84</v>
      </c>
      <c r="CX2" s="6" t="s">
        <v>91</v>
      </c>
      <c r="CY2" s="6" t="s">
        <v>92</v>
      </c>
      <c r="CZ2" s="6" t="s">
        <v>93</v>
      </c>
      <c r="DA2" s="7" t="s">
        <v>94</v>
      </c>
      <c r="DB2" s="8" t="s">
        <v>95</v>
      </c>
      <c r="DC2" s="7" t="s">
        <v>53</v>
      </c>
      <c r="DD2" s="7" t="s">
        <v>54</v>
      </c>
      <c r="DE2" s="8" t="s">
        <v>101</v>
      </c>
      <c r="DF2" s="8" t="s">
        <v>97</v>
      </c>
      <c r="DG2" s="8" t="s">
        <v>98</v>
      </c>
      <c r="DH2" s="8" t="s">
        <v>99</v>
      </c>
      <c r="DI2" s="9" t="s">
        <v>100</v>
      </c>
      <c r="DJ2" s="68" t="s">
        <v>82</v>
      </c>
      <c r="DK2" s="69" t="s">
        <v>83</v>
      </c>
      <c r="DL2" s="6" t="s">
        <v>86</v>
      </c>
      <c r="DM2" s="6" t="s">
        <v>87</v>
      </c>
      <c r="DN2" s="6" t="s">
        <v>87</v>
      </c>
      <c r="DO2" s="6" t="s">
        <v>88</v>
      </c>
      <c r="DP2" s="6" t="s">
        <v>89</v>
      </c>
      <c r="DQ2" s="6" t="s">
        <v>90</v>
      </c>
      <c r="DR2" s="6" t="s">
        <v>84</v>
      </c>
      <c r="DS2" s="6" t="s">
        <v>91</v>
      </c>
      <c r="DT2" s="6" t="s">
        <v>92</v>
      </c>
      <c r="DU2" s="6" t="s">
        <v>93</v>
      </c>
      <c r="DV2" s="7" t="s">
        <v>94</v>
      </c>
      <c r="DW2" s="8" t="s">
        <v>95</v>
      </c>
      <c r="DX2" s="7" t="s">
        <v>53</v>
      </c>
      <c r="DY2" s="7" t="s">
        <v>54</v>
      </c>
      <c r="DZ2" s="8" t="s">
        <v>101</v>
      </c>
      <c r="EA2" s="8" t="s">
        <v>97</v>
      </c>
      <c r="EB2" s="8" t="s">
        <v>98</v>
      </c>
      <c r="EC2" s="8" t="s">
        <v>99</v>
      </c>
      <c r="ED2" s="9" t="s">
        <v>100</v>
      </c>
      <c r="EE2" s="68" t="s">
        <v>82</v>
      </c>
      <c r="EF2" s="69" t="s">
        <v>83</v>
      </c>
      <c r="EG2" s="6" t="s">
        <v>86</v>
      </c>
      <c r="EH2" s="6" t="s">
        <v>87</v>
      </c>
      <c r="EI2" s="6" t="s">
        <v>87</v>
      </c>
      <c r="EJ2" s="6" t="s">
        <v>88</v>
      </c>
      <c r="EK2" s="6" t="s">
        <v>89</v>
      </c>
      <c r="EL2" s="6" t="s">
        <v>90</v>
      </c>
      <c r="EM2" s="6" t="s">
        <v>84</v>
      </c>
      <c r="EN2" s="6" t="s">
        <v>91</v>
      </c>
      <c r="EO2" s="6" t="s">
        <v>92</v>
      </c>
      <c r="EP2" s="6" t="s">
        <v>93</v>
      </c>
      <c r="EQ2" s="7" t="s">
        <v>94</v>
      </c>
      <c r="ER2" s="8" t="s">
        <v>95</v>
      </c>
      <c r="ES2" s="7" t="s">
        <v>53</v>
      </c>
      <c r="ET2" s="7" t="s">
        <v>54</v>
      </c>
      <c r="EU2" s="8" t="s">
        <v>101</v>
      </c>
      <c r="EV2" s="8" t="s">
        <v>97</v>
      </c>
      <c r="EW2" s="8" t="s">
        <v>98</v>
      </c>
      <c r="EX2" s="8" t="s">
        <v>99</v>
      </c>
      <c r="EY2" s="9" t="s">
        <v>100</v>
      </c>
      <c r="EZ2" s="68" t="s">
        <v>82</v>
      </c>
      <c r="FA2" s="69" t="s">
        <v>83</v>
      </c>
      <c r="FB2" s="6" t="s">
        <v>86</v>
      </c>
      <c r="FC2" s="6" t="s">
        <v>87</v>
      </c>
      <c r="FD2" s="6" t="s">
        <v>87</v>
      </c>
      <c r="FE2" s="6" t="s">
        <v>88</v>
      </c>
      <c r="FF2" s="6" t="s">
        <v>89</v>
      </c>
      <c r="FG2" s="6" t="s">
        <v>90</v>
      </c>
      <c r="FH2" s="6" t="s">
        <v>84</v>
      </c>
      <c r="FI2" s="6" t="s">
        <v>91</v>
      </c>
      <c r="FJ2" s="6" t="s">
        <v>92</v>
      </c>
      <c r="FK2" s="6" t="s">
        <v>93</v>
      </c>
      <c r="FL2" s="7" t="s">
        <v>94</v>
      </c>
      <c r="FM2" s="8" t="s">
        <v>95</v>
      </c>
      <c r="FN2" s="7" t="s">
        <v>53</v>
      </c>
      <c r="FO2" s="7" t="s">
        <v>54</v>
      </c>
      <c r="FP2" s="8" t="s">
        <v>102</v>
      </c>
      <c r="FQ2" s="8" t="s">
        <v>97</v>
      </c>
      <c r="FR2" s="8" t="s">
        <v>98</v>
      </c>
      <c r="FS2" s="8" t="s">
        <v>99</v>
      </c>
      <c r="FT2" s="9" t="s">
        <v>100</v>
      </c>
      <c r="FU2" s="68" t="s">
        <v>82</v>
      </c>
      <c r="FV2" s="69" t="s">
        <v>83</v>
      </c>
      <c r="FW2" s="6" t="s">
        <v>86</v>
      </c>
      <c r="FX2" s="6" t="s">
        <v>87</v>
      </c>
      <c r="FY2" s="6" t="s">
        <v>87</v>
      </c>
      <c r="FZ2" s="6" t="s">
        <v>88</v>
      </c>
      <c r="GA2" s="6" t="s">
        <v>89</v>
      </c>
      <c r="GB2" s="6" t="s">
        <v>90</v>
      </c>
      <c r="GC2" s="6" t="s">
        <v>84</v>
      </c>
      <c r="GD2" s="6" t="s">
        <v>91</v>
      </c>
      <c r="GE2" s="6" t="s">
        <v>92</v>
      </c>
      <c r="GF2" s="6" t="s">
        <v>93</v>
      </c>
      <c r="GG2" s="7" t="s">
        <v>94</v>
      </c>
      <c r="GH2" s="8" t="s">
        <v>95</v>
      </c>
      <c r="GI2" s="7" t="s">
        <v>53</v>
      </c>
      <c r="GJ2" s="7" t="s">
        <v>54</v>
      </c>
      <c r="GK2" s="8" t="s">
        <v>101</v>
      </c>
      <c r="GL2" s="8" t="s">
        <v>97</v>
      </c>
      <c r="GM2" s="8" t="s">
        <v>98</v>
      </c>
      <c r="GN2" s="8" t="s">
        <v>99</v>
      </c>
      <c r="GO2" s="8" t="s">
        <v>100</v>
      </c>
      <c r="GP2" s="68" t="s">
        <v>82</v>
      </c>
      <c r="GQ2" s="69" t="s">
        <v>83</v>
      </c>
      <c r="GR2" s="6" t="s">
        <v>86</v>
      </c>
      <c r="GS2" s="6" t="s">
        <v>87</v>
      </c>
      <c r="GT2" s="6" t="s">
        <v>87</v>
      </c>
      <c r="GU2" s="6" t="s">
        <v>88</v>
      </c>
      <c r="GV2" s="6" t="s">
        <v>89</v>
      </c>
      <c r="GW2" s="6" t="s">
        <v>90</v>
      </c>
      <c r="GX2" s="6" t="s">
        <v>84</v>
      </c>
      <c r="GY2" s="6" t="s">
        <v>91</v>
      </c>
      <c r="GZ2" s="6" t="s">
        <v>92</v>
      </c>
      <c r="HA2" s="6" t="s">
        <v>93</v>
      </c>
      <c r="HB2" s="7" t="s">
        <v>94</v>
      </c>
      <c r="HC2" s="8" t="s">
        <v>95</v>
      </c>
      <c r="HD2" s="7" t="s">
        <v>53</v>
      </c>
      <c r="HE2" s="7" t="s">
        <v>54</v>
      </c>
      <c r="HF2" s="8" t="s">
        <v>101</v>
      </c>
      <c r="HG2" s="8" t="s">
        <v>97</v>
      </c>
      <c r="HH2" s="8" t="s">
        <v>98</v>
      </c>
      <c r="HI2" s="8" t="s">
        <v>99</v>
      </c>
      <c r="HJ2" s="9" t="s">
        <v>100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274.57619581652199</v>
      </c>
      <c r="T3" s="59">
        <f>IF('Données projet'!E9&gt;30,$R$33-$H$33,LOOKUP('Données projet'!$E$9,$A$3:$A$203,R3:R203)-LOOKUP('Données projet'!$E$9,$A$3:$A$203,$H$3:$H$203))</f>
        <v>366.15117322598775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278.21846622758881</v>
      </c>
      <c r="AO3" s="59">
        <f>IF('Données projet'!E10&gt;30,$AM$33-$H$33,LOOKUP('Données projet'!$E$10,$A$3:$A$203,AM3:AM203)-LOOKUP('Données projet'!$E$10,$A$3:$A$203,$H$3:$H$203))</f>
        <v>245.37578316242906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187.18641061466138</v>
      </c>
      <c r="BJ3" s="59">
        <f>IF('Données projet'!E11&gt;30,$BH$33-$H$33,LOOKUP('Données projet'!$E$11,$A$3:$A$203,BH3:BH203)-LOOKUP('Données projet'!$E$11,$A$3:$A$203,$H$3:$H$203))</f>
        <v>143.07246221325369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198.17898804494365</v>
      </c>
      <c r="CE3" s="59">
        <f>IF('Données projet'!E12&gt;30,$CC$33-$H$33,LOOKUP('Données projet'!$E$12,$A$3:$A$203,CC3:CC203)-LOOKUP('Données projet'!$E$12,$A$3:$A$203,$H$3:$H$203))</f>
        <v>186.24772922797723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198.78436129430389</v>
      </c>
      <c r="CZ3" s="59">
        <f>IF('Données projet'!E13&gt;30,$CX$33-$H$33,LOOKUP('Données projet'!$E$13,$A$3:$A$203,CX3:CX203)-LOOKUP('Données projet'!$E$13,$A$3:$A$203,$H$3:$H$203))</f>
        <v>198.28846462484438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274.57619581652199</v>
      </c>
      <c r="T4" s="59">
        <f>$T$3</f>
        <v>366.15117322598775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295.31642317474365</v>
      </c>
      <c r="AN4" s="59">
        <f ca="1">AVERAGE(OFFSET($AM$3,0,0,'Données projet'!$E$10+1,1))-AVERAGE(OFFSET($H$3,0,0,'Données projet'!$E$10+1,1))</f>
        <v>278.21846622758881</v>
      </c>
      <c r="AO4" s="59">
        <f>$AO$3</f>
        <v>245.37578316242906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4.5417948717948722</v>
      </c>
      <c r="BD4" s="12">
        <f>IF('Données projet'!$A$88&gt;35,BD3+BC4-BL3,IF(A4&lt;'Données projet'!$A$88,$BA$205^A4,IF(A4='Données projet'!$A$88,'Données projet'!$B$88,BD3+BC4-BL3)))</f>
        <v>1.1779991009866786</v>
      </c>
      <c r="BE4" s="13">
        <f>BD4*VLOOKUP('Données projet'!$B$11,Paramètres!$A$1:$I$89,3,0)*VLOOKUP('Données projet'!$B$11,Paramètres!$A$1:$I$89,5,0)</f>
        <v>0.70444346239003375</v>
      </c>
      <c r="BF4" s="13">
        <f>EXP(-1.0587+0.8836*LN(BE4)+0.284)</f>
        <v>0.3381496302045961</v>
      </c>
      <c r="BG4" s="20">
        <f t="shared" ref="BG4:BG67" si="7">(BE4+BF4)*0.475*44/12</f>
        <v>1.8158496362689804</v>
      </c>
      <c r="BH4" s="59">
        <f t="shared" ref="BH4:BH67" si="8">BG4+(AY4+AZ4)*44/12</f>
        <v>295.14918296960229</v>
      </c>
      <c r="BI4" s="59">
        <f ca="1">AVERAGE(OFFSET($BH$3,0,0,'Données projet'!$E$11+1,1))-AVERAGE(OFFSET($H$3,0,0,'Données projet'!$E$11+1,1))</f>
        <v>187.18641061466138</v>
      </c>
      <c r="BJ4" s="59">
        <f>$BJ$3</f>
        <v>143.07246221325369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7.2264102564102561</v>
      </c>
      <c r="BY4" s="12">
        <f>IF('Données projet'!$A$114&gt;35,BY3+BX4-CG3,IF(A4&lt;'Données projet'!$A$114,$BV$205^A4,IF(A4='Données projet'!$A$114,'Données projet'!$B$114,BY3+BX4-CG3)))</f>
        <v>1.1963772029987372</v>
      </c>
      <c r="BZ4" s="13">
        <f>BY4*VLOOKUP('Données projet'!$B$12,Paramètres!$A$1:$I$89,3,0)*VLOOKUP('Données projet'!$B$12,Paramètres!$A$1:$I$89,5,0)</f>
        <v>0.55990453100340898</v>
      </c>
      <c r="CA4" s="13">
        <f>EXP(-1.0587+0.8836*LN(BZ4)+0.284)</f>
        <v>0.2760486193577778</v>
      </c>
      <c r="CB4" s="20">
        <f t="shared" ref="CB4:CB67" si="10">(BZ4+CA4)*0.475*44/12</f>
        <v>1.4559517368790669</v>
      </c>
      <c r="CC4" s="59">
        <f t="shared" ref="CC4:CC67" si="11">CB4+(BT4+BU4)*44/12</f>
        <v>294.78928507021237</v>
      </c>
      <c r="CD4" s="59">
        <f ca="1">AVERAGE(OFFSET($CC$3,0,0,'Données projet'!$E$12+1,1))-AVERAGE(OFFSET($H$3,0,0,'Données projet'!$E$12+1,1))</f>
        <v>198.17898804494365</v>
      </c>
      <c r="CE4" s="59">
        <f>$CE$3</f>
        <v>186.24772922797723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2.4666666666666668</v>
      </c>
      <c r="CT4" s="12">
        <f>IF('Données projet'!$A$140&gt;35,CT3+CS4-DB3,IF(A4&lt;'Données projet'!$A$140,$CQ$205^A4,IF(A4='Données projet'!$A$140,'Données projet'!$B$140,CT3+CS4-DB3)))</f>
        <v>1.2721747796233518</v>
      </c>
      <c r="CU4" s="17">
        <f>CT4*VLOOKUP('Données projet'!$B$13,Paramètres!$A$1:$I$89,3,0)*VLOOKUP('Données projet'!$B$13,Paramètres!$A$1:$I$89,5,0)</f>
        <v>0.9327585484198414</v>
      </c>
      <c r="CV4" s="13">
        <f>EXP(-1.0587+0.8836*LN(CU4)+0.284)</f>
        <v>0.43335135961225768</v>
      </c>
      <c r="CW4" s="20">
        <f t="shared" ref="CW4:CW67" si="13">(CU4+CV4)*0.475*44/12</f>
        <v>2.3793080898225729</v>
      </c>
      <c r="CX4" s="59">
        <f t="shared" ref="CX4:CX67" si="14">CW4+(CO4+CP4)*44/12</f>
        <v>295.7126414231559</v>
      </c>
      <c r="CY4" s="59">
        <f ca="1">AVERAGE(OFFSET($CX$3,0,0,'Données projet'!$E$13+1,1))-AVERAGE(OFFSET($H$3,0,0,'Données projet'!$E$13+1,1))</f>
        <v>198.78436129430389</v>
      </c>
      <c r="CZ4" s="59">
        <f>$CZ$3</f>
        <v>198.28846462484438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274.57619581652199</v>
      </c>
      <c r="T5" s="59">
        <f t="shared" ref="T5:T68" si="34">$T$3</f>
        <v>366.15117322598775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295.8692231276803</v>
      </c>
      <c r="AN5" s="59">
        <f ca="1">AVERAGE(OFFSET($AM$3,0,0,'Données projet'!$E$10+1,1))-AVERAGE(OFFSET($H$3,0,0,'Données projet'!$E$10+1,1))</f>
        <v>278.21846622758881</v>
      </c>
      <c r="AO5" s="59">
        <f t="shared" ref="AO5:AO68" si="36">$AO$3</f>
        <v>245.37578316242906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4.5417948717948722</v>
      </c>
      <c r="BD5" s="12">
        <f>IF('Données projet'!$A$88&gt;35,BD4+BC5-BL4,IF(A5&lt;'Données projet'!$A$88,$BA$205^A5,IF(A5='Données projet'!$A$88,'Données projet'!$B$88,BD4+BC5-BL4)))</f>
        <v>1.3876818819254231</v>
      </c>
      <c r="BE5" s="13">
        <f>BD5*VLOOKUP('Données projet'!$B$11,Paramètres!$A$1:$I$89,3,0)*VLOOKUP('Données projet'!$B$11,Paramètres!$A$1:$I$89,5,0)</f>
        <v>0.82983376539140297</v>
      </c>
      <c r="BF5" s="13">
        <f t="shared" ref="BF5:BF68" si="37">EXP(-1.0587+0.8836*LN(BE5)+0.284)</f>
        <v>0.39081624043784552</v>
      </c>
      <c r="BG5" s="20">
        <f t="shared" si="7"/>
        <v>2.1259654268192745</v>
      </c>
      <c r="BH5" s="59">
        <f t="shared" si="8"/>
        <v>295.45929876015259</v>
      </c>
      <c r="BI5" s="59">
        <f ca="1">AVERAGE(OFFSET($BH$3,0,0,'Données projet'!$E$11+1,1))-AVERAGE(OFFSET($H$3,0,0,'Données projet'!$E$11+1,1))</f>
        <v>187.18641061466138</v>
      </c>
      <c r="BJ5" s="59">
        <f t="shared" ref="BJ5:BJ68" si="38">$BJ$3</f>
        <v>143.07246221325369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7.2264102564102561</v>
      </c>
      <c r="BY5" s="12">
        <f>IF('Données projet'!$A$114&gt;35,BY4+BX5-CG4,IF(A5&lt;'Données projet'!$A$114,$BV$205^A5,IF(A5='Données projet'!$A$114,'Données projet'!$B$114,BY4+BX5-CG4)))</f>
        <v>1.4313184118550817</v>
      </c>
      <c r="BZ5" s="13">
        <f>BY5*VLOOKUP('Données projet'!$B$12,Paramètres!$A$1:$I$89,3,0)*VLOOKUP('Données projet'!$B$12,Paramètres!$A$1:$I$89,5,0)</f>
        <v>0.66985701674817832</v>
      </c>
      <c r="CA5" s="13">
        <f t="shared" ref="CA5:CA68" si="39">EXP(-1.0587+0.8836*LN(BZ5)+0.284)</f>
        <v>0.32343711768198868</v>
      </c>
      <c r="CB5" s="20">
        <f t="shared" si="10"/>
        <v>1.729987284132541</v>
      </c>
      <c r="CC5" s="59">
        <f t="shared" si="11"/>
        <v>295.06332061746588</v>
      </c>
      <c r="CD5" s="59">
        <f ca="1">AVERAGE(OFFSET($CC$3,0,0,'Données projet'!$E$12+1,1))-AVERAGE(OFFSET($H$3,0,0,'Données projet'!$E$12+1,1))</f>
        <v>198.17898804494365</v>
      </c>
      <c r="CE5" s="59">
        <f t="shared" ref="CE5:CE68" si="40">$CE$3</f>
        <v>186.24772922797723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2.4666666666666668</v>
      </c>
      <c r="CT5" s="12">
        <f>IF('Données projet'!$A$140&gt;35,CT4+CS5-DB4,IF(A5&lt;'Données projet'!$A$140,$CQ$205^A5,IF(A5='Données projet'!$A$140,'Données projet'!$B$140,CT4+CS5-DB4)))</f>
        <v>1.6184286699097237</v>
      </c>
      <c r="CU5" s="17">
        <f>CT5*VLOOKUP('Données projet'!$B$13,Paramètres!$A$1:$I$89,3,0)*VLOOKUP('Données projet'!$B$13,Paramètres!$A$1:$I$89,5,0)</f>
        <v>1.1866319007778094</v>
      </c>
      <c r="CV5" s="13">
        <f t="shared" ref="CV5:CV68" si="41">EXP(-1.0587+0.8836*LN(CU5)+0.284)</f>
        <v>0.53606530474621483</v>
      </c>
      <c r="CW5" s="20">
        <f t="shared" si="13"/>
        <v>3.0003642996210083</v>
      </c>
      <c r="CX5" s="59">
        <f t="shared" si="14"/>
        <v>296.33369763295434</v>
      </c>
      <c r="CY5" s="59">
        <f ca="1">AVERAGE(OFFSET($CX$3,0,0,'Données projet'!$E$13+1,1))-AVERAGE(OFFSET($H$3,0,0,'Données projet'!$E$13+1,1))</f>
        <v>198.78436129430389</v>
      </c>
      <c r="CZ5" s="59">
        <f t="shared" ref="CZ5:CZ68" si="42">$CZ$3</f>
        <v>198.28846462484438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274.57619581652199</v>
      </c>
      <c r="T6" s="59">
        <f t="shared" si="34"/>
        <v>366.15117322598775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296.57673872359732</v>
      </c>
      <c r="AN6" s="59">
        <f ca="1">AVERAGE(OFFSET($AM$3,0,0,'Données projet'!$E$10+1,1))-AVERAGE(OFFSET($H$3,0,0,'Données projet'!$E$10+1,1))</f>
        <v>278.21846622758881</v>
      </c>
      <c r="AO6" s="59">
        <f t="shared" si="36"/>
        <v>245.37578316242906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4.5417948717948722</v>
      </c>
      <c r="BD6" s="12">
        <f>IF('Données projet'!$A$88&gt;35,BD5+BC6-BL5,IF(A6&lt;'Données projet'!$A$88,$BA$205^A6,IF(A6='Données projet'!$A$88,'Données projet'!$B$88,BD5+BC6-BL5)))</f>
        <v>1.6346880093636507</v>
      </c>
      <c r="BE6" s="13">
        <f>BD6*VLOOKUP('Données projet'!$B$11,Paramètres!$A$1:$I$89,3,0)*VLOOKUP('Données projet'!$B$11,Paramètres!$A$1:$I$89,5,0)</f>
        <v>0.97754342959946317</v>
      </c>
      <c r="BF6" s="13">
        <f t="shared" si="37"/>
        <v>0.45168564489500912</v>
      </c>
      <c r="BG6" s="20">
        <f t="shared" si="7"/>
        <v>2.4892406380778724</v>
      </c>
      <c r="BH6" s="59">
        <f t="shared" si="8"/>
        <v>295.8225739714112</v>
      </c>
      <c r="BI6" s="59">
        <f ca="1">AVERAGE(OFFSET($BH$3,0,0,'Données projet'!$E$11+1,1))-AVERAGE(OFFSET($H$3,0,0,'Données projet'!$E$11+1,1))</f>
        <v>187.18641061466138</v>
      </c>
      <c r="BJ6" s="59">
        <f t="shared" si="38"/>
        <v>143.07246221325369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7.2264102564102561</v>
      </c>
      <c r="BY6" s="12">
        <f>IF('Données projet'!$A$114&gt;35,BY5+BX6-CG5,IF(A6&lt;'Données projet'!$A$114,$BV$205^A6,IF(A6='Données projet'!$A$114,'Données projet'!$B$114,BY5+BX6-CG5)))</f>
        <v>1.7123967181757771</v>
      </c>
      <c r="BZ6" s="13">
        <f>BY6*VLOOKUP('Données projet'!$B$12,Paramètres!$A$1:$I$89,3,0)*VLOOKUP('Données projet'!$B$12,Paramètres!$A$1:$I$89,5,0)</f>
        <v>0.80140166410626379</v>
      </c>
      <c r="CA6" s="13">
        <f t="shared" si="39"/>
        <v>0.37896066764546593</v>
      </c>
      <c r="CB6" s="20">
        <f t="shared" si="10"/>
        <v>2.0557977278009294</v>
      </c>
      <c r="CC6" s="59">
        <f t="shared" si="11"/>
        <v>295.38913106113426</v>
      </c>
      <c r="CD6" s="59">
        <f ca="1">AVERAGE(OFFSET($CC$3,0,0,'Données projet'!$E$12+1,1))-AVERAGE(OFFSET($H$3,0,0,'Données projet'!$E$12+1,1))</f>
        <v>198.17898804494365</v>
      </c>
      <c r="CE6" s="59">
        <f t="shared" si="40"/>
        <v>186.24772922797723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2.4666666666666668</v>
      </c>
      <c r="CT6" s="12">
        <f>IF('Données projet'!$A$140&gt;35,CT5+CS6-DB5,IF(A6&lt;'Données projet'!$A$140,$CQ$205^A6,IF(A6='Données projet'!$A$140,'Données projet'!$B$140,CT5+CS6-DB5)))</f>
        <v>2.0589241364785171</v>
      </c>
      <c r="CU6" s="17">
        <f>CT6*VLOOKUP('Données projet'!$B$13,Paramètres!$A$1:$I$89,3,0)*VLOOKUP('Données projet'!$B$13,Paramètres!$A$1:$I$89,5,0)</f>
        <v>1.5096031768660487</v>
      </c>
      <c r="CV6" s="13">
        <f t="shared" si="41"/>
        <v>0.66312474757151718</v>
      </c>
      <c r="CW6" s="20">
        <f t="shared" si="13"/>
        <v>3.7841678017287599</v>
      </c>
      <c r="CX6" s="59">
        <f t="shared" si="14"/>
        <v>297.11750113506207</v>
      </c>
      <c r="CY6" s="59">
        <f ca="1">AVERAGE(OFFSET($CX$3,0,0,'Données projet'!$E$13+1,1))-AVERAGE(OFFSET($H$3,0,0,'Données projet'!$E$13+1,1))</f>
        <v>198.78436129430389</v>
      </c>
      <c r="CZ6" s="59">
        <f t="shared" si="42"/>
        <v>198.28846462484438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274.57619581652199</v>
      </c>
      <c r="T7" s="59">
        <f t="shared" si="34"/>
        <v>366.15117322598775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297.48243470102432</v>
      </c>
      <c r="AN7" s="59">
        <f ca="1">AVERAGE(OFFSET($AM$3,0,0,'Données projet'!$E$10+1,1))-AVERAGE(OFFSET($H$3,0,0,'Données projet'!$E$10+1,1))</f>
        <v>278.21846622758881</v>
      </c>
      <c r="AO7" s="59">
        <f t="shared" si="36"/>
        <v>245.37578316242906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4.5417948717948722</v>
      </c>
      <c r="BD7" s="12">
        <f>IF('Données projet'!$A$88&gt;35,BD6+BC7-BL6,IF(A7&lt;'Données projet'!$A$88,$BA$205^A7,IF(A7='Données projet'!$A$88,'Données projet'!$B$88,BD6+BC7-BL6)))</f>
        <v>1.9256610054240839</v>
      </c>
      <c r="BE7" s="13">
        <f>BD7*VLOOKUP('Données projet'!$B$11,Paramètres!$A$1:$I$89,3,0)*VLOOKUP('Données projet'!$B$11,Paramètres!$A$1:$I$89,5,0)</f>
        <v>1.1515452812436022</v>
      </c>
      <c r="BF7" s="13">
        <f t="shared" si="37"/>
        <v>0.52203542405415249</v>
      </c>
      <c r="BG7" s="20">
        <f t="shared" si="7"/>
        <v>2.914819728393589</v>
      </c>
      <c r="BH7" s="59">
        <f t="shared" si="8"/>
        <v>296.2481530617269</v>
      </c>
      <c r="BI7" s="59">
        <f ca="1">AVERAGE(OFFSET($BH$3,0,0,'Données projet'!$E$11+1,1))-AVERAGE(OFFSET($H$3,0,0,'Données projet'!$E$11+1,1))</f>
        <v>187.18641061466138</v>
      </c>
      <c r="BJ7" s="59">
        <f t="shared" si="38"/>
        <v>143.07246221325369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7.2264102564102561</v>
      </c>
      <c r="BY7" s="12">
        <f>IF('Données projet'!$A$114&gt;35,BY6+BX7-CG6,IF(A7&lt;'Données projet'!$A$114,$BV$205^A7,IF(A7='Données projet'!$A$114,'Données projet'!$B$114,BY6+BX7-CG6)))</f>
        <v>2.0486723961153532</v>
      </c>
      <c r="BZ7" s="13">
        <f>BY7*VLOOKUP('Données projet'!$B$12,Paramètres!$A$1:$I$89,3,0)*VLOOKUP('Données projet'!$B$12,Paramètres!$A$1:$I$89,5,0)</f>
        <v>0.95877868138198519</v>
      </c>
      <c r="CA7" s="13">
        <f t="shared" si="39"/>
        <v>0.44401579092570115</v>
      </c>
      <c r="CB7" s="20">
        <f t="shared" si="10"/>
        <v>2.4432003726025537</v>
      </c>
      <c r="CC7" s="59">
        <f t="shared" si="11"/>
        <v>295.77653370593589</v>
      </c>
      <c r="CD7" s="59">
        <f ca="1">AVERAGE(OFFSET($CC$3,0,0,'Données projet'!$E$12+1,1))-AVERAGE(OFFSET($H$3,0,0,'Données projet'!$E$12+1,1))</f>
        <v>198.17898804494365</v>
      </c>
      <c r="CE7" s="59">
        <f t="shared" si="40"/>
        <v>186.24772922797723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2.4666666666666668</v>
      </c>
      <c r="CT7" s="12">
        <f>IF('Données projet'!$A$140&gt;35,CT6+CS7-DB6,IF(A7&lt;'Données projet'!$A$140,$CQ$205^A7,IF(A7='Données projet'!$A$140,'Données projet'!$B$140,CT6+CS7-DB6)))</f>
        <v>2.6193113595857573</v>
      </c>
      <c r="CU7" s="17">
        <f>CT7*VLOOKUP('Données projet'!$B$13,Paramètres!$A$1:$I$89,3,0)*VLOOKUP('Données projet'!$B$13,Paramètres!$A$1:$I$89,5,0)</f>
        <v>1.9204790888482772</v>
      </c>
      <c r="CV7" s="13">
        <f t="shared" si="41"/>
        <v>0.82030011446080875</v>
      </c>
      <c r="CW7" s="20">
        <f t="shared" si="13"/>
        <v>4.7735237790966574</v>
      </c>
      <c r="CX7" s="59">
        <f t="shared" si="14"/>
        <v>298.10685711242996</v>
      </c>
      <c r="CY7" s="59">
        <f ca="1">AVERAGE(OFFSET($CX$3,0,0,'Données projet'!$E$13+1,1))-AVERAGE(OFFSET($H$3,0,0,'Données projet'!$E$13+1,1))</f>
        <v>198.78436129430389</v>
      </c>
      <c r="CZ7" s="59">
        <f t="shared" si="42"/>
        <v>198.28846462484438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274.57619581652199</v>
      </c>
      <c r="T8" s="59">
        <f t="shared" si="34"/>
        <v>366.15117322598775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298.64202949713871</v>
      </c>
      <c r="AN8" s="59">
        <f ca="1">AVERAGE(OFFSET($AM$3,0,0,'Données projet'!$E$10+1,1))-AVERAGE(OFFSET($H$3,0,0,'Données projet'!$E$10+1,1))</f>
        <v>278.21846622758881</v>
      </c>
      <c r="AO8" s="59">
        <f t="shared" si="36"/>
        <v>245.37578316242906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4.5417948717948722</v>
      </c>
      <c r="BD8" s="12">
        <f>IF('Données projet'!$A$88&gt;35,BD7+BC8-BL7,IF(A8&lt;'Données projet'!$A$88,$BA$205^A8,IF(A8='Données projet'!$A$88,'Données projet'!$B$88,BD7+BC8-BL7)))</f>
        <v>2.2684269331946743</v>
      </c>
      <c r="BE8" s="13">
        <f>BD8*VLOOKUP('Données projet'!$B$11,Paramètres!$A$1:$I$89,3,0)*VLOOKUP('Données projet'!$B$11,Paramètres!$A$1:$I$89,5,0)</f>
        <v>1.3565193060504153</v>
      </c>
      <c r="BF8" s="13">
        <f t="shared" si="37"/>
        <v>0.60334214081730264</v>
      </c>
      <c r="BG8" s="20">
        <f t="shared" si="7"/>
        <v>3.4134253532946084</v>
      </c>
      <c r="BH8" s="59">
        <f t="shared" si="8"/>
        <v>296.74675868662791</v>
      </c>
      <c r="BI8" s="59">
        <f ca="1">AVERAGE(OFFSET($BH$3,0,0,'Données projet'!$E$11+1,1))-AVERAGE(OFFSET($H$3,0,0,'Données projet'!$E$11+1,1))</f>
        <v>187.18641061466138</v>
      </c>
      <c r="BJ8" s="59">
        <f t="shared" si="38"/>
        <v>143.07246221325369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7.2264102564102561</v>
      </c>
      <c r="BY8" s="12">
        <f>IF('Données projet'!$A$114&gt;35,BY7+BX8-CG7,IF(A8&lt;'Données projet'!$A$114,$BV$205^A8,IF(A8='Données projet'!$A$114,'Données projet'!$B$114,BY7+BX8-CG7)))</f>
        <v>2.4509849511252071</v>
      </c>
      <c r="BZ8" s="13">
        <f>BY8*VLOOKUP('Données projet'!$B$12,Paramètres!$A$1:$I$89,3,0)*VLOOKUP('Données projet'!$B$12,Paramètres!$A$1:$I$89,5,0)</f>
        <v>1.1470609571265968</v>
      </c>
      <c r="CA8" s="13">
        <f t="shared" si="39"/>
        <v>0.52023874619045773</v>
      </c>
      <c r="CB8" s="20">
        <f t="shared" si="10"/>
        <v>2.9038803166105365</v>
      </c>
      <c r="CC8" s="59">
        <f t="shared" si="11"/>
        <v>296.23721364994384</v>
      </c>
      <c r="CD8" s="59">
        <f ca="1">AVERAGE(OFFSET($CC$3,0,0,'Données projet'!$E$12+1,1))-AVERAGE(OFFSET($H$3,0,0,'Données projet'!$E$12+1,1))</f>
        <v>198.17898804494365</v>
      </c>
      <c r="CE8" s="59">
        <f t="shared" si="40"/>
        <v>186.24772922797723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2.4666666666666668</v>
      </c>
      <c r="CT8" s="12">
        <f>IF('Données projet'!$A$140&gt;35,CT7+CS8-DB7,IF(A8&lt;'Données projet'!$A$140,$CQ$205^A8,IF(A8='Données projet'!$A$140,'Données projet'!$B$140,CT7+CS8-DB7)))</f>
        <v>3.332221851645953</v>
      </c>
      <c r="CU8" s="17">
        <f>CT8*VLOOKUP('Données projet'!$B$13,Paramètres!$A$1:$I$89,3,0)*VLOOKUP('Données projet'!$B$13,Paramètres!$A$1:$I$89,5,0)</f>
        <v>2.4431850616268127</v>
      </c>
      <c r="CV8" s="13">
        <f t="shared" si="41"/>
        <v>1.0147295516396715</v>
      </c>
      <c r="CW8" s="20">
        <f t="shared" si="13"/>
        <v>6.0225346181057935</v>
      </c>
      <c r="CX8" s="59">
        <f t="shared" si="14"/>
        <v>299.35586795143911</v>
      </c>
      <c r="CY8" s="59">
        <f ca="1">AVERAGE(OFFSET($CX$3,0,0,'Données projet'!$E$13+1,1))-AVERAGE(OFFSET($H$3,0,0,'Données projet'!$E$13+1,1))</f>
        <v>198.78436129430389</v>
      </c>
      <c r="CZ8" s="59">
        <f t="shared" si="42"/>
        <v>198.28846462484438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274.57619581652199</v>
      </c>
      <c r="T9" s="59">
        <f t="shared" si="34"/>
        <v>366.15117322598775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300.12696112026919</v>
      </c>
      <c r="AN9" s="59">
        <f ca="1">AVERAGE(OFFSET($AM$3,0,0,'Données projet'!$E$10+1,1))-AVERAGE(OFFSET($H$3,0,0,'Données projet'!$E$10+1,1))</f>
        <v>278.21846622758881</v>
      </c>
      <c r="AO9" s="59">
        <f t="shared" si="36"/>
        <v>245.37578316242906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4.5417948717948722</v>
      </c>
      <c r="BD9" s="12">
        <f>IF('Données projet'!$A$88&gt;35,BD8+BC9-BL8,IF(A9&lt;'Données projet'!$A$88,$BA$205^A9,IF(A9='Données projet'!$A$88,'Données projet'!$B$88,BD8+BC9-BL8)))</f>
        <v>2.672204887957295</v>
      </c>
      <c r="BE9" s="13">
        <f>BD9*VLOOKUP('Données projet'!$B$11,Paramètres!$A$1:$I$89,3,0)*VLOOKUP('Données projet'!$B$11,Paramètres!$A$1:$I$89,5,0)</f>
        <v>1.5979785229984627</v>
      </c>
      <c r="BF9" s="13">
        <f t="shared" si="37"/>
        <v>0.69731233190842767</v>
      </c>
      <c r="BG9" s="20">
        <f t="shared" si="7"/>
        <v>3.9976315722961666</v>
      </c>
      <c r="BH9" s="59">
        <f t="shared" si="8"/>
        <v>297.33096490562946</v>
      </c>
      <c r="BI9" s="59">
        <f ca="1">AVERAGE(OFFSET($BH$3,0,0,'Données projet'!$E$11+1,1))-AVERAGE(OFFSET($H$3,0,0,'Données projet'!$E$11+1,1))</f>
        <v>187.18641061466138</v>
      </c>
      <c r="BJ9" s="59">
        <f t="shared" si="38"/>
        <v>143.07246221325369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7.2264102564102561</v>
      </c>
      <c r="BY9" s="12">
        <f>IF('Données projet'!$A$114&gt;35,BY8+BX9-CG8,IF(A9&lt;'Données projet'!$A$114,$BV$205^A9,IF(A9='Données projet'!$A$114,'Données projet'!$B$114,BY8+BX9-CG8)))</f>
        <v>2.9323025204191722</v>
      </c>
      <c r="BZ9" s="13">
        <f>BY9*VLOOKUP('Données projet'!$B$12,Paramètres!$A$1:$I$89,3,0)*VLOOKUP('Données projet'!$B$12,Paramètres!$A$1:$I$89,5,0)</f>
        <v>1.3723175795561726</v>
      </c>
      <c r="CA9" s="13">
        <f t="shared" si="39"/>
        <v>0.60954668407977464</v>
      </c>
      <c r="CB9" s="20">
        <f t="shared" si="10"/>
        <v>3.4517469258326074</v>
      </c>
      <c r="CC9" s="59">
        <f t="shared" si="11"/>
        <v>296.78508025916591</v>
      </c>
      <c r="CD9" s="59">
        <f ca="1">AVERAGE(OFFSET($CC$3,0,0,'Données projet'!$E$12+1,1))-AVERAGE(OFFSET($H$3,0,0,'Données projet'!$E$12+1,1))</f>
        <v>198.17898804494365</v>
      </c>
      <c r="CE9" s="59">
        <f t="shared" si="40"/>
        <v>186.24772922797723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2.4666666666666668</v>
      </c>
      <c r="CT9" s="12">
        <f>IF('Données projet'!$A$140&gt;35,CT8+CS9-DB8,IF(A9&lt;'Données projet'!$A$140,$CQ$205^A9,IF(A9='Données projet'!$A$140,'Données projet'!$B$140,CT8+CS9-DB8)))</f>
        <v>4.2391685997738069</v>
      </c>
      <c r="CU9" s="17">
        <f>CT9*VLOOKUP('Données projet'!$B$13,Paramètres!$A$1:$I$89,3,0)*VLOOKUP('Données projet'!$B$13,Paramètres!$A$1:$I$89,5,0)</f>
        <v>3.1081584173541552</v>
      </c>
      <c r="CV9" s="13">
        <f t="shared" si="41"/>
        <v>1.2552431053208675</v>
      </c>
      <c r="CW9" s="20">
        <f t="shared" si="13"/>
        <v>7.5995909853256647</v>
      </c>
      <c r="CX9" s="59">
        <f t="shared" si="14"/>
        <v>300.93292431865899</v>
      </c>
      <c r="CY9" s="59">
        <f ca="1">AVERAGE(OFFSET($CX$3,0,0,'Données projet'!$E$13+1,1))-AVERAGE(OFFSET($H$3,0,0,'Données projet'!$E$13+1,1))</f>
        <v>198.78436129430389</v>
      </c>
      <c r="CZ9" s="59">
        <f t="shared" si="42"/>
        <v>198.28846462484438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274.57619581652199</v>
      </c>
      <c r="T10" s="59">
        <f t="shared" si="34"/>
        <v>366.15117322598775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302.02883626550931</v>
      </c>
      <c r="AN10" s="59">
        <f ca="1">AVERAGE(OFFSET($AM$3,0,0,'Données projet'!$E$10+1,1))-AVERAGE(OFFSET($H$3,0,0,'Données projet'!$E$10+1,1))</f>
        <v>278.21846622758881</v>
      </c>
      <c r="AO10" s="59">
        <f t="shared" si="36"/>
        <v>245.37578316242906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4.5417948717948722</v>
      </c>
      <c r="BD10" s="12">
        <f>IF('Données projet'!$A$88&gt;35,BD9+BC10-BL9,IF(A10&lt;'Données projet'!$A$88,$BA$205^A10,IF(A10='Données projet'!$A$88,'Données projet'!$B$88,BD9+BC10-BL9)))</f>
        <v>3.1478549556659017</v>
      </c>
      <c r="BE10" s="13">
        <f>BD10*VLOOKUP('Données projet'!$B$11,Paramètres!$A$1:$I$89,3,0)*VLOOKUP('Données projet'!$B$11,Paramètres!$A$1:$I$89,5,0)</f>
        <v>1.8824172634882093</v>
      </c>
      <c r="BF10" s="13">
        <f t="shared" si="37"/>
        <v>0.80591832616380799</v>
      </c>
      <c r="BG10" s="20">
        <f t="shared" si="7"/>
        <v>4.6821844853105965</v>
      </c>
      <c r="BH10" s="59">
        <f t="shared" si="8"/>
        <v>298.0155178186439</v>
      </c>
      <c r="BI10" s="59">
        <f ca="1">AVERAGE(OFFSET($BH$3,0,0,'Données projet'!$E$11+1,1))-AVERAGE(OFFSET($H$3,0,0,'Données projet'!$E$11+1,1))</f>
        <v>187.18641061466138</v>
      </c>
      <c r="BJ10" s="59">
        <f t="shared" si="38"/>
        <v>143.07246221325369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7.2264102564102561</v>
      </c>
      <c r="BY10" s="12">
        <f>IF('Données projet'!$A$114&gt;35,BY9+BX10-CG9,IF(A10&lt;'Données projet'!$A$114,$BV$205^A10,IF(A10='Données projet'!$A$114,'Données projet'!$B$114,BY9+BX10-CG9)))</f>
        <v>3.5081398877252363</v>
      </c>
      <c r="BZ10" s="13">
        <f>BY10*VLOOKUP('Données projet'!$B$12,Paramètres!$A$1:$I$89,3,0)*VLOOKUP('Données projet'!$B$12,Paramètres!$A$1:$I$89,5,0)</f>
        <v>1.6418094674554107</v>
      </c>
      <c r="CA10" s="13">
        <f t="shared" si="39"/>
        <v>0.71418586714920729</v>
      </c>
      <c r="CB10" s="20">
        <f t="shared" si="10"/>
        <v>4.1033585411030424</v>
      </c>
      <c r="CC10" s="59">
        <f t="shared" si="11"/>
        <v>297.43669187443635</v>
      </c>
      <c r="CD10" s="59">
        <f ca="1">AVERAGE(OFFSET($CC$3,0,0,'Données projet'!$E$12+1,1))-AVERAGE(OFFSET($H$3,0,0,'Données projet'!$E$12+1,1))</f>
        <v>198.17898804494365</v>
      </c>
      <c r="CE10" s="59">
        <f t="shared" si="40"/>
        <v>186.24772922797723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2.4666666666666668</v>
      </c>
      <c r="CT10" s="12">
        <f>IF('Données projet'!$A$140&gt;35,CT9+CS10-DB9,IF(A10&lt;'Données projet'!$A$140,$CQ$205^A10,IF(A10='Données projet'!$A$140,'Données projet'!$B$140,CT9+CS10-DB9)))</f>
        <v>5.3929633792034757</v>
      </c>
      <c r="CU10" s="17">
        <f>CT10*VLOOKUP('Données projet'!$B$13,Paramètres!$A$1:$I$89,3,0)*VLOOKUP('Données projet'!$B$13,Paramètres!$A$1:$I$89,5,0)</f>
        <v>3.9541207496319881</v>
      </c>
      <c r="CV10" s="13">
        <f t="shared" si="41"/>
        <v>1.5527637397664751</v>
      </c>
      <c r="CW10" s="20">
        <f t="shared" si="13"/>
        <v>9.5911571523689911</v>
      </c>
      <c r="CX10" s="59">
        <f t="shared" si="14"/>
        <v>302.92449048570228</v>
      </c>
      <c r="CY10" s="59">
        <f ca="1">AVERAGE(OFFSET($CX$3,0,0,'Données projet'!$E$13+1,1))-AVERAGE(OFFSET($H$3,0,0,'Données projet'!$E$13+1,1))</f>
        <v>198.78436129430389</v>
      </c>
      <c r="CZ10" s="59">
        <f t="shared" si="42"/>
        <v>198.28846462484438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274.57619581652199</v>
      </c>
      <c r="T11" s="59">
        <f t="shared" si="34"/>
        <v>366.15117322598775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304.46514237932377</v>
      </c>
      <c r="AN11" s="59">
        <f ca="1">AVERAGE(OFFSET($AM$3,0,0,'Données projet'!$E$10+1,1))-AVERAGE(OFFSET($H$3,0,0,'Données projet'!$E$10+1,1))</f>
        <v>278.21846622758881</v>
      </c>
      <c r="AO11" s="59">
        <f t="shared" si="36"/>
        <v>245.37578316242906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4.5417948717948722</v>
      </c>
      <c r="BD11" s="12">
        <f>IF('Données projet'!$A$88&gt;35,BD10+BC11-BL10,IF(A11&lt;'Données projet'!$A$88,$BA$205^A11,IF(A11='Données projet'!$A$88,'Données projet'!$B$88,BD10+BC11-BL10)))</f>
        <v>3.7081703078108936</v>
      </c>
      <c r="BE11" s="13">
        <f>BD11*VLOOKUP('Données projet'!$B$11,Paramètres!$A$1:$I$89,3,0)*VLOOKUP('Données projet'!$B$11,Paramètres!$A$1:$I$89,5,0)</f>
        <v>2.2174858440709144</v>
      </c>
      <c r="BF11" s="13">
        <f t="shared" si="37"/>
        <v>0.93143964150051517</v>
      </c>
      <c r="BG11" s="20">
        <f t="shared" si="7"/>
        <v>5.4843785540369057</v>
      </c>
      <c r="BH11" s="59">
        <f t="shared" si="8"/>
        <v>298.81771188737019</v>
      </c>
      <c r="BI11" s="59">
        <f ca="1">AVERAGE(OFFSET($BH$3,0,0,'Données projet'!$E$11+1,1))-AVERAGE(OFFSET($H$3,0,0,'Données projet'!$E$11+1,1))</f>
        <v>187.18641061466138</v>
      </c>
      <c r="BJ11" s="59">
        <f t="shared" si="38"/>
        <v>143.07246221325369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7.2264102564102561</v>
      </c>
      <c r="BY11" s="12">
        <f>IF('Données projet'!$A$114&gt;35,BY10+BX11-CG10,IF(A11&lt;'Données projet'!$A$114,$BV$205^A11,IF(A11='Données projet'!$A$114,'Données projet'!$B$114,BY10+BX11-CG10)))</f>
        <v>4.1970585866050225</v>
      </c>
      <c r="BZ11" s="13">
        <f>BY11*VLOOKUP('Données projet'!$B$12,Paramètres!$A$1:$I$89,3,0)*VLOOKUP('Données projet'!$B$12,Paramètres!$A$1:$I$89,5,0)</f>
        <v>1.9642234185311505</v>
      </c>
      <c r="CA11" s="13">
        <f t="shared" si="39"/>
        <v>0.83678816759654573</v>
      </c>
      <c r="CB11" s="20">
        <f t="shared" si="10"/>
        <v>4.8784285125057369</v>
      </c>
      <c r="CC11" s="59">
        <f t="shared" si="11"/>
        <v>298.21176184583908</v>
      </c>
      <c r="CD11" s="59">
        <f ca="1">AVERAGE(OFFSET($CC$3,0,0,'Données projet'!$E$12+1,1))-AVERAGE(OFFSET($H$3,0,0,'Données projet'!$E$12+1,1))</f>
        <v>198.17898804494365</v>
      </c>
      <c r="CE11" s="59">
        <f t="shared" si="40"/>
        <v>186.24772922797723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2.4666666666666668</v>
      </c>
      <c r="CT11" s="12">
        <f>IF('Données projet'!$A$140&gt;35,CT10+CS11-DB10,IF(A11&lt;'Données projet'!$A$140,$CQ$205^A11,IF(A11='Données projet'!$A$140,'Données projet'!$B$140,CT10+CS11-DB10)))</f>
        <v>6.8607919984549888</v>
      </c>
      <c r="CU11" s="17">
        <f>CT11*VLOOKUP('Données projet'!$B$13,Paramètres!$A$1:$I$89,3,0)*VLOOKUP('Données projet'!$B$13,Paramètres!$A$1:$I$89,5,0)</f>
        <v>5.0303326932671979</v>
      </c>
      <c r="CV11" s="13">
        <f t="shared" si="41"/>
        <v>1.9208034055819379</v>
      </c>
      <c r="CW11" s="20">
        <f t="shared" si="13"/>
        <v>12.106562038828912</v>
      </c>
      <c r="CX11" s="59">
        <f t="shared" si="14"/>
        <v>305.43989537216225</v>
      </c>
      <c r="CY11" s="59">
        <f ca="1">AVERAGE(OFFSET($CX$3,0,0,'Données projet'!$E$13+1,1))-AVERAGE(OFFSET($H$3,0,0,'Données projet'!$E$13+1,1))</f>
        <v>198.78436129430389</v>
      </c>
      <c r="CZ11" s="59">
        <f t="shared" si="42"/>
        <v>198.28846462484438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274.57619581652199</v>
      </c>
      <c r="T12" s="59">
        <f t="shared" si="34"/>
        <v>366.15117322598775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307.5865821468015</v>
      </c>
      <c r="AN12" s="59">
        <f ca="1">AVERAGE(OFFSET($AM$3,0,0,'Données projet'!$E$10+1,1))-AVERAGE(OFFSET($H$3,0,0,'Données projet'!$E$10+1,1))</f>
        <v>278.21846622758881</v>
      </c>
      <c r="AO12" s="59">
        <f t="shared" si="36"/>
        <v>245.37578316242906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4.5417948717948722</v>
      </c>
      <c r="BD12" s="12">
        <f>IF('Données projet'!$A$88&gt;35,BD11+BC12-BL11,IF(A12&lt;'Données projet'!$A$88,$BA$205^A12,IF(A12='Données projet'!$A$88,'Données projet'!$B$88,BD11+BC12-BL11)))</f>
        <v>4.368221288906728</v>
      </c>
      <c r="BE12" s="13">
        <f>BD12*VLOOKUP('Données projet'!$B$11,Paramètres!$A$1:$I$89,3,0)*VLOOKUP('Données projet'!$B$11,Paramètres!$A$1:$I$89,5,0)</f>
        <v>2.6121963307662237</v>
      </c>
      <c r="BF12" s="13">
        <f t="shared" si="37"/>
        <v>1.0765108294388968</v>
      </c>
      <c r="BG12" s="20">
        <f t="shared" si="7"/>
        <v>6.424498304023917</v>
      </c>
      <c r="BH12" s="59">
        <f t="shared" si="8"/>
        <v>299.75783163735724</v>
      </c>
      <c r="BI12" s="59">
        <f ca="1">AVERAGE(OFFSET($BH$3,0,0,'Données projet'!$E$11+1,1))-AVERAGE(OFFSET($H$3,0,0,'Données projet'!$E$11+1,1))</f>
        <v>187.18641061466138</v>
      </c>
      <c r="BJ12" s="59">
        <f t="shared" si="38"/>
        <v>143.07246221325369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7.2264102564102561</v>
      </c>
      <c r="BY12" s="12">
        <f>IF('Données projet'!$A$114&gt;35,BY11+BX12-CG11,IF(A12&lt;'Données projet'!$A$114,$BV$205^A12,IF(A12='Données projet'!$A$114,'Données projet'!$B$114,BY11+BX12-CG11)))</f>
        <v>5.0212652126643498</v>
      </c>
      <c r="BZ12" s="13">
        <f>BY12*VLOOKUP('Données projet'!$B$12,Paramètres!$A$1:$I$89,3,0)*VLOOKUP('Données projet'!$B$12,Paramètres!$A$1:$I$89,5,0)</f>
        <v>2.349952119526916</v>
      </c>
      <c r="CA12" s="13">
        <f t="shared" si="39"/>
        <v>0.98043726379605944</v>
      </c>
      <c r="CB12" s="20">
        <f t="shared" si="10"/>
        <v>5.8004281759541811</v>
      </c>
      <c r="CC12" s="59">
        <f t="shared" si="11"/>
        <v>299.13376150928752</v>
      </c>
      <c r="CD12" s="59">
        <f ca="1">AVERAGE(OFFSET($CC$3,0,0,'Données projet'!$E$12+1,1))-AVERAGE(OFFSET($H$3,0,0,'Données projet'!$E$12+1,1))</f>
        <v>198.17898804494365</v>
      </c>
      <c r="CE12" s="59">
        <f t="shared" si="40"/>
        <v>186.24772922797723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2.4666666666666668</v>
      </c>
      <c r="CT12" s="12">
        <f>IF('Données projet'!$A$140&gt;35,CT11+CS12-DB11,IF(A12&lt;'Données projet'!$A$140,$CQ$205^A12,IF(A12='Données projet'!$A$140,'Données projet'!$B$140,CT11+CS12-DB11)))</f>
        <v>8.7281265486761299</v>
      </c>
      <c r="CU12" s="17">
        <f>CT12*VLOOKUP('Données projet'!$B$13,Paramètres!$A$1:$I$89,3,0)*VLOOKUP('Données projet'!$B$13,Paramètres!$A$1:$I$89,5,0)</f>
        <v>6.399462385489338</v>
      </c>
      <c r="CV12" s="13">
        <f t="shared" si="41"/>
        <v>2.3760766872686268</v>
      </c>
      <c r="CW12" s="20">
        <f t="shared" si="13"/>
        <v>15.284063885053456</v>
      </c>
      <c r="CX12" s="59">
        <f t="shared" si="14"/>
        <v>308.61739721838677</v>
      </c>
      <c r="CY12" s="59">
        <f ca="1">AVERAGE(OFFSET($CX$3,0,0,'Données projet'!$E$13+1,1))-AVERAGE(OFFSET($H$3,0,0,'Données projet'!$E$13+1,1))</f>
        <v>198.78436129430389</v>
      </c>
      <c r="CZ12" s="59">
        <f t="shared" si="42"/>
        <v>198.28846462484438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274.57619581652199</v>
      </c>
      <c r="T13" s="59">
        <f t="shared" si="34"/>
        <v>366.15117322598775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311.5864924430474</v>
      </c>
      <c r="AN13" s="59">
        <f ca="1">AVERAGE(OFFSET($AM$3,0,0,'Données projet'!$E$10+1,1))-AVERAGE(OFFSET($H$3,0,0,'Données projet'!$E$10+1,1))</f>
        <v>278.21846622758881</v>
      </c>
      <c r="AO13" s="59">
        <f t="shared" si="36"/>
        <v>245.37578316242906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4.5417948717948722</v>
      </c>
      <c r="BD13" s="12">
        <f>IF('Données projet'!$A$88&gt;35,BD12+BC13-BL12,IF(A13&lt;'Données projet'!$A$88,$BA$205^A13,IF(A13='Données projet'!$A$88,'Données projet'!$B$88,BD12+BC13-BL12)))</f>
        <v>5.1457607512429959</v>
      </c>
      <c r="BE13" s="13">
        <f>BD13*VLOOKUP('Données projet'!$B$11,Paramètres!$A$1:$I$89,3,0)*VLOOKUP('Données projet'!$B$11,Paramètres!$A$1:$I$89,5,0)</f>
        <v>3.0771649292433119</v>
      </c>
      <c r="BF13" s="13">
        <f t="shared" si="37"/>
        <v>1.2441767713818952</v>
      </c>
      <c r="BG13" s="20">
        <f t="shared" si="7"/>
        <v>7.5263367952555678</v>
      </c>
      <c r="BH13" s="59">
        <f t="shared" si="8"/>
        <v>300.8596701285889</v>
      </c>
      <c r="BI13" s="59">
        <f ca="1">AVERAGE(OFFSET($BH$3,0,0,'Données projet'!$E$11+1,1))-AVERAGE(OFFSET($H$3,0,0,'Données projet'!$E$11+1,1))</f>
        <v>187.18641061466138</v>
      </c>
      <c r="BJ13" s="59">
        <f t="shared" si="38"/>
        <v>143.07246221325369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7.2264102564102561</v>
      </c>
      <c r="BY13" s="12">
        <f>IF('Données projet'!$A$114&gt;35,BY12+BX13-CG12,IF(A13&lt;'Données projet'!$A$114,$BV$205^A13,IF(A13='Données projet'!$A$114,'Données projet'!$B$114,BY12+BX13-CG12)))</f>
        <v>6.0073272306422343</v>
      </c>
      <c r="BZ13" s="13">
        <f>BY13*VLOOKUP('Données projet'!$B$12,Paramètres!$A$1:$I$89,3,0)*VLOOKUP('Données projet'!$B$12,Paramètres!$A$1:$I$89,5,0)</f>
        <v>2.8114291439405656</v>
      </c>
      <c r="CA13" s="13">
        <f t="shared" si="39"/>
        <v>1.1487462006075717</v>
      </c>
      <c r="CB13" s="20">
        <f t="shared" si="10"/>
        <v>6.8973053917546716</v>
      </c>
      <c r="CC13" s="59">
        <f t="shared" si="11"/>
        <v>300.230638725088</v>
      </c>
      <c r="CD13" s="59">
        <f ca="1">AVERAGE(OFFSET($CC$3,0,0,'Données projet'!$E$12+1,1))-AVERAGE(OFFSET($H$3,0,0,'Données projet'!$E$12+1,1))</f>
        <v>198.17898804494365</v>
      </c>
      <c r="CE13" s="59">
        <f t="shared" si="40"/>
        <v>186.24772922797723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2.4666666666666668</v>
      </c>
      <c r="CT13" s="12">
        <f>IF('Données projet'!$A$140&gt;35,CT12+CS13-DB12,IF(A13&lt;'Données projet'!$A$140,$CQ$205^A13,IF(A13='Données projet'!$A$140,'Données projet'!$B$140,CT12+CS13-DB12)))</f>
        <v>11.103702468586782</v>
      </c>
      <c r="CU13" s="17">
        <f>CT13*VLOOKUP('Données projet'!$B$13,Paramètres!$A$1:$I$89,3,0)*VLOOKUP('Données projet'!$B$13,Paramètres!$A$1:$I$89,5,0)</f>
        <v>8.1412346499678296</v>
      </c>
      <c r="CV13" s="13">
        <f t="shared" si="41"/>
        <v>2.9392598989436851</v>
      </c>
      <c r="CW13" s="20">
        <f t="shared" si="13"/>
        <v>19.298528006020888</v>
      </c>
      <c r="CX13" s="59">
        <f t="shared" si="14"/>
        <v>312.6318613393542</v>
      </c>
      <c r="CY13" s="59">
        <f ca="1">AVERAGE(OFFSET($CX$3,0,0,'Données projet'!$E$13+1,1))-AVERAGE(OFFSET($H$3,0,0,'Données projet'!$E$13+1,1))</f>
        <v>198.78436129430389</v>
      </c>
      <c r="CZ13" s="59">
        <f t="shared" si="42"/>
        <v>198.28846462484438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274.57619581652199</v>
      </c>
      <c r="T14" s="59">
        <f t="shared" si="34"/>
        <v>366.15117322598775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316.71294168836005</v>
      </c>
      <c r="AN14" s="59">
        <f ca="1">AVERAGE(OFFSET($AM$3,0,0,'Données projet'!$E$10+1,1))-AVERAGE(OFFSET($H$3,0,0,'Données projet'!$E$10+1,1))</f>
        <v>278.21846622758881</v>
      </c>
      <c r="AO14" s="59">
        <f t="shared" si="36"/>
        <v>245.37578316242906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4.5417948717948722</v>
      </c>
      <c r="BD14" s="12">
        <f>IF('Données projet'!$A$88&gt;35,BD13+BC14-BL13,IF(A14&lt;'Données projet'!$A$88,$BA$205^A14,IF(A14='Données projet'!$A$88,'Données projet'!$B$88,BD13+BC14-BL13)))</f>
        <v>6.0617015388567852</v>
      </c>
      <c r="BE14" s="13">
        <f>BD14*VLOOKUP('Données projet'!$B$11,Paramètres!$A$1:$I$89,3,0)*VLOOKUP('Données projet'!$B$11,Paramètres!$A$1:$I$89,5,0)</f>
        <v>3.6248975202363578</v>
      </c>
      <c r="BF14" s="13">
        <f t="shared" si="37"/>
        <v>1.4379565872580398</v>
      </c>
      <c r="BG14" s="20">
        <f t="shared" si="7"/>
        <v>8.8178042372194074</v>
      </c>
      <c r="BH14" s="59">
        <f t="shared" si="8"/>
        <v>302.15113757055275</v>
      </c>
      <c r="BI14" s="59">
        <f ca="1">AVERAGE(OFFSET($BH$3,0,0,'Données projet'!$E$11+1,1))-AVERAGE(OFFSET($H$3,0,0,'Données projet'!$E$11+1,1))</f>
        <v>187.18641061466138</v>
      </c>
      <c r="BJ14" s="59">
        <f t="shared" si="38"/>
        <v>143.07246221325369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7.2264102564102561</v>
      </c>
      <c r="BY14" s="12">
        <f>IF('Données projet'!$A$114&gt;35,BY13+BX14-CG13,IF(A14&lt;'Données projet'!$A$114,$BV$205^A14,IF(A14='Données projet'!$A$114,'Données projet'!$B$114,BY13+BX14-CG13)))</f>
        <v>7.1870293496939057</v>
      </c>
      <c r="BZ14" s="13">
        <f>BY14*VLOOKUP('Données projet'!$B$12,Paramètres!$A$1:$I$89,3,0)*VLOOKUP('Données projet'!$B$12,Paramètres!$A$1:$I$89,5,0)</f>
        <v>3.3635297356567477</v>
      </c>
      <c r="CA14" s="13">
        <f t="shared" si="39"/>
        <v>1.3459482642479659</v>
      </c>
      <c r="CB14" s="20">
        <f t="shared" si="10"/>
        <v>8.2023408498340427</v>
      </c>
      <c r="CC14" s="59">
        <f t="shared" si="11"/>
        <v>301.53567418316737</v>
      </c>
      <c r="CD14" s="59">
        <f ca="1">AVERAGE(OFFSET($CC$3,0,0,'Données projet'!$E$12+1,1))-AVERAGE(OFFSET($H$3,0,0,'Données projet'!$E$12+1,1))</f>
        <v>198.17898804494365</v>
      </c>
      <c r="CE14" s="59">
        <f t="shared" si="40"/>
        <v>186.24772922797723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2.4666666666666668</v>
      </c>
      <c r="CT14" s="12">
        <f>IF('Données projet'!$A$140&gt;35,CT13+CS14-DB13,IF(A14&lt;'Données projet'!$A$140,$CQ$205^A14,IF(A14='Données projet'!$A$140,'Données projet'!$B$140,CT13+CS14-DB13)))</f>
        <v>14.125850240977657</v>
      </c>
      <c r="CU14" s="17">
        <f>CT14*VLOOKUP('Données projet'!$B$13,Paramètres!$A$1:$I$89,3,0)*VLOOKUP('Données projet'!$B$13,Paramètres!$A$1:$I$89,5,0)</f>
        <v>10.357073396684818</v>
      </c>
      <c r="CV14" s="13">
        <f t="shared" si="41"/>
        <v>3.6359301026893722</v>
      </c>
      <c r="CW14" s="20">
        <f t="shared" si="13"/>
        <v>24.371147761410047</v>
      </c>
      <c r="CX14" s="59">
        <f t="shared" si="14"/>
        <v>317.70448109474336</v>
      </c>
      <c r="CY14" s="59">
        <f ca="1">AVERAGE(OFFSET($CX$3,0,0,'Données projet'!$E$13+1,1))-AVERAGE(OFFSET($H$3,0,0,'Données projet'!$E$13+1,1))</f>
        <v>198.78436129430389</v>
      </c>
      <c r="CZ14" s="59">
        <f t="shared" si="42"/>
        <v>198.28846462484438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274.57619581652199</v>
      </c>
      <c r="T15" s="59">
        <f t="shared" si="34"/>
        <v>366.15117322598775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323.28426917937514</v>
      </c>
      <c r="AN15" s="59">
        <f ca="1">AVERAGE(OFFSET($AM$3,0,0,'Données projet'!$E$10+1,1))-AVERAGE(OFFSET($H$3,0,0,'Données projet'!$E$10+1,1))</f>
        <v>278.21846622758881</v>
      </c>
      <c r="AO15" s="59">
        <f t="shared" si="36"/>
        <v>245.37578316242906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4.5417948717948722</v>
      </c>
      <c r="BD15" s="12">
        <f>IF('Données projet'!$A$88&gt;35,BD14+BC15-BL14,IF(A15&lt;'Données projet'!$A$88,$BA$205^A15,IF(A15='Données projet'!$A$88,'Données projet'!$B$88,BD14+BC15-BL14)))</f>
        <v>7.14067896322286</v>
      </c>
      <c r="BE15" s="13">
        <f>BD15*VLOOKUP('Données projet'!$B$11,Paramètres!$A$1:$I$89,3,0)*VLOOKUP('Données projet'!$B$11,Paramètres!$A$1:$I$89,5,0)</f>
        <v>4.2701260200072708</v>
      </c>
      <c r="BF15" s="13">
        <f t="shared" si="37"/>
        <v>1.661917497898785</v>
      </c>
      <c r="BG15" s="20">
        <f t="shared" si="7"/>
        <v>10.331642460353047</v>
      </c>
      <c r="BH15" s="59">
        <f t="shared" si="8"/>
        <v>303.66497579368638</v>
      </c>
      <c r="BI15" s="59">
        <f ca="1">AVERAGE(OFFSET($BH$3,0,0,'Données projet'!$E$11+1,1))-AVERAGE(OFFSET($H$3,0,0,'Données projet'!$E$11+1,1))</f>
        <v>187.18641061466138</v>
      </c>
      <c r="BJ15" s="59">
        <f t="shared" si="38"/>
        <v>143.07246221325369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7.2264102564102561</v>
      </c>
      <c r="BY15" s="12">
        <f>IF('Données projet'!$A$114&gt;35,BY14+BX15-CG14,IF(A15&lt;'Données projet'!$A$114,$BV$205^A15,IF(A15='Données projet'!$A$114,'Données projet'!$B$114,BY14+BX15-CG14)))</f>
        <v>8.5983980712566286</v>
      </c>
      <c r="BZ15" s="13">
        <f>BY15*VLOOKUP('Données projet'!$B$12,Paramètres!$A$1:$I$89,3,0)*VLOOKUP('Données projet'!$B$12,Paramètres!$A$1:$I$89,5,0)</f>
        <v>4.0240502973481025</v>
      </c>
      <c r="CA15" s="13">
        <f t="shared" si="39"/>
        <v>1.5770034573990057</v>
      </c>
      <c r="CB15" s="20">
        <f t="shared" si="10"/>
        <v>9.7551686228512136</v>
      </c>
      <c r="CC15" s="59">
        <f t="shared" si="11"/>
        <v>303.08850195618453</v>
      </c>
      <c r="CD15" s="59">
        <f ca="1">AVERAGE(OFFSET($CC$3,0,0,'Données projet'!$E$12+1,1))-AVERAGE(OFFSET($H$3,0,0,'Données projet'!$E$12+1,1))</f>
        <v>198.17898804494365</v>
      </c>
      <c r="CE15" s="59">
        <f t="shared" si="40"/>
        <v>186.24772922797723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2.4666666666666668</v>
      </c>
      <c r="CT15" s="12">
        <f>IF('Données projet'!$A$140&gt;35,CT14+CS15-DB14,IF(A15&lt;'Données projet'!$A$140,$CQ$205^A15,IF(A15='Données projet'!$A$140,'Données projet'!$B$140,CT14+CS15-DB14)))</f>
        <v>17.970550417308221</v>
      </c>
      <c r="CU15" s="17">
        <f>CT15*VLOOKUP('Données projet'!$B$13,Paramètres!$A$1:$I$89,3,0)*VLOOKUP('Données projet'!$B$13,Paramètres!$A$1:$I$89,5,0)</f>
        <v>13.176007565970389</v>
      </c>
      <c r="CV15" s="13">
        <f t="shared" si="41"/>
        <v>4.4977266952111856</v>
      </c>
      <c r="CW15" s="20">
        <f t="shared" si="13"/>
        <v>30.781753838224574</v>
      </c>
      <c r="CX15" s="59">
        <f t="shared" si="14"/>
        <v>324.11508717155789</v>
      </c>
      <c r="CY15" s="59">
        <f ca="1">AVERAGE(OFFSET($CX$3,0,0,'Données projet'!$E$13+1,1))-AVERAGE(OFFSET($H$3,0,0,'Données projet'!$E$13+1,1))</f>
        <v>198.78436129430389</v>
      </c>
      <c r="CZ15" s="59">
        <f t="shared" si="42"/>
        <v>198.28846462484438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274.57619581652199</v>
      </c>
      <c r="T16" s="59">
        <f t="shared" si="34"/>
        <v>366.15117322598775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331.70904815163294</v>
      </c>
      <c r="AN16" s="59">
        <f ca="1">AVERAGE(OFFSET($AM$3,0,0,'Données projet'!$E$10+1,1))-AVERAGE(OFFSET($H$3,0,0,'Données projet'!$E$10+1,1))</f>
        <v>278.21846622758881</v>
      </c>
      <c r="AO16" s="59">
        <f t="shared" si="36"/>
        <v>245.37578316242906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4.5417948717948722</v>
      </c>
      <c r="BD16" s="12">
        <f>IF('Données projet'!$A$88&gt;35,BD15+BC16-BL15,IF(A16&lt;'Données projet'!$A$88,$BA$205^A16,IF(A16='Données projet'!$A$88,'Données projet'!$B$88,BD15+BC16-BL15)))</f>
        <v>8.4117133991110169</v>
      </c>
      <c r="BE16" s="13">
        <f>BD16*VLOOKUP('Données projet'!$B$11,Paramètres!$A$1:$I$89,3,0)*VLOOKUP('Données projet'!$B$11,Paramètres!$A$1:$I$89,5,0)</f>
        <v>5.0302046126683884</v>
      </c>
      <c r="BF16" s="13">
        <f t="shared" si="37"/>
        <v>1.9207601914386063</v>
      </c>
      <c r="BG16" s="20">
        <f t="shared" si="7"/>
        <v>12.10626370048635</v>
      </c>
      <c r="BH16" s="59">
        <f t="shared" si="8"/>
        <v>305.43959703381967</v>
      </c>
      <c r="BI16" s="59">
        <f ca="1">AVERAGE(OFFSET($BH$3,0,0,'Données projet'!$E$11+1,1))-AVERAGE(OFFSET($H$3,0,0,'Données projet'!$E$11+1,1))</f>
        <v>187.18641061466138</v>
      </c>
      <c r="BJ16" s="59">
        <f t="shared" si="38"/>
        <v>143.07246221325369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7.2264102564102561</v>
      </c>
      <c r="BY16" s="12">
        <f>IF('Données projet'!$A$114&gt;35,BY15+BX16-CG15,IF(A16&lt;'Données projet'!$A$114,$BV$205^A16,IF(A16='Données projet'!$A$114,'Données projet'!$B$114,BY15+BX16-CG15)))</f>
        <v>10.286927434759741</v>
      </c>
      <c r="BZ16" s="13">
        <f>BY16*VLOOKUP('Données projet'!$B$12,Paramètres!$A$1:$I$89,3,0)*VLOOKUP('Données projet'!$B$12,Paramètres!$A$1:$I$89,5,0)</f>
        <v>4.8142820394675585</v>
      </c>
      <c r="CA16" s="13">
        <f t="shared" si="39"/>
        <v>1.8477232526006253</v>
      </c>
      <c r="CB16" s="20">
        <f t="shared" si="10"/>
        <v>11.602992550352086</v>
      </c>
      <c r="CC16" s="59">
        <f t="shared" si="11"/>
        <v>304.93632588368541</v>
      </c>
      <c r="CD16" s="59">
        <f ca="1">AVERAGE(OFFSET($CC$3,0,0,'Données projet'!$E$12+1,1))-AVERAGE(OFFSET($H$3,0,0,'Données projet'!$E$12+1,1))</f>
        <v>198.17898804494365</v>
      </c>
      <c r="CE16" s="59">
        <f t="shared" si="40"/>
        <v>186.24772922797723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2.4666666666666668</v>
      </c>
      <c r="CT16" s="12">
        <f>IF('Données projet'!$A$140&gt;35,CT15+CS16-DB15,IF(A16&lt;'Données projet'!$A$140,$CQ$205^A16,IF(A16='Données projet'!$A$140,'Données projet'!$B$140,CT15+CS16-DB15)))</f>
        <v>22.86168101684942</v>
      </c>
      <c r="CU16" s="17">
        <f>CT16*VLOOKUP('Données projet'!$B$13,Paramètres!$A$1:$I$89,3,0)*VLOOKUP('Données projet'!$B$13,Paramètres!$A$1:$I$89,5,0)</f>
        <v>16.762184521553994</v>
      </c>
      <c r="CV16" s="13">
        <f t="shared" si="41"/>
        <v>5.5637883164619248</v>
      </c>
      <c r="CW16" s="20">
        <f t="shared" si="13"/>
        <v>38.884402692877721</v>
      </c>
      <c r="CX16" s="59">
        <f t="shared" si="14"/>
        <v>332.21773602621101</v>
      </c>
      <c r="CY16" s="59">
        <f ca="1">AVERAGE(OFFSET($CX$3,0,0,'Données projet'!$E$13+1,1))-AVERAGE(OFFSET($H$3,0,0,'Données projet'!$E$13+1,1))</f>
        <v>198.78436129430389</v>
      </c>
      <c r="CZ16" s="59">
        <f t="shared" si="42"/>
        <v>198.28846462484438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274.57619581652199</v>
      </c>
      <c r="T17" s="59">
        <f t="shared" si="34"/>
        <v>366.15117322598775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342.51173498532353</v>
      </c>
      <c r="AN17" s="59">
        <f ca="1">AVERAGE(OFFSET($AM$3,0,0,'Données projet'!$E$10+1,1))-AVERAGE(OFFSET($H$3,0,0,'Données projet'!$E$10+1,1))</f>
        <v>278.21846622758881</v>
      </c>
      <c r="AO17" s="59">
        <f t="shared" si="36"/>
        <v>245.37578316242906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4.5417948717948722</v>
      </c>
      <c r="BD17" s="12">
        <f>IF('Données projet'!$A$88&gt;35,BD16+BC17-BL16,IF(A17&lt;'Données projet'!$A$88,$BA$205^A17,IF(A17='Données projet'!$A$88,'Données projet'!$B$88,BD16+BC17-BL16)))</f>
        <v>9.9089908219103773</v>
      </c>
      <c r="BE17" s="13">
        <f>BD17*VLOOKUP('Données projet'!$B$11,Paramètres!$A$1:$I$89,3,0)*VLOOKUP('Données projet'!$B$11,Paramètres!$A$1:$I$89,5,0)</f>
        <v>5.9255765115024062</v>
      </c>
      <c r="BF17" s="13">
        <f t="shared" si="37"/>
        <v>2.2199174854827612</v>
      </c>
      <c r="BG17" s="20">
        <f t="shared" si="7"/>
        <v>14.186735378082497</v>
      </c>
      <c r="BH17" s="59">
        <f t="shared" si="8"/>
        <v>307.52006871141583</v>
      </c>
      <c r="BI17" s="59">
        <f ca="1">AVERAGE(OFFSET($BH$3,0,0,'Données projet'!$E$11+1,1))-AVERAGE(OFFSET($H$3,0,0,'Données projet'!$E$11+1,1))</f>
        <v>187.18641061466138</v>
      </c>
      <c r="BJ17" s="59">
        <f t="shared" si="38"/>
        <v>143.07246221325369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7.2264102564102561</v>
      </c>
      <c r="BY17" s="12">
        <f>IF('Données projet'!$A$114&gt;35,BY16+BX17-CG16,IF(A17&lt;'Données projet'!$A$114,$BV$205^A17,IF(A17='Données projet'!$A$114,'Données projet'!$B$114,BY16+BX17-CG16)))</f>
        <v>12.307045471848836</v>
      </c>
      <c r="BZ17" s="13">
        <f>BY17*VLOOKUP('Données projet'!$B$12,Paramètres!$A$1:$I$89,3,0)*VLOOKUP('Données projet'!$B$12,Paramètres!$A$1:$I$89,5,0)</f>
        <v>5.7596972808252556</v>
      </c>
      <c r="CA17" s="13">
        <f t="shared" si="39"/>
        <v>2.1649167617120959</v>
      </c>
      <c r="CB17" s="20">
        <f t="shared" si="10"/>
        <v>13.802036124085888</v>
      </c>
      <c r="CC17" s="59">
        <f t="shared" si="11"/>
        <v>307.13536945741919</v>
      </c>
      <c r="CD17" s="59">
        <f ca="1">AVERAGE(OFFSET($CC$3,0,0,'Données projet'!$E$12+1,1))-AVERAGE(OFFSET($H$3,0,0,'Données projet'!$E$12+1,1))</f>
        <v>198.17898804494365</v>
      </c>
      <c r="CE17" s="59">
        <f t="shared" si="40"/>
        <v>186.24772922797723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2.4666666666666668</v>
      </c>
      <c r="CT17" s="12">
        <f>IF('Données projet'!$A$140&gt;35,CT16+CS17-DB16,IF(A17&lt;'Données projet'!$A$140,$CQ$205^A17,IF(A17='Données projet'!$A$140,'Données projet'!$B$140,CT16+CS17-DB16)))</f>
        <v>29.084054009429774</v>
      </c>
      <c r="CU17" s="17">
        <f>CT17*VLOOKUP('Données projet'!$B$13,Paramètres!$A$1:$I$89,3,0)*VLOOKUP('Données projet'!$B$13,Paramètres!$A$1:$I$89,5,0)</f>
        <v>21.324428399713909</v>
      </c>
      <c r="CV17" s="13">
        <f t="shared" si="41"/>
        <v>6.8825303376831179</v>
      </c>
      <c r="CW17" s="20">
        <f t="shared" si="13"/>
        <v>49.127119800966483</v>
      </c>
      <c r="CX17" s="59">
        <f t="shared" si="14"/>
        <v>342.46045313429977</v>
      </c>
      <c r="CY17" s="59">
        <f ca="1">AVERAGE(OFFSET($CX$3,0,0,'Données projet'!$E$13+1,1))-AVERAGE(OFFSET($H$3,0,0,'Données projet'!$E$13+1,1))</f>
        <v>198.78436129430389</v>
      </c>
      <c r="CZ17" s="59">
        <f t="shared" si="42"/>
        <v>198.28846462484438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274.57619581652199</v>
      </c>
      <c r="T18" s="59">
        <f t="shared" si="34"/>
        <v>366.15117322598775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356.36562801666247</v>
      </c>
      <c r="AN18" s="59">
        <f ca="1">AVERAGE(OFFSET($AM$3,0,0,'Données projet'!$E$10+1,1))-AVERAGE(OFFSET($H$3,0,0,'Données projet'!$E$10+1,1))</f>
        <v>278.21846622758881</v>
      </c>
      <c r="AO18" s="59">
        <f t="shared" si="36"/>
        <v>245.37578316242906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4.5417948717948722</v>
      </c>
      <c r="BD18" s="12">
        <f>IF('Données projet'!$A$88&gt;35,BD17+BC18-BL17,IF(A18&lt;'Données projet'!$A$88,$BA$205^A18,IF(A18='Données projet'!$A$88,'Données projet'!$B$88,BD17+BC18-BL17)))</f>
        <v>11.672782279895674</v>
      </c>
      <c r="BE18" s="13">
        <f>BD18*VLOOKUP('Données projet'!$B$11,Paramètres!$A$1:$I$89,3,0)*VLOOKUP('Données projet'!$B$11,Paramètres!$A$1:$I$89,5,0)</f>
        <v>6.9803238033776136</v>
      </c>
      <c r="BF18" s="13">
        <f t="shared" si="37"/>
        <v>2.5656683558508773</v>
      </c>
      <c r="BG18" s="20">
        <f t="shared" si="7"/>
        <v>16.625936343989618</v>
      </c>
      <c r="BH18" s="59">
        <f t="shared" si="8"/>
        <v>309.95926967732294</v>
      </c>
      <c r="BI18" s="59">
        <f ca="1">AVERAGE(OFFSET($BH$3,0,0,'Données projet'!$E$11+1,1))-AVERAGE(OFFSET($H$3,0,0,'Données projet'!$E$11+1,1))</f>
        <v>187.18641061466138</v>
      </c>
      <c r="BJ18" s="59">
        <f t="shared" si="38"/>
        <v>143.07246221325369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7.2264102564102561</v>
      </c>
      <c r="BY18" s="12">
        <f>IF('Données projet'!$A$114&gt;35,BY17+BX18-CG17,IF(A18&lt;'Données projet'!$A$114,$BV$205^A18,IF(A18='Données projet'!$A$114,'Données projet'!$B$114,BY17+BX18-CG17)))</f>
        <v>14.723868638788783</v>
      </c>
      <c r="BZ18" s="13">
        <f>BY18*VLOOKUP('Données projet'!$B$12,Paramètres!$A$1:$I$89,3,0)*VLOOKUP('Données projet'!$B$12,Paramètres!$A$1:$I$89,5,0)</f>
        <v>6.89077052295315</v>
      </c>
      <c r="CA18" s="13">
        <f t="shared" si="39"/>
        <v>2.5365619978778424</v>
      </c>
      <c r="CB18" s="20">
        <f t="shared" si="10"/>
        <v>16.419270807113978</v>
      </c>
      <c r="CC18" s="59">
        <f t="shared" si="11"/>
        <v>309.75260414044732</v>
      </c>
      <c r="CD18" s="59">
        <f ca="1">AVERAGE(OFFSET($CC$3,0,0,'Données projet'!$E$12+1,1))-AVERAGE(OFFSET($H$3,0,0,'Données projet'!$E$12+1,1))</f>
        <v>198.17898804494365</v>
      </c>
      <c r="CE18" s="59">
        <f t="shared" si="40"/>
        <v>186.24772922797723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37</v>
      </c>
      <c r="CR18" s="12">
        <f>VLOOKUP(A18,'Données projet'!$A$139:$I$159,9,0)</f>
        <v>2.4666666666666668</v>
      </c>
      <c r="CS18" s="12">
        <f t="array" ref="CS18">INDEX(CR:CR,MIN(IF(ISNUMBER(CR18:CR214),ROW(CR18:CR214),"")))</f>
        <v>2.4666666666666668</v>
      </c>
      <c r="CT18" s="12">
        <f>IF('Données projet'!$A$140&gt;35,CT17+CS18-DB17,IF(A18&lt;'Données projet'!$A$140,$CQ$205^A18,IF(A18='Données projet'!$A$140,'Données projet'!$B$140,CT17+CS18-DB17)))</f>
        <v>37</v>
      </c>
      <c r="CU18" s="17">
        <f>CT18*VLOOKUP('Données projet'!$B$13,Paramètres!$A$1:$I$89,3,0)*VLOOKUP('Données projet'!$B$13,Paramètres!$A$1:$I$89,5,0)</f>
        <v>27.128400000000003</v>
      </c>
      <c r="CV18" s="13">
        <f t="shared" si="41"/>
        <v>8.5138436537878839</v>
      </c>
      <c r="CW18" s="20">
        <f t="shared" si="13"/>
        <v>62.076907697013901</v>
      </c>
      <c r="CX18" s="59">
        <f t="shared" si="14"/>
        <v>355.41024103034721</v>
      </c>
      <c r="CY18" s="59">
        <f ca="1">AVERAGE(OFFSET($CX$3,0,0,'Données projet'!$E$13+1,1))-AVERAGE(OFFSET($H$3,0,0,'Données projet'!$E$13+1,1))</f>
        <v>198.78436129430389</v>
      </c>
      <c r="CZ18" s="59">
        <f t="shared" si="42"/>
        <v>198.28846462484438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15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274.57619581652199</v>
      </c>
      <c r="T19" s="59">
        <f t="shared" si="34"/>
        <v>366.15117322598775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374.13522393344454</v>
      </c>
      <c r="AN19" s="59">
        <f ca="1">AVERAGE(OFFSET($AM$3,0,0,'Données projet'!$E$10+1,1))-AVERAGE(OFFSET($H$3,0,0,'Données projet'!$E$10+1,1))</f>
        <v>278.21846622758881</v>
      </c>
      <c r="AO19" s="59">
        <f t="shared" si="36"/>
        <v>245.37578316242906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4.5417948717948722</v>
      </c>
      <c r="BD19" s="12">
        <f>IF('Données projet'!$A$88&gt;35,BD18+BC19-BL18,IF(A19&lt;'Données projet'!$A$88,$BA$205^A19,IF(A19='Données projet'!$A$88,'Données projet'!$B$88,BD18+BC19-BL18)))</f>
        <v>13.750527031730337</v>
      </c>
      <c r="BE19" s="13">
        <f>BD19*VLOOKUP('Données projet'!$B$11,Paramètres!$A$1:$I$89,3,0)*VLOOKUP('Données projet'!$B$11,Paramètres!$A$1:$I$89,5,0)</f>
        <v>8.2228151649747439</v>
      </c>
      <c r="BF19" s="13">
        <f t="shared" si="37"/>
        <v>2.9652697252317135</v>
      </c>
      <c r="BG19" s="20">
        <f t="shared" si="7"/>
        <v>19.485914517109581</v>
      </c>
      <c r="BH19" s="59">
        <f t="shared" si="8"/>
        <v>312.81924785044288</v>
      </c>
      <c r="BI19" s="59">
        <f ca="1">AVERAGE(OFFSET($BH$3,0,0,'Données projet'!$E$11+1,1))-AVERAGE(OFFSET($H$3,0,0,'Données projet'!$E$11+1,1))</f>
        <v>187.18641061466138</v>
      </c>
      <c r="BJ19" s="59">
        <f t="shared" si="38"/>
        <v>143.07246221325369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7.2264102564102561</v>
      </c>
      <c r="BY19" s="12">
        <f>IF('Données projet'!$A$114&gt;35,BY18+BX19-CG18,IF(A19&lt;'Données projet'!$A$114,$BV$205^A19,IF(A19='Données projet'!$A$114,'Données projet'!$B$114,BY18+BX19-CG18)))</f>
        <v>17.61530077939495</v>
      </c>
      <c r="BZ19" s="13">
        <f>BY19*VLOOKUP('Données projet'!$B$12,Paramètres!$A$1:$I$89,3,0)*VLOOKUP('Données projet'!$B$12,Paramètres!$A$1:$I$89,5,0)</f>
        <v>8.2439607647568369</v>
      </c>
      <c r="CA19" s="13">
        <f t="shared" si="39"/>
        <v>2.972006537558364</v>
      </c>
      <c r="CB19" s="20">
        <f t="shared" si="10"/>
        <v>19.534476384865641</v>
      </c>
      <c r="CC19" s="59">
        <f t="shared" si="11"/>
        <v>312.86780971819894</v>
      </c>
      <c r="CD19" s="59">
        <f ca="1">AVERAGE(OFFSET($CC$3,0,0,'Données projet'!$E$12+1,1))-AVERAGE(OFFSET($H$3,0,0,'Données projet'!$E$12+1,1))</f>
        <v>198.17898804494365</v>
      </c>
      <c r="CE19" s="59">
        <f t="shared" si="40"/>
        <v>186.24772922797723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11.6</v>
      </c>
      <c r="CT19" s="12">
        <f>IF('Données projet'!$A$140&gt;35,CT18+CS19-DB18,IF(A19&lt;'Données projet'!$A$140,$CQ$205^A19,IF(A19='Données projet'!$A$140,'Données projet'!$B$140,CT18+CS19-DB18)))</f>
        <v>33.6</v>
      </c>
      <c r="CU19" s="17">
        <f>CT19*VLOOKUP('Données projet'!$B$13,Paramètres!$A$1:$I$89,3,0)*VLOOKUP('Données projet'!$B$13,Paramètres!$A$1:$I$89,5,0)</f>
        <v>24.63552</v>
      </c>
      <c r="CV19" s="13">
        <f t="shared" si="41"/>
        <v>7.8187263384607988</v>
      </c>
      <c r="CW19" s="20">
        <f t="shared" si="13"/>
        <v>56.52447903948589</v>
      </c>
      <c r="CX19" s="59">
        <f t="shared" si="14"/>
        <v>349.85781237281918</v>
      </c>
      <c r="CY19" s="59">
        <f ca="1">AVERAGE(OFFSET($CX$3,0,0,'Données projet'!$E$13+1,1))-AVERAGE(OFFSET($H$3,0,0,'Données projet'!$E$13+1,1))</f>
        <v>198.78436129430389</v>
      </c>
      <c r="CZ19" s="59">
        <f t="shared" si="42"/>
        <v>198.28846462484438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274.57619581652199</v>
      </c>
      <c r="T20" s="59">
        <f t="shared" si="34"/>
        <v>366.15117322598775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396.93065741732249</v>
      </c>
      <c r="AN20" s="59">
        <f ca="1">AVERAGE(OFFSET($AM$3,0,0,'Données projet'!$E$10+1,1))-AVERAGE(OFFSET($H$3,0,0,'Données projet'!$E$10+1,1))</f>
        <v>278.21846622758881</v>
      </c>
      <c r="AO20" s="59">
        <f t="shared" si="36"/>
        <v>245.37578316242906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4.5417948717948722</v>
      </c>
      <c r="BD20" s="12">
        <f>IF('Données projet'!$A$88&gt;35,BD19+BC20-BL19,IF(A20&lt;'Données projet'!$A$88,$BA$205^A20,IF(A20='Données projet'!$A$88,'Données projet'!$B$88,BD19+BC20-BL19)))</f>
        <v>16.198108481471358</v>
      </c>
      <c r="BE20" s="13">
        <f>BD20*VLOOKUP('Données projet'!$B$11,Paramètres!$A$1:$I$89,3,0)*VLOOKUP('Données projet'!$B$11,Paramètres!$A$1:$I$89,5,0)</f>
        <v>9.6864688719198728</v>
      </c>
      <c r="BF20" s="13">
        <f t="shared" si="37"/>
        <v>3.4271087778450267</v>
      </c>
      <c r="BG20" s="20">
        <f t="shared" si="7"/>
        <v>22.839481073340533</v>
      </c>
      <c r="BH20" s="59">
        <f t="shared" si="8"/>
        <v>316.17281440667387</v>
      </c>
      <c r="BI20" s="59">
        <f ca="1">AVERAGE(OFFSET($BH$3,0,0,'Données projet'!$E$11+1,1))-AVERAGE(OFFSET($H$3,0,0,'Données projet'!$E$11+1,1))</f>
        <v>187.18641061466138</v>
      </c>
      <c r="BJ20" s="59">
        <f t="shared" si="38"/>
        <v>143.07246221325369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7.2264102564102561</v>
      </c>
      <c r="BY20" s="12">
        <f>IF('Données projet'!$A$114&gt;35,BY19+BX20-CG19,IF(A20&lt;'Données projet'!$A$114,$BV$205^A20,IF(A20='Données projet'!$A$114,'Données projet'!$B$114,BY19+BX20-CG19)))</f>
        <v>21.074544276434004</v>
      </c>
      <c r="BZ20" s="13">
        <f>BY20*VLOOKUP('Données projet'!$B$12,Paramètres!$A$1:$I$89,3,0)*VLOOKUP('Données projet'!$B$12,Paramètres!$A$1:$I$89,5,0)</f>
        <v>9.8628867213711136</v>
      </c>
      <c r="CA20" s="13">
        <f t="shared" si="39"/>
        <v>3.4822026296536168</v>
      </c>
      <c r="CB20" s="20">
        <f t="shared" si="10"/>
        <v>23.24269728636807</v>
      </c>
      <c r="CC20" s="59">
        <f t="shared" si="11"/>
        <v>316.57603061970138</v>
      </c>
      <c r="CD20" s="59">
        <f ca="1">AVERAGE(OFFSET($CC$3,0,0,'Données projet'!$E$12+1,1))-AVERAGE(OFFSET($H$3,0,0,'Données projet'!$E$12+1,1))</f>
        <v>198.17898804494365</v>
      </c>
      <c r="CE20" s="59">
        <f t="shared" si="40"/>
        <v>186.24772922797723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11.6</v>
      </c>
      <c r="CT20" s="12">
        <f>IF('Données projet'!$A$140&gt;35,CT19+CS20-DB19,IF(A20&lt;'Données projet'!$A$140,$CQ$205^A20,IF(A20='Données projet'!$A$140,'Données projet'!$B$140,CT19+CS20-DB19)))</f>
        <v>45.2</v>
      </c>
      <c r="CU20" s="17">
        <f>CT20*VLOOKUP('Données projet'!$B$13,Paramètres!$A$1:$I$89,3,0)*VLOOKUP('Données projet'!$B$13,Paramètres!$A$1:$I$89,5,0)</f>
        <v>33.140639999999998</v>
      </c>
      <c r="CV20" s="13">
        <f t="shared" si="41"/>
        <v>10.161152005886803</v>
      </c>
      <c r="CW20" s="20">
        <f t="shared" si="13"/>
        <v>75.417287743586172</v>
      </c>
      <c r="CX20" s="59">
        <f t="shared" si="14"/>
        <v>368.75062107691951</v>
      </c>
      <c r="CY20" s="59">
        <f ca="1">AVERAGE(OFFSET($CX$3,0,0,'Données projet'!$E$13+1,1))-AVERAGE(OFFSET($H$3,0,0,'Données projet'!$E$13+1,1))</f>
        <v>198.78436129430389</v>
      </c>
      <c r="CZ20" s="59">
        <f t="shared" si="42"/>
        <v>198.28846462484438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274.57619581652199</v>
      </c>
      <c r="T21" s="59">
        <f t="shared" si="34"/>
        <v>366.15117322598775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426.17767879021477</v>
      </c>
      <c r="AN21" s="59">
        <f ca="1">AVERAGE(OFFSET($AM$3,0,0,'Données projet'!$E$10+1,1))-AVERAGE(OFFSET($H$3,0,0,'Données projet'!$E$10+1,1))</f>
        <v>278.21846622758881</v>
      </c>
      <c r="AO21" s="59">
        <f t="shared" si="36"/>
        <v>245.37578316242906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4.5417948717948722</v>
      </c>
      <c r="BD21" s="12">
        <f>IF('Données projet'!$A$88&gt;35,BD20+BC21-BL20,IF(A21&lt;'Données projet'!$A$88,$BA$205^A21,IF(A21='Données projet'!$A$88,'Données projet'!$B$88,BD20+BC21-BL20)))</f>
        <v>19.081357228857957</v>
      </c>
      <c r="BE21" s="13">
        <f>BD21*VLOOKUP('Données projet'!$B$11,Paramètres!$A$1:$I$89,3,0)*VLOOKUP('Données projet'!$B$11,Paramètres!$A$1:$I$89,5,0)</f>
        <v>11.41065162285706</v>
      </c>
      <c r="BF21" s="13">
        <f t="shared" si="37"/>
        <v>3.9608789970243423</v>
      </c>
      <c r="BG21" s="20">
        <f t="shared" si="7"/>
        <v>26.772082496293439</v>
      </c>
      <c r="BH21" s="59">
        <f t="shared" si="8"/>
        <v>320.10541582962674</v>
      </c>
      <c r="BI21" s="59">
        <f ca="1">AVERAGE(OFFSET($BH$3,0,0,'Données projet'!$E$11+1,1))-AVERAGE(OFFSET($H$3,0,0,'Données projet'!$E$11+1,1))</f>
        <v>187.18641061466138</v>
      </c>
      <c r="BJ21" s="59">
        <f t="shared" si="38"/>
        <v>143.07246221325369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7.2264102564102561</v>
      </c>
      <c r="BY21" s="12">
        <f>IF('Données projet'!$A$114&gt;35,BY20+BX21-CG20,IF(A21&lt;'Données projet'!$A$114,$BV$205^A21,IF(A21='Données projet'!$A$114,'Données projet'!$B$114,BY20+BX21-CG20)))</f>
        <v>25.213104335913162</v>
      </c>
      <c r="BZ21" s="13">
        <f>BY21*VLOOKUP('Données projet'!$B$12,Paramètres!$A$1:$I$89,3,0)*VLOOKUP('Données projet'!$B$12,Paramètres!$A$1:$I$89,5,0)</f>
        <v>11.799732829207361</v>
      </c>
      <c r="CA21" s="13">
        <f t="shared" si="39"/>
        <v>4.079982665155371</v>
      </c>
      <c r="CB21" s="20">
        <f t="shared" si="10"/>
        <v>27.657171152681755</v>
      </c>
      <c r="CC21" s="59">
        <f t="shared" si="11"/>
        <v>320.99050448601508</v>
      </c>
      <c r="CD21" s="59">
        <f ca="1">AVERAGE(OFFSET($CC$3,0,0,'Données projet'!$E$12+1,1))-AVERAGE(OFFSET($H$3,0,0,'Données projet'!$E$12+1,1))</f>
        <v>198.17898804494365</v>
      </c>
      <c r="CE21" s="59">
        <f t="shared" si="40"/>
        <v>186.24772922797723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11.6</v>
      </c>
      <c r="CT21" s="12">
        <f>IF('Données projet'!$A$140&gt;35,CT20+CS21-DB20,IF(A21&lt;'Données projet'!$A$140,$CQ$205^A21,IF(A21='Données projet'!$A$140,'Données projet'!$B$140,CT20+CS21-DB20)))</f>
        <v>56.800000000000004</v>
      </c>
      <c r="CU21" s="17">
        <f>CT21*VLOOKUP('Données projet'!$B$13,Paramètres!$A$1:$I$89,3,0)*VLOOKUP('Données projet'!$B$13,Paramètres!$A$1:$I$89,5,0)</f>
        <v>41.645760000000003</v>
      </c>
      <c r="CV21" s="13">
        <f t="shared" si="41"/>
        <v>12.433826892120967</v>
      </c>
      <c r="CW21" s="20">
        <f t="shared" si="13"/>
        <v>94.18861383711068</v>
      </c>
      <c r="CX21" s="59">
        <f t="shared" si="14"/>
        <v>387.52194717044398</v>
      </c>
      <c r="CY21" s="59">
        <f ca="1">AVERAGE(OFFSET($CX$3,0,0,'Données projet'!$E$13+1,1))-AVERAGE(OFFSET($H$3,0,0,'Données projet'!$E$13+1,1))</f>
        <v>198.78436129430389</v>
      </c>
      <c r="CZ21" s="59">
        <f t="shared" si="42"/>
        <v>198.28846462484438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274.57619581652199</v>
      </c>
      <c r="T22" s="59">
        <f t="shared" si="34"/>
        <v>366.15117322598775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463.70761417047311</v>
      </c>
      <c r="AN22" s="59">
        <f ca="1">AVERAGE(OFFSET($AM$3,0,0,'Données projet'!$E$10+1,1))-AVERAGE(OFFSET($H$3,0,0,'Données projet'!$E$10+1,1))</f>
        <v>278.21846622758881</v>
      </c>
      <c r="AO22" s="59">
        <f t="shared" si="36"/>
        <v>245.37578316242906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4.5417948717948722</v>
      </c>
      <c r="BD22" s="12">
        <f>IF('Données projet'!$A$88&gt;35,BD21+BC22-BL21,IF(A22&lt;'Données projet'!$A$88,$BA$205^A22,IF(A22='Données projet'!$A$88,'Données projet'!$B$88,BD21+BC22-BL21)))</f>
        <v>22.477821661200334</v>
      </c>
      <c r="BE22" s="13">
        <f>BD22*VLOOKUP('Données projet'!$B$11,Paramètres!$A$1:$I$89,3,0)*VLOOKUP('Données projet'!$B$11,Paramètres!$A$1:$I$89,5,0)</f>
        <v>13.441737353397802</v>
      </c>
      <c r="BF22" s="13">
        <f t="shared" si="37"/>
        <v>4.5777836205518874</v>
      </c>
      <c r="BG22" s="20">
        <f t="shared" si="7"/>
        <v>31.383999029629038</v>
      </c>
      <c r="BH22" s="59">
        <f t="shared" si="8"/>
        <v>324.71733236296234</v>
      </c>
      <c r="BI22" s="59">
        <f ca="1">AVERAGE(OFFSET($BH$3,0,0,'Données projet'!$E$11+1,1))-AVERAGE(OFFSET($H$3,0,0,'Données projet'!$E$11+1,1))</f>
        <v>187.18641061466138</v>
      </c>
      <c r="BJ22" s="59">
        <f t="shared" si="38"/>
        <v>143.07246221325369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7.2264102564102561</v>
      </c>
      <c r="BY22" s="12">
        <f>IF('Données projet'!$A$114&gt;35,BY21+BX22-CG21,IF(A22&lt;'Données projet'!$A$114,$BV$205^A22,IF(A22='Données projet'!$A$114,'Données projet'!$B$114,BY21+BX22-CG21)))</f>
        <v>30.164383244315122</v>
      </c>
      <c r="BZ22" s="13">
        <f>BY22*VLOOKUP('Données projet'!$B$12,Paramètres!$A$1:$I$89,3,0)*VLOOKUP('Données projet'!$B$12,Paramètres!$A$1:$I$89,5,0)</f>
        <v>14.116931358339476</v>
      </c>
      <c r="CA22" s="13">
        <f t="shared" si="39"/>
        <v>4.7803819359082427</v>
      </c>
      <c r="CB22" s="20">
        <f t="shared" si="10"/>
        <v>32.912820654148106</v>
      </c>
      <c r="CC22" s="59">
        <f t="shared" si="11"/>
        <v>326.24615398748142</v>
      </c>
      <c r="CD22" s="59">
        <f ca="1">AVERAGE(OFFSET($CC$3,0,0,'Données projet'!$E$12+1,1))-AVERAGE(OFFSET($H$3,0,0,'Données projet'!$E$12+1,1))</f>
        <v>198.17898804494365</v>
      </c>
      <c r="CE22" s="59">
        <f t="shared" si="40"/>
        <v>186.24772922797723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11.6</v>
      </c>
      <c r="CT22" s="12">
        <f>IF('Données projet'!$A$140&gt;35,CT21+CS22-DB21,IF(A22&lt;'Données projet'!$A$140,$CQ$205^A22,IF(A22='Données projet'!$A$140,'Données projet'!$B$140,CT21+CS22-DB21)))</f>
        <v>68.400000000000006</v>
      </c>
      <c r="CU22" s="17">
        <f>CT22*VLOOKUP('Données projet'!$B$13,Paramètres!$A$1:$I$89,3,0)*VLOOKUP('Données projet'!$B$13,Paramètres!$A$1:$I$89,5,0)</f>
        <v>50.150880000000008</v>
      </c>
      <c r="CV22" s="13">
        <f t="shared" si="41"/>
        <v>14.652718245804536</v>
      </c>
      <c r="CW22" s="20">
        <f t="shared" si="13"/>
        <v>112.86626694477626</v>
      </c>
      <c r="CX22" s="59">
        <f t="shared" si="14"/>
        <v>406.19960027810959</v>
      </c>
      <c r="CY22" s="59">
        <f ca="1">AVERAGE(OFFSET($CX$3,0,0,'Données projet'!$E$13+1,1))-AVERAGE(OFFSET($H$3,0,0,'Données projet'!$E$13+1,1))</f>
        <v>198.78436129430389</v>
      </c>
      <c r="CZ22" s="59">
        <f t="shared" si="42"/>
        <v>198.28846462484438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274.57619581652199</v>
      </c>
      <c r="T23" s="59">
        <f t="shared" si="34"/>
        <v>366.15117322598775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423.57293470145942</v>
      </c>
      <c r="AN23" s="59">
        <f ca="1">AVERAGE(OFFSET($AM$3,0,0,'Données projet'!$E$10+1,1))-AVERAGE(OFFSET($H$3,0,0,'Données projet'!$E$10+1,1))</f>
        <v>278.21846622758881</v>
      </c>
      <c r="AO23" s="59">
        <f t="shared" si="36"/>
        <v>245.37578316242906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4.5417948717948722</v>
      </c>
      <c r="BD23" s="12">
        <f>IF('Données projet'!$A$88&gt;35,BD22+BC23-BL22,IF(A23&lt;'Données projet'!$A$88,$BA$205^A23,IF(A23='Données projet'!$A$88,'Données projet'!$B$88,BD22+BC23-BL22)))</f>
        <v>26.478853709032887</v>
      </c>
      <c r="BE23" s="13">
        <f>BD23*VLOOKUP('Données projet'!$B$11,Paramètres!$A$1:$I$89,3,0)*VLOOKUP('Données projet'!$B$11,Paramètres!$A$1:$I$89,5,0)</f>
        <v>15.834354518001666</v>
      </c>
      <c r="BF23" s="13">
        <f t="shared" si="37"/>
        <v>5.2907707840448186</v>
      </c>
      <c r="BG23" s="20">
        <f t="shared" si="7"/>
        <v>36.792926567730966</v>
      </c>
      <c r="BH23" s="59">
        <f t="shared" si="8"/>
        <v>330.12625990106426</v>
      </c>
      <c r="BI23" s="59">
        <f ca="1">AVERAGE(OFFSET($BH$3,0,0,'Données projet'!$E$11+1,1))-AVERAGE(OFFSET($H$3,0,0,'Données projet'!$E$11+1,1))</f>
        <v>187.18641061466138</v>
      </c>
      <c r="BJ23" s="59">
        <f t="shared" si="38"/>
        <v>143.07246221325369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7.2264102564102561</v>
      </c>
      <c r="BY23" s="12">
        <f>IF('Données projet'!$A$114&gt;35,BY22+BX23-CG22,IF(A23&lt;'Données projet'!$A$114,$BV$205^A23,IF(A23='Données projet'!$A$114,'Données projet'!$B$114,BY22+BX23-CG22)))</f>
        <v>36.0879804560157</v>
      </c>
      <c r="BZ23" s="13">
        <f>BY23*VLOOKUP('Données projet'!$B$12,Paramètres!$A$1:$I$89,3,0)*VLOOKUP('Données projet'!$B$12,Paramètres!$A$1:$I$89,5,0)</f>
        <v>16.889174853415348</v>
      </c>
      <c r="CA23" s="13">
        <f t="shared" si="39"/>
        <v>5.6010168004690764</v>
      </c>
      <c r="CB23" s="20">
        <f t="shared" si="10"/>
        <v>39.170417130515368</v>
      </c>
      <c r="CC23" s="59">
        <f t="shared" si="11"/>
        <v>332.50375046384869</v>
      </c>
      <c r="CD23" s="59">
        <f ca="1">AVERAGE(OFFSET($CC$3,0,0,'Données projet'!$E$12+1,1))-AVERAGE(OFFSET($H$3,0,0,'Données projet'!$E$12+1,1))</f>
        <v>198.17898804494365</v>
      </c>
      <c r="CE23" s="59">
        <f t="shared" si="40"/>
        <v>186.24772922797723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80</v>
      </c>
      <c r="CR23" s="12">
        <f>VLOOKUP(A23,'Données projet'!$A$139:$I$159,9,0)</f>
        <v>11.6</v>
      </c>
      <c r="CS23" s="12">
        <f t="array" ref="CS23">INDEX(CR:CR,MIN(IF(ISNUMBER(CR23:CR219),ROW(CR23:CR219),"")))</f>
        <v>11.6</v>
      </c>
      <c r="CT23" s="12">
        <f>IF('Données projet'!$A$140&gt;35,CT22+CS23-DB22,IF(A23&lt;'Données projet'!$A$140,$CQ$205^A23,IF(A23='Données projet'!$A$140,'Données projet'!$B$140,CT22+CS23-DB22)))</f>
        <v>80</v>
      </c>
      <c r="CU23" s="17">
        <f>CT23*VLOOKUP('Données projet'!$B$13,Paramètres!$A$1:$I$89,3,0)*VLOOKUP('Données projet'!$B$13,Paramètres!$A$1:$I$89,5,0)</f>
        <v>58.655999999999992</v>
      </c>
      <c r="CV23" s="13">
        <f t="shared" si="41"/>
        <v>16.828016909929062</v>
      </c>
      <c r="CW23" s="20">
        <f t="shared" si="13"/>
        <v>131.46799611812642</v>
      </c>
      <c r="CX23" s="59">
        <f t="shared" si="14"/>
        <v>424.80132945145976</v>
      </c>
      <c r="CY23" s="59">
        <f ca="1">AVERAGE(OFFSET($CX$3,0,0,'Données projet'!$E$13+1,1))-AVERAGE(OFFSET($H$3,0,0,'Données projet'!$E$13+1,1))</f>
        <v>198.78436129430389</v>
      </c>
      <c r="CZ23" s="59">
        <f t="shared" si="42"/>
        <v>198.28846462484438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28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274.57619581652199</v>
      </c>
      <c r="T24" s="59">
        <f t="shared" si="34"/>
        <v>366.15117322598775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444.03769910908363</v>
      </c>
      <c r="AN24" s="59">
        <f ca="1">AVERAGE(OFFSET($AM$3,0,0,'Données projet'!$E$10+1,1))-AVERAGE(OFFSET($H$3,0,0,'Données projet'!$E$10+1,1))</f>
        <v>278.21846622758881</v>
      </c>
      <c r="AO24" s="59">
        <f t="shared" si="36"/>
        <v>245.37578316242906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4.5417948717948722</v>
      </c>
      <c r="BD24" s="12">
        <f>IF('Données projet'!$A$88&gt;35,BD23+BC24-BL23,IF(A24&lt;'Données projet'!$A$88,$BA$205^A24,IF(A24='Données projet'!$A$88,'Données projet'!$B$88,BD23+BC24-BL23)))</f>
        <v>31.192065864398515</v>
      </c>
      <c r="BE24" s="13">
        <f>BD24*VLOOKUP('Données projet'!$B$11,Paramètres!$A$1:$I$89,3,0)*VLOOKUP('Données projet'!$B$11,Paramètres!$A$1:$I$89,5,0)</f>
        <v>18.652855386910314</v>
      </c>
      <c r="BF24" s="13">
        <f t="shared" si="37"/>
        <v>6.1148052877884913</v>
      </c>
      <c r="BG24" s="20">
        <f t="shared" si="7"/>
        <v>43.137009008433751</v>
      </c>
      <c r="BH24" s="59">
        <f t="shared" si="8"/>
        <v>336.47034234176704</v>
      </c>
      <c r="BI24" s="59">
        <f ca="1">AVERAGE(OFFSET($BH$3,0,0,'Données projet'!$E$11+1,1))-AVERAGE(OFFSET($H$3,0,0,'Données projet'!$E$11+1,1))</f>
        <v>187.18641061466138</v>
      </c>
      <c r="BJ24" s="59">
        <f t="shared" si="38"/>
        <v>143.07246221325369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7.2264102564102561</v>
      </c>
      <c r="BY24" s="12">
        <f>IF('Données projet'!$A$114&gt;35,BY23+BX24-CG23,IF(A24&lt;'Données projet'!$A$114,$BV$205^A24,IF(A24='Données projet'!$A$114,'Données projet'!$B$114,BY23+BX24-CG23)))</f>
        <v>43.17483711984115</v>
      </c>
      <c r="BZ24" s="13">
        <f>BY24*VLOOKUP('Données projet'!$B$12,Paramètres!$A$1:$I$89,3,0)*VLOOKUP('Données projet'!$B$12,Paramètres!$A$1:$I$89,5,0)</f>
        <v>20.205823772085658</v>
      </c>
      <c r="CA24" s="13">
        <f t="shared" si="39"/>
        <v>6.5625277686471071</v>
      </c>
      <c r="CB24" s="20">
        <f t="shared" si="10"/>
        <v>46.621545600109563</v>
      </c>
      <c r="CC24" s="59">
        <f t="shared" si="11"/>
        <v>339.9548789334429</v>
      </c>
      <c r="CD24" s="59">
        <f ca="1">AVERAGE(OFFSET($CC$3,0,0,'Données projet'!$E$12+1,1))-AVERAGE(OFFSET($H$3,0,0,'Données projet'!$E$12+1,1))</f>
        <v>198.17898804494365</v>
      </c>
      <c r="CE24" s="59">
        <f t="shared" si="40"/>
        <v>186.24772922797723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12.6</v>
      </c>
      <c r="CT24" s="12">
        <f>IF('Données projet'!$A$140&gt;35,CT23+CS24-DB23,IF(A24&lt;'Données projet'!$A$140,$CQ$205^A24,IF(A24='Données projet'!$A$140,'Données projet'!$B$140,CT23+CS24-DB23)))</f>
        <v>64.599999999999994</v>
      </c>
      <c r="CU24" s="17">
        <f>CT24*VLOOKUP('Données projet'!$B$13,Paramètres!$A$1:$I$89,3,0)*VLOOKUP('Données projet'!$B$13,Paramètres!$A$1:$I$89,5,0)</f>
        <v>47.364719999999991</v>
      </c>
      <c r="CV24" s="13">
        <f t="shared" si="41"/>
        <v>13.931057351916726</v>
      </c>
      <c r="CW24" s="20">
        <f t="shared" si="13"/>
        <v>106.75681222125495</v>
      </c>
      <c r="CX24" s="59">
        <f t="shared" si="14"/>
        <v>400.09014555458828</v>
      </c>
      <c r="CY24" s="59">
        <f ca="1">AVERAGE(OFFSET($CX$3,0,0,'Données projet'!$E$13+1,1))-AVERAGE(OFFSET($H$3,0,0,'Données projet'!$E$13+1,1))</f>
        <v>198.78436129430389</v>
      </c>
      <c r="CZ24" s="59">
        <f t="shared" si="42"/>
        <v>198.28846462484438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274.57619581652199</v>
      </c>
      <c r="T25" s="59">
        <f t="shared" si="34"/>
        <v>366.15117322598775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464.43616743233019</v>
      </c>
      <c r="AN25" s="59">
        <f ca="1">AVERAGE(OFFSET($AM$3,0,0,'Données projet'!$E$10+1,1))-AVERAGE(OFFSET($H$3,0,0,'Données projet'!$E$10+1,1))</f>
        <v>278.21846622758881</v>
      </c>
      <c r="AO25" s="59">
        <f t="shared" si="36"/>
        <v>245.37578316242906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4.5417948717948722</v>
      </c>
      <c r="BD25" s="12">
        <f>IF('Données projet'!$A$88&gt;35,BD24+BC25-BL24,IF(A25&lt;'Données projet'!$A$88,$BA$205^A25,IF(A25='Données projet'!$A$88,'Données projet'!$B$88,BD24+BC25-BL24)))</f>
        <v>36.744225546178725</v>
      </c>
      <c r="BE25" s="13">
        <f>BD25*VLOOKUP('Données projet'!$B$11,Paramètres!$A$1:$I$89,3,0)*VLOOKUP('Données projet'!$B$11,Paramètres!$A$1:$I$89,5,0)</f>
        <v>21.973046876614877</v>
      </c>
      <c r="BF25" s="13">
        <f t="shared" si="37"/>
        <v>7.0671826910975453</v>
      </c>
      <c r="BG25" s="20">
        <f t="shared" si="7"/>
        <v>50.578399830432467</v>
      </c>
      <c r="BH25" s="59">
        <f t="shared" si="8"/>
        <v>343.9117331637658</v>
      </c>
      <c r="BI25" s="59">
        <f ca="1">AVERAGE(OFFSET($BH$3,0,0,'Données projet'!$E$11+1,1))-AVERAGE(OFFSET($H$3,0,0,'Données projet'!$E$11+1,1))</f>
        <v>187.18641061466138</v>
      </c>
      <c r="BJ25" s="59">
        <f t="shared" si="38"/>
        <v>143.07246221325369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7.2264102564102561</v>
      </c>
      <c r="BY25" s="12">
        <f>IF('Données projet'!$A$114&gt;35,BY24+BX25-CG24,IF(A25&lt;'Données projet'!$A$114,$BV$205^A25,IF(A25='Données projet'!$A$114,'Données projet'!$B$114,BY24+BX25-CG24)))</f>
        <v>51.653390873361616</v>
      </c>
      <c r="BZ25" s="13">
        <f>BY25*VLOOKUP('Données projet'!$B$12,Paramètres!$A$1:$I$89,3,0)*VLOOKUP('Données projet'!$B$12,Paramètres!$A$1:$I$89,5,0)</f>
        <v>24.173786928733236</v>
      </c>
      <c r="CA25" s="13">
        <f t="shared" si="39"/>
        <v>7.6890986491341353</v>
      </c>
      <c r="CB25" s="20">
        <f t="shared" si="10"/>
        <v>55.494525714785674</v>
      </c>
      <c r="CC25" s="59">
        <f t="shared" si="11"/>
        <v>348.82785904811897</v>
      </c>
      <c r="CD25" s="59">
        <f ca="1">AVERAGE(OFFSET($CC$3,0,0,'Données projet'!$E$12+1,1))-AVERAGE(OFFSET($H$3,0,0,'Données projet'!$E$12+1,1))</f>
        <v>198.17898804494365</v>
      </c>
      <c r="CE25" s="59">
        <f t="shared" si="40"/>
        <v>186.24772922797723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12.6</v>
      </c>
      <c r="CT25" s="12">
        <f>IF('Données projet'!$A$140&gt;35,CT24+CS25-DB24,IF(A25&lt;'Données projet'!$A$140,$CQ$205^A25,IF(A25='Données projet'!$A$140,'Données projet'!$B$140,CT24+CS25-DB24)))</f>
        <v>77.199999999999989</v>
      </c>
      <c r="CU25" s="17">
        <f>CT25*VLOOKUP('Données projet'!$B$13,Paramètres!$A$1:$I$89,3,0)*VLOOKUP('Données projet'!$B$13,Paramètres!$A$1:$I$89,5,0)</f>
        <v>56.603039999999986</v>
      </c>
      <c r="CV25" s="13">
        <f t="shared" si="41"/>
        <v>16.306519487923971</v>
      </c>
      <c r="CW25" s="20">
        <f t="shared" si="13"/>
        <v>126.98414944146755</v>
      </c>
      <c r="CX25" s="59">
        <f t="shared" si="14"/>
        <v>420.31748277480085</v>
      </c>
      <c r="CY25" s="59">
        <f ca="1">AVERAGE(OFFSET($CX$3,0,0,'Données projet'!$E$13+1,1))-AVERAGE(OFFSET($H$3,0,0,'Données projet'!$E$13+1,1))</f>
        <v>198.78436129430389</v>
      </c>
      <c r="CZ25" s="59">
        <f t="shared" si="42"/>
        <v>198.28846462484438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274.57619581652199</v>
      </c>
      <c r="T26" s="59">
        <f t="shared" si="34"/>
        <v>366.15117322598775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484.77736319864221</v>
      </c>
      <c r="AN26" s="59">
        <f ca="1">AVERAGE(OFFSET($AM$3,0,0,'Données projet'!$E$10+1,1))-AVERAGE(OFFSET($H$3,0,0,'Données projet'!$E$10+1,1))</f>
        <v>278.21846622758881</v>
      </c>
      <c r="AO26" s="59">
        <f t="shared" si="36"/>
        <v>245.37578316242906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4.5417948717948722</v>
      </c>
      <c r="BD26" s="12">
        <f>IF('Données projet'!$A$88&gt;35,BD25+BC26-BL25,IF(A26&lt;'Données projet'!$A$88,$BA$205^A26,IF(A26='Données projet'!$A$88,'Données projet'!$B$88,BD25+BC26-BL25)))</f>
        <v>43.284664659850286</v>
      </c>
      <c r="BE26" s="13">
        <f>BD26*VLOOKUP('Données projet'!$B$11,Paramètres!$A$1:$I$89,3,0)*VLOOKUP('Données projet'!$B$11,Paramètres!$A$1:$I$89,5,0)</f>
        <v>25.884229466590476</v>
      </c>
      <c r="BF26" s="13">
        <f t="shared" si="37"/>
        <v>8.1678923266928827</v>
      </c>
      <c r="BG26" s="20">
        <f t="shared" si="7"/>
        <v>59.307445456635179</v>
      </c>
      <c r="BH26" s="59">
        <f t="shared" si="8"/>
        <v>352.64077878996852</v>
      </c>
      <c r="BI26" s="59">
        <f ca="1">AVERAGE(OFFSET($BH$3,0,0,'Données projet'!$E$11+1,1))-AVERAGE(OFFSET($H$3,0,0,'Données projet'!$E$11+1,1))</f>
        <v>187.18641061466138</v>
      </c>
      <c r="BJ26" s="59">
        <f t="shared" si="38"/>
        <v>143.07246221325369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7.2264102564102561</v>
      </c>
      <c r="BY26" s="12">
        <f>IF('Données projet'!$A$114&gt;35,BY25+BX26-CG25,IF(A26&lt;'Données projet'!$A$114,$BV$205^A26,IF(A26='Données projet'!$A$114,'Données projet'!$B$114,BY25+BX26-CG25)))</f>
        <v>61.796939298472864</v>
      </c>
      <c r="BZ26" s="13">
        <f>BY26*VLOOKUP('Données projet'!$B$12,Paramètres!$A$1:$I$89,3,0)*VLOOKUP('Données projet'!$B$12,Paramètres!$A$1:$I$89,5,0)</f>
        <v>28.920967591685301</v>
      </c>
      <c r="CA26" s="13">
        <f t="shared" si="39"/>
        <v>9.0090648177637647</v>
      </c>
      <c r="CB26" s="20">
        <f t="shared" si="10"/>
        <v>66.061473113123796</v>
      </c>
      <c r="CC26" s="59">
        <f t="shared" si="11"/>
        <v>359.3948064464571</v>
      </c>
      <c r="CD26" s="59">
        <f ca="1">AVERAGE(OFFSET($CC$3,0,0,'Données projet'!$E$12+1,1))-AVERAGE(OFFSET($H$3,0,0,'Données projet'!$E$12+1,1))</f>
        <v>198.17898804494365</v>
      </c>
      <c r="CE26" s="59">
        <f t="shared" si="40"/>
        <v>186.24772922797723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</v>
      </c>
      <c r="CT26" s="12">
        <f>IF('Données projet'!$A$140&gt;35,CT25+CS26-DB25,IF(A26&lt;'Données projet'!$A$140,$CQ$205^A26,IF(A26='Données projet'!$A$140,'Données projet'!$B$140,CT25+CS26-DB25)))</f>
        <v>89.799999999999983</v>
      </c>
      <c r="CU26" s="17">
        <f>CT26*VLOOKUP('Données projet'!$B$13,Paramètres!$A$1:$I$89,3,0)*VLOOKUP('Données projet'!$B$13,Paramètres!$A$1:$I$89,5,0)</f>
        <v>65.84135999999998</v>
      </c>
      <c r="CV26" s="13">
        <f t="shared" si="41"/>
        <v>18.637068365902625</v>
      </c>
      <c r="CW26" s="20">
        <f t="shared" si="13"/>
        <v>147.13326273728035</v>
      </c>
      <c r="CX26" s="59">
        <f t="shared" si="14"/>
        <v>440.46659607061366</v>
      </c>
      <c r="CY26" s="59">
        <f ca="1">AVERAGE(OFFSET($CX$3,0,0,'Données projet'!$E$13+1,1))-AVERAGE(OFFSET($H$3,0,0,'Données projet'!$E$13+1,1))</f>
        <v>198.78436129430389</v>
      </c>
      <c r="CZ26" s="59">
        <f t="shared" si="42"/>
        <v>198.28846462484438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274.57619581652199</v>
      </c>
      <c r="T27" s="59">
        <f t="shared" si="34"/>
        <v>366.15117322598775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9.240000000000001E-2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505.06823078019431</v>
      </c>
      <c r="AN27" s="59">
        <f ca="1">AVERAGE(OFFSET($AM$3,0,0,'Données projet'!$E$10+1,1))-AVERAGE(OFFSET($H$3,0,0,'Données projet'!$E$10+1,1))</f>
        <v>278.21846622758881</v>
      </c>
      <c r="AO27" s="59">
        <f t="shared" si="36"/>
        <v>245.37578316242906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4.5417948717948722</v>
      </c>
      <c r="BD27" s="12">
        <f>IF('Données projet'!$A$88&gt;35,BD26+BC27-BL26,IF(A27&lt;'Données projet'!$A$88,$BA$205^A27,IF(A27='Données projet'!$A$88,'Données projet'!$B$88,BD26+BC27-BL26)))</f>
        <v>50.989296055813497</v>
      </c>
      <c r="BE27" s="13">
        <f>BD27*VLOOKUP('Données projet'!$B$11,Paramètres!$A$1:$I$89,3,0)*VLOOKUP('Données projet'!$B$11,Paramètres!$A$1:$I$89,5,0)</f>
        <v>30.491599041376471</v>
      </c>
      <c r="BF27" s="13">
        <f t="shared" si="37"/>
        <v>9.4400368543589543</v>
      </c>
      <c r="BG27" s="20">
        <f t="shared" si="7"/>
        <v>69.547599185072542</v>
      </c>
      <c r="BH27" s="59">
        <f t="shared" si="8"/>
        <v>362.88093251840587</v>
      </c>
      <c r="BI27" s="59">
        <f ca="1">AVERAGE(OFFSET($BH$3,0,0,'Données projet'!$E$11+1,1))-AVERAGE(OFFSET($H$3,0,0,'Données projet'!$E$11+1,1))</f>
        <v>187.18641061466138</v>
      </c>
      <c r="BJ27" s="59">
        <f t="shared" si="38"/>
        <v>143.07246221325369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7.2264102564102561</v>
      </c>
      <c r="BY27" s="12">
        <f>IF('Données projet'!$A$114&gt;35,BY26+BX27-CG26,IF(A27&lt;'Données projet'!$A$114,$BV$205^A27,IF(A27='Données projet'!$A$114,'Données projet'!$B$114,BY26+BX27-CG26)))</f>
        <v>73.932449391789717</v>
      </c>
      <c r="BZ27" s="13">
        <f>BY27*VLOOKUP('Données projet'!$B$12,Paramètres!$A$1:$I$89,3,0)*VLOOKUP('Données projet'!$B$12,Paramètres!$A$1:$I$89,5,0)</f>
        <v>34.600386315357589</v>
      </c>
      <c r="CA27" s="13">
        <f t="shared" si="39"/>
        <v>10.555625905490055</v>
      </c>
      <c r="CB27" s="20">
        <f t="shared" si="10"/>
        <v>78.646721284642979</v>
      </c>
      <c r="CC27" s="59">
        <f t="shared" si="11"/>
        <v>371.98005461797629</v>
      </c>
      <c r="CD27" s="59">
        <f ca="1">AVERAGE(OFFSET($CC$3,0,0,'Données projet'!$E$12+1,1))-AVERAGE(OFFSET($H$3,0,0,'Données projet'!$E$12+1,1))</f>
        <v>198.17898804494365</v>
      </c>
      <c r="CE27" s="59">
        <f t="shared" si="40"/>
        <v>186.24772922797723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</v>
      </c>
      <c r="CT27" s="12">
        <f>IF('Données projet'!$A$140&gt;35,CT26+CS27-DB26,IF(A27&lt;'Données projet'!$A$140,$CQ$205^A27,IF(A27='Données projet'!$A$140,'Données projet'!$B$140,CT26+CS27-DB26)))</f>
        <v>102.39999999999998</v>
      </c>
      <c r="CU27" s="17">
        <f>CT27*VLOOKUP('Données projet'!$B$13,Paramètres!$A$1:$I$89,3,0)*VLOOKUP('Données projet'!$B$13,Paramètres!$A$1:$I$89,5,0)</f>
        <v>75.079679999999982</v>
      </c>
      <c r="CV27" s="13">
        <f t="shared" si="41"/>
        <v>20.929732076759169</v>
      </c>
      <c r="CW27" s="20">
        <f t="shared" si="13"/>
        <v>167.2163927003555</v>
      </c>
      <c r="CX27" s="59">
        <f t="shared" si="14"/>
        <v>460.54972603368878</v>
      </c>
      <c r="CY27" s="59">
        <f ca="1">AVERAGE(OFFSET($CX$3,0,0,'Données projet'!$E$13+1,1))-AVERAGE(OFFSET($H$3,0,0,'Données projet'!$E$13+1,1))</f>
        <v>198.78436129430389</v>
      </c>
      <c r="CZ27" s="59">
        <f t="shared" si="42"/>
        <v>198.28846462484438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274.57619581652199</v>
      </c>
      <c r="T28" s="59">
        <f t="shared" si="34"/>
        <v>366.15117322598775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473.51875769401289</v>
      </c>
      <c r="AN28" s="59">
        <f ca="1">AVERAGE(OFFSET($AM$3,0,0,'Données projet'!$E$10+1,1))-AVERAGE(OFFSET($H$3,0,0,'Données projet'!$E$10+1,1))</f>
        <v>278.21846622758881</v>
      </c>
      <c r="AO28" s="59">
        <f t="shared" si="36"/>
        <v>245.37578316242906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4.5417948717948722</v>
      </c>
      <c r="BD28" s="12">
        <f>IF('Données projet'!$A$88&gt;35,BD27+BC28-BL27,IF(A28&lt;'Données projet'!$A$88,$BA$205^A28,IF(A28='Données projet'!$A$88,'Données projet'!$B$88,BD27+BC28-BL27)))</f>
        <v>60.065344913691902</v>
      </c>
      <c r="BE28" s="13">
        <f>BD28*VLOOKUP('Données projet'!$B$11,Paramètres!$A$1:$I$89,3,0)*VLOOKUP('Données projet'!$B$11,Paramètres!$A$1:$I$89,5,0)</f>
        <v>35.919076258387761</v>
      </c>
      <c r="BF28" s="13">
        <f t="shared" si="37"/>
        <v>10.910317159841528</v>
      </c>
      <c r="BG28" s="20">
        <f t="shared" si="7"/>
        <v>81.561193536749343</v>
      </c>
      <c r="BH28" s="59">
        <f t="shared" si="8"/>
        <v>374.89452687008264</v>
      </c>
      <c r="BI28" s="59">
        <f ca="1">AVERAGE(OFFSET($BH$3,0,0,'Données projet'!$E$11+1,1))-AVERAGE(OFFSET($H$3,0,0,'Données projet'!$E$11+1,1))</f>
        <v>187.18641061466138</v>
      </c>
      <c r="BJ28" s="59">
        <f t="shared" si="38"/>
        <v>143.07246221325369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7.2264102564102561</v>
      </c>
      <c r="BY28" s="12">
        <f>IF('Données projet'!$A$114&gt;35,BY27+BX28-CG27,IF(A28&lt;'Données projet'!$A$114,$BV$205^A28,IF(A28='Données projet'!$A$114,'Données projet'!$B$114,BY27+BX28-CG27)))</f>
        <v>88.451097014195071</v>
      </c>
      <c r="BZ28" s="13">
        <f>BY28*VLOOKUP('Données projet'!$B$12,Paramètres!$A$1:$I$89,3,0)*VLOOKUP('Données projet'!$B$12,Paramètres!$A$1:$I$89,5,0)</f>
        <v>41.39511340264329</v>
      </c>
      <c r="CA28" s="13">
        <f t="shared" si="39"/>
        <v>12.367680831528276</v>
      </c>
      <c r="CB28" s="20">
        <f t="shared" si="10"/>
        <v>93.636866624515463</v>
      </c>
      <c r="CC28" s="59">
        <f t="shared" si="11"/>
        <v>386.97019995784876</v>
      </c>
      <c r="CD28" s="59">
        <f ca="1">AVERAGE(OFFSET($CC$3,0,0,'Données projet'!$E$12+1,1))-AVERAGE(OFFSET($H$3,0,0,'Données projet'!$E$12+1,1))</f>
        <v>198.17898804494365</v>
      </c>
      <c r="CE28" s="59">
        <f t="shared" si="40"/>
        <v>186.24772922797723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115</v>
      </c>
      <c r="CR28" s="12">
        <f>VLOOKUP(A28,'Données projet'!$A$139:$I$159,9,0)</f>
        <v>12.6</v>
      </c>
      <c r="CS28" s="12">
        <f t="array" ref="CS28">INDEX(CR:CR,MIN(IF(ISNUMBER(CR28:CR224),ROW(CR28:CR224),"")))</f>
        <v>12.6</v>
      </c>
      <c r="CT28" s="12">
        <f>IF('Données projet'!$A$140&gt;35,CT27+CS28-DB27,IF(A28&lt;'Données projet'!$A$140,$CQ$205^A28,IF(A28='Données projet'!$A$140,'Données projet'!$B$140,CT27+CS28-DB27)))</f>
        <v>114.99999999999997</v>
      </c>
      <c r="CU28" s="17">
        <f>CT28*VLOOKUP('Données projet'!$B$13,Paramètres!$A$1:$I$89,3,0)*VLOOKUP('Données projet'!$B$13,Paramètres!$A$1:$I$89,5,0)</f>
        <v>84.317999999999969</v>
      </c>
      <c r="CV28" s="13">
        <f t="shared" si="41"/>
        <v>23.189705803157239</v>
      </c>
      <c r="CW28" s="20">
        <f t="shared" si="13"/>
        <v>187.24258760716546</v>
      </c>
      <c r="CX28" s="59">
        <f t="shared" si="14"/>
        <v>480.5759209404988</v>
      </c>
      <c r="CY28" s="59">
        <f ca="1">AVERAGE(OFFSET($CX$3,0,0,'Données projet'!$E$13+1,1))-AVERAGE(OFFSET($H$3,0,0,'Données projet'!$E$13+1,1))</f>
        <v>198.78436129430389</v>
      </c>
      <c r="CZ28" s="59">
        <f t="shared" si="42"/>
        <v>198.28846462484438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3.0100000000000002E-2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0.68042574185438831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0.68042574185438831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274.57619581652199</v>
      </c>
      <c r="T29" s="59">
        <f t="shared" si="34"/>
        <v>366.15117322598775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494.25100923194668</v>
      </c>
      <c r="AN29" s="59">
        <f ca="1">AVERAGE(OFFSET($AM$3,0,0,'Données projet'!$E$10+1,1))-AVERAGE(OFFSET($H$3,0,0,'Données projet'!$E$10+1,1))</f>
        <v>278.21846622758881</v>
      </c>
      <c r="AO29" s="59">
        <f t="shared" si="36"/>
        <v>245.37578316242906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4.5417948717948722</v>
      </c>
      <c r="BD29" s="12">
        <f>IF('Données projet'!$A$88&gt;35,BD28+BC29-BL28,IF(A29&lt;'Données projet'!$A$88,$BA$205^A29,IF(A29='Données projet'!$A$88,'Données projet'!$B$88,BD28+BC29-BL28)))</f>
        <v>70.756922308783828</v>
      </c>
      <c r="BE29" s="13">
        <f>BD29*VLOOKUP('Données projet'!$B$11,Paramètres!$A$1:$I$89,3,0)*VLOOKUP('Données projet'!$B$11,Paramètres!$A$1:$I$89,5,0)</f>
        <v>42.312639540652732</v>
      </c>
      <c r="BF29" s="13">
        <f t="shared" si="37"/>
        <v>12.609592776469707</v>
      </c>
      <c r="BG29" s="20">
        <f t="shared" si="7"/>
        <v>95.656221285654908</v>
      </c>
      <c r="BH29" s="59">
        <f t="shared" si="8"/>
        <v>388.98955461898822</v>
      </c>
      <c r="BI29" s="59">
        <f ca="1">AVERAGE(OFFSET($BH$3,0,0,'Données projet'!$E$11+1,1))-AVERAGE(OFFSET($H$3,0,0,'Données projet'!$E$11+1,1))</f>
        <v>187.18641061466138</v>
      </c>
      <c r="BJ29" s="59">
        <f t="shared" si="38"/>
        <v>143.07246221325369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7.2264102564102561</v>
      </c>
      <c r="BY29" s="12">
        <f>IF('Données projet'!$A$114&gt;35,BY28+BX29-CG28,IF(A29&lt;'Données projet'!$A$114,$BV$205^A29,IF(A29='Données projet'!$A$114,'Données projet'!$B$114,BY28+BX29-CG28)))</f>
        <v>105.82087604801265</v>
      </c>
      <c r="BZ29" s="13">
        <f>BY29*VLOOKUP('Données projet'!$B$12,Paramètres!$A$1:$I$89,3,0)*VLOOKUP('Données projet'!$B$12,Paramètres!$A$1:$I$89,5,0)</f>
        <v>49.524169990469915</v>
      </c>
      <c r="CA29" s="13">
        <f t="shared" si="39"/>
        <v>14.490806184311312</v>
      </c>
      <c r="CB29" s="20">
        <f t="shared" si="10"/>
        <v>111.4927501710773</v>
      </c>
      <c r="CC29" s="59">
        <f t="shared" si="11"/>
        <v>404.82608350441063</v>
      </c>
      <c r="CD29" s="59">
        <f ca="1">AVERAGE(OFFSET($CC$3,0,0,'Données projet'!$E$12+1,1))-AVERAGE(OFFSET($H$3,0,0,'Données projet'!$E$12+1,1))</f>
        <v>198.17898804494365</v>
      </c>
      <c r="CE29" s="59">
        <f t="shared" si="40"/>
        <v>186.24772922797723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11.8</v>
      </c>
      <c r="CT29" s="12">
        <f>IF('Données projet'!$A$140&gt;35,CT28+CS29-DB28,IF(A29&lt;'Données projet'!$A$140,$CQ$205^A29,IF(A29='Données projet'!$A$140,'Données projet'!$B$140,CT28+CS29-DB28)))</f>
        <v>98.799999999999969</v>
      </c>
      <c r="CU29" s="17">
        <f>CT29*VLOOKUP('Données projet'!$B$13,Paramètres!$A$1:$I$89,3,0)*VLOOKUP('Données projet'!$B$13,Paramètres!$A$1:$I$89,5,0)</f>
        <v>72.440159999999977</v>
      </c>
      <c r="CV29" s="13">
        <f t="shared" si="41"/>
        <v>20.27822154299642</v>
      </c>
      <c r="CW29" s="20">
        <f t="shared" si="13"/>
        <v>161.4845145207187</v>
      </c>
      <c r="CX29" s="59">
        <f t="shared" si="14"/>
        <v>454.81784785405205</v>
      </c>
      <c r="CY29" s="59">
        <f ca="1">AVERAGE(OFFSET($CX$3,0,0,'Données projet'!$E$13+1,1))-AVERAGE(OFFSET($H$3,0,0,'Données projet'!$E$13+1,1))</f>
        <v>198.78436129430389</v>
      </c>
      <c r="CZ29" s="59">
        <f t="shared" si="42"/>
        <v>198.28846462484438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0.66181946416134541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0.66181946416134541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274.57619581652199</v>
      </c>
      <c r="T30" s="59">
        <f t="shared" si="34"/>
        <v>366.15117322598775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514.93368285721635</v>
      </c>
      <c r="AN30" s="59">
        <f ca="1">AVERAGE(OFFSET($AM$3,0,0,'Données projet'!$E$10+1,1))-AVERAGE(OFFSET($H$3,0,0,'Données projet'!$E$10+1,1))</f>
        <v>278.21846622758881</v>
      </c>
      <c r="AO30" s="59">
        <f t="shared" si="36"/>
        <v>245.37578316242906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4.5417948717948722</v>
      </c>
      <c r="BD30" s="12">
        <f>IF('Données projet'!$A$88&gt;35,BD29+BC30-BL29,IF(A30&lt;'Données projet'!$A$88,$BA$205^A30,IF(A30='Données projet'!$A$88,'Données projet'!$B$88,BD29+BC30-BL29)))</f>
        <v>83.351590868331613</v>
      </c>
      <c r="BE30" s="13">
        <f>BD30*VLOOKUP('Données projet'!$B$11,Paramètres!$A$1:$I$89,3,0)*VLOOKUP('Données projet'!$B$11,Paramètres!$A$1:$I$89,5,0)</f>
        <v>49.844251339262307</v>
      </c>
      <c r="BF30" s="13">
        <f t="shared" si="37"/>
        <v>14.573529592122918</v>
      </c>
      <c r="BG30" s="20">
        <f t="shared" si="7"/>
        <v>112.19430178882926</v>
      </c>
      <c r="BH30" s="59">
        <f t="shared" si="8"/>
        <v>405.52763512216256</v>
      </c>
      <c r="BI30" s="59">
        <f ca="1">AVERAGE(OFFSET($BH$3,0,0,'Données projet'!$E$11+1,1))-AVERAGE(OFFSET($H$3,0,0,'Données projet'!$E$11+1,1))</f>
        <v>187.18641061466138</v>
      </c>
      <c r="BJ30" s="59">
        <f t="shared" si="38"/>
        <v>143.07246221325369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7.2264102564102561</v>
      </c>
      <c r="BY30" s="12">
        <f>IF('Données projet'!$A$114&gt;35,BY29+BX30-CG29,IF(A30&lt;'Données projet'!$A$114,$BV$205^A30,IF(A30='Données projet'!$A$114,'Données projet'!$B$114,BY29+BX30-CG29)))</f>
        <v>126.60168370519743</v>
      </c>
      <c r="BZ30" s="13">
        <f>BY30*VLOOKUP('Données projet'!$B$12,Paramètres!$A$1:$I$89,3,0)*VLOOKUP('Données projet'!$B$12,Paramètres!$A$1:$I$89,5,0)</f>
        <v>59.249587974032401</v>
      </c>
      <c r="CA30" s="13">
        <f t="shared" si="39"/>
        <v>16.97840255838226</v>
      </c>
      <c r="CB30" s="20">
        <f t="shared" si="10"/>
        <v>132.76375017728887</v>
      </c>
      <c r="CC30" s="59">
        <f t="shared" si="11"/>
        <v>426.09708351062216</v>
      </c>
      <c r="CD30" s="59">
        <f ca="1">AVERAGE(OFFSET($CC$3,0,0,'Données projet'!$E$12+1,1))-AVERAGE(OFFSET($H$3,0,0,'Données projet'!$E$12+1,1))</f>
        <v>198.17898804494365</v>
      </c>
      <c r="CE30" s="59">
        <f t="shared" si="40"/>
        <v>186.24772922797723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11.8</v>
      </c>
      <c r="CT30" s="12">
        <f>IF('Données projet'!$A$140&gt;35,CT29+CS30-DB29,IF(A30&lt;'Données projet'!$A$140,$CQ$205^A30,IF(A30='Données projet'!$A$140,'Données projet'!$B$140,CT29+CS30-DB29)))</f>
        <v>110.59999999999997</v>
      </c>
      <c r="CU30" s="17">
        <f>CT30*VLOOKUP('Données projet'!$B$13,Paramètres!$A$1:$I$89,3,0)*VLOOKUP('Données projet'!$B$13,Paramètres!$A$1:$I$89,5,0)</f>
        <v>81.091919999999973</v>
      </c>
      <c r="CV30" s="13">
        <f t="shared" si="41"/>
        <v>22.40395323325189</v>
      </c>
      <c r="CW30" s="20">
        <f t="shared" si="13"/>
        <v>180.25531254791363</v>
      </c>
      <c r="CX30" s="59">
        <f t="shared" si="14"/>
        <v>473.58864588124698</v>
      </c>
      <c r="CY30" s="59">
        <f ca="1">AVERAGE(OFFSET($CX$3,0,0,'Données projet'!$E$13+1,1))-AVERAGE(OFFSET($H$3,0,0,'Données projet'!$E$13+1,1))</f>
        <v>198.78436129430389</v>
      </c>
      <c r="CZ30" s="59">
        <f t="shared" si="42"/>
        <v>198.28846462484438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0.64372197611028037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0.64372197611028037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274.57619581652199</v>
      </c>
      <c r="T31" s="59">
        <f t="shared" si="34"/>
        <v>366.15117322598775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535.5720570383387</v>
      </c>
      <c r="AN31" s="59">
        <f ca="1">AVERAGE(OFFSET($AM$3,0,0,'Données projet'!$E$10+1,1))-AVERAGE(OFFSET($H$3,0,0,'Données projet'!$E$10+1,1))</f>
        <v>278.21846622758881</v>
      </c>
      <c r="AO31" s="59">
        <f t="shared" si="36"/>
        <v>245.37578316242906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4.5417948717948722</v>
      </c>
      <c r="BD31" s="12">
        <f>IF('Données projet'!$A$88&gt;35,BD30+BC31-BL30,IF(A31&lt;'Données projet'!$A$88,$BA$205^A31,IF(A31='Données projet'!$A$88,'Données projet'!$B$88,BD30+BC31-BL30)))</f>
        <v>98.188099108704094</v>
      </c>
      <c r="BE31" s="13">
        <f>BD31*VLOOKUP('Données projet'!$B$11,Paramètres!$A$1:$I$89,3,0)*VLOOKUP('Données projet'!$B$11,Paramètres!$A$1:$I$89,5,0)</f>
        <v>58.716483267005053</v>
      </c>
      <c r="BF31" s="13">
        <f t="shared" si="37"/>
        <v>16.843348436185138</v>
      </c>
      <c r="BG31" s="20">
        <f t="shared" si="7"/>
        <v>131.60004021638957</v>
      </c>
      <c r="BH31" s="59">
        <f t="shared" si="8"/>
        <v>424.93337354972289</v>
      </c>
      <c r="BI31" s="59">
        <f ca="1">AVERAGE(OFFSET($BH$3,0,0,'Données projet'!$E$11+1,1))-AVERAGE(OFFSET($H$3,0,0,'Données projet'!$E$11+1,1))</f>
        <v>187.18641061466138</v>
      </c>
      <c r="BJ31" s="59">
        <f t="shared" si="38"/>
        <v>143.07246221325369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7.2264102564102561</v>
      </c>
      <c r="BY31" s="12">
        <f>IF('Données projet'!$A$114&gt;35,BY30+BX31-CG30,IF(A31&lt;'Données projet'!$A$114,$BV$205^A31,IF(A31='Données projet'!$A$114,'Données projet'!$B$114,BY30+BX31-CG30)))</f>
        <v>151.46336824615491</v>
      </c>
      <c r="BZ31" s="13">
        <f>BY31*VLOOKUP('Données projet'!$B$12,Paramètres!$A$1:$I$89,3,0)*VLOOKUP('Données projet'!$B$12,Paramètres!$A$1:$I$89,5,0)</f>
        <v>70.884856339200496</v>
      </c>
      <c r="CA31" s="13">
        <f t="shared" si="39"/>
        <v>19.893037679751526</v>
      </c>
      <c r="CB31" s="20">
        <f t="shared" si="10"/>
        <v>158.10483208300809</v>
      </c>
      <c r="CC31" s="59">
        <f t="shared" si="11"/>
        <v>451.43816541634141</v>
      </c>
      <c r="CD31" s="59">
        <f ca="1">AVERAGE(OFFSET($CC$3,0,0,'Données projet'!$E$12+1,1))-AVERAGE(OFFSET($H$3,0,0,'Données projet'!$E$12+1,1))</f>
        <v>198.17898804494365</v>
      </c>
      <c r="CE31" s="59">
        <f t="shared" si="40"/>
        <v>186.24772922797723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11.8</v>
      </c>
      <c r="CT31" s="12">
        <f>IF('Données projet'!$A$140&gt;35,CT30+CS31-DB30,IF(A31&lt;'Données projet'!$A$140,$CQ$205^A31,IF(A31='Données projet'!$A$140,'Données projet'!$B$140,CT30+CS31-DB30)))</f>
        <v>122.39999999999996</v>
      </c>
      <c r="CU31" s="17">
        <f>CT31*VLOOKUP('Données projet'!$B$13,Paramètres!$A$1:$I$89,3,0)*VLOOKUP('Données projet'!$B$13,Paramètres!$A$1:$I$89,5,0)</f>
        <v>89.743679999999969</v>
      </c>
      <c r="CV31" s="13">
        <f t="shared" si="41"/>
        <v>24.503396524614622</v>
      </c>
      <c r="CW31" s="20">
        <f t="shared" si="13"/>
        <v>198.98032494703705</v>
      </c>
      <c r="CX31" s="59">
        <f t="shared" si="14"/>
        <v>492.31365828037036</v>
      </c>
      <c r="CY31" s="59">
        <f ca="1">AVERAGE(OFFSET($CX$3,0,0,'Données projet'!$E$13+1,1))-AVERAGE(OFFSET($H$3,0,0,'Données projet'!$E$13+1,1))</f>
        <v>198.78436129430389</v>
      </c>
      <c r="CZ31" s="59">
        <f t="shared" si="42"/>
        <v>198.28846462484438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0.62611936482167729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0.62611936482167729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274.57619581652199</v>
      </c>
      <c r="T32" s="59">
        <f t="shared" si="34"/>
        <v>366.15117322598775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556.17043645971171</v>
      </c>
      <c r="AN32" s="59">
        <f ca="1">AVERAGE(OFFSET($AM$3,0,0,'Données projet'!$E$10+1,1))-AVERAGE(OFFSET($H$3,0,0,'Données projet'!$E$10+1,1))</f>
        <v>278.21846622758881</v>
      </c>
      <c r="AO32" s="59">
        <f t="shared" si="36"/>
        <v>245.37578316242906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4.5417948717948722</v>
      </c>
      <c r="BD32" s="12">
        <f>IF('Données projet'!$A$88&gt;35,BD31+BC32-BL31,IF(A32&lt;'Données projet'!$A$88,$BA$205^A32,IF(A32='Données projet'!$A$88,'Données projet'!$B$88,BD31+BC32-BL31)))</f>
        <v>115.66549247764432</v>
      </c>
      <c r="BE32" s="13">
        <f>BD32*VLOOKUP('Données projet'!$B$11,Paramètres!$A$1:$I$89,3,0)*VLOOKUP('Données projet'!$B$11,Paramètres!$A$1:$I$89,5,0)</f>
        <v>69.167964501631303</v>
      </c>
      <c r="BF32" s="13">
        <f t="shared" si="37"/>
        <v>19.466690258486256</v>
      </c>
      <c r="BG32" s="20">
        <f t="shared" si="7"/>
        <v>154.37202370720476</v>
      </c>
      <c r="BH32" s="59">
        <f t="shared" si="8"/>
        <v>447.70535704053805</v>
      </c>
      <c r="BI32" s="59">
        <f ca="1">AVERAGE(OFFSET($BH$3,0,0,'Données projet'!$E$11+1,1))-AVERAGE(OFFSET($H$3,0,0,'Données projet'!$E$11+1,1))</f>
        <v>187.18641061466138</v>
      </c>
      <c r="BJ32" s="59">
        <f t="shared" si="38"/>
        <v>143.07246221325369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7.2264102564102561</v>
      </c>
      <c r="BY32" s="12">
        <f>IF('Données projet'!$A$114&gt;35,BY31+BX32-CG31,IF(A32&lt;'Données projet'!$A$114,$BV$205^A32,IF(A32='Données projet'!$A$114,'Données projet'!$B$114,BY31+BX32-CG31)))</f>
        <v>181.20732085910257</v>
      </c>
      <c r="BZ32" s="13">
        <f>BY32*VLOOKUP('Données projet'!$B$12,Paramètres!$A$1:$I$89,3,0)*VLOOKUP('Données projet'!$B$12,Paramètres!$A$1:$I$89,5,0)</f>
        <v>84.805026162060003</v>
      </c>
      <c r="CA32" s="13">
        <f t="shared" si="39"/>
        <v>23.308020101846395</v>
      </c>
      <c r="CB32" s="20">
        <f t="shared" si="10"/>
        <v>188.29688890963698</v>
      </c>
      <c r="CC32" s="59">
        <f t="shared" si="11"/>
        <v>481.63022224297026</v>
      </c>
      <c r="CD32" s="59">
        <f ca="1">AVERAGE(OFFSET($CC$3,0,0,'Données projet'!$E$12+1,1))-AVERAGE(OFFSET($H$3,0,0,'Données projet'!$E$12+1,1))</f>
        <v>198.17898804494365</v>
      </c>
      <c r="CE32" s="59">
        <f t="shared" si="40"/>
        <v>186.24772922797723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11.8</v>
      </c>
      <c r="CT32" s="12">
        <f>IF('Données projet'!$A$140&gt;35,CT31+CS32-DB31,IF(A32&lt;'Données projet'!$A$140,$CQ$205^A32,IF(A32='Données projet'!$A$140,'Données projet'!$B$140,CT31+CS32-DB31)))</f>
        <v>134.19999999999996</v>
      </c>
      <c r="CU32" s="17">
        <f>CT32*VLOOKUP('Données projet'!$B$13,Paramètres!$A$1:$I$89,3,0)*VLOOKUP('Données projet'!$B$13,Paramètres!$A$1:$I$89,5,0)</f>
        <v>98.395439999999965</v>
      </c>
      <c r="CV32" s="13">
        <f t="shared" si="41"/>
        <v>26.57937412584554</v>
      </c>
      <c r="CW32" s="20">
        <f t="shared" si="13"/>
        <v>217.6644679358476</v>
      </c>
      <c r="CX32" s="59">
        <f t="shared" si="14"/>
        <v>510.99780126918091</v>
      </c>
      <c r="CY32" s="59">
        <f ca="1">AVERAGE(OFFSET($CX$3,0,0,'Données projet'!$E$13+1,1))-AVERAGE(OFFSET($H$3,0,0,'Données projet'!$E$13+1,1))</f>
        <v>198.78436129430389</v>
      </c>
      <c r="CZ32" s="59">
        <f t="shared" si="42"/>
        <v>198.28846462484438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0.60899809786444214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0.60899809786444214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274.57619581652199</v>
      </c>
      <c r="T33" s="59">
        <f t="shared" si="34"/>
        <v>366.15117322598775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278.21846622758881</v>
      </c>
      <c r="AO33" s="59">
        <f t="shared" si="36"/>
        <v>245.37578316242906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136.25384615384615</v>
      </c>
      <c r="BB33" s="12">
        <f>VLOOKUP(A33,'Données projet'!$A$87:$I$107,9,0)</f>
        <v>4.5417948717948722</v>
      </c>
      <c r="BC33" s="12">
        <f t="array" ref="BC33">INDEX(BB:BB,MIN(IF(ISNUMBER(BB33:BB229),ROW(BB33:BB229),"")))</f>
        <v>4.5417948717948722</v>
      </c>
      <c r="BD33" s="12">
        <f>IF('Données projet'!$A$88&gt;35,BD32+BC33-BL32,IF(A33&lt;'Données projet'!$A$88,$BA$205^A33,IF(A33='Données projet'!$A$88,'Données projet'!$B$88,BD32+BC33-BL32)))</f>
        <v>136.25384615384615</v>
      </c>
      <c r="BE33" s="13">
        <f>BD33*VLOOKUP('Données projet'!$B$11,Paramètres!$A$1:$I$89,3,0)*VLOOKUP('Données projet'!$B$11,Paramètres!$A$1:$I$89,5,0)</f>
        <v>81.479799999999997</v>
      </c>
      <c r="BF33" s="13">
        <f t="shared" si="37"/>
        <v>22.498616059365453</v>
      </c>
      <c r="BG33" s="20">
        <f t="shared" si="7"/>
        <v>181.09574130339482</v>
      </c>
      <c r="BH33" s="59">
        <f t="shared" si="8"/>
        <v>474.42907463672816</v>
      </c>
      <c r="BI33" s="59">
        <f ca="1">AVERAGE(OFFSET($BH$3,0,0,'Données projet'!$E$11+1,1))-AVERAGE(OFFSET($H$3,0,0,'Données projet'!$E$11+1,1))</f>
        <v>187.18641061466138</v>
      </c>
      <c r="BJ33" s="59">
        <f t="shared" si="38"/>
        <v>143.07246221325369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216.79230769230767</v>
      </c>
      <c r="BW33" s="12">
        <f>VLOOKUP(A33,'Données projet'!$A$113:$I$133,9,0)</f>
        <v>7.2264102564102561</v>
      </c>
      <c r="BX33" s="12">
        <f t="array" ref="BX33">INDEX(BW:BW,MIN(IF(ISNUMBER(BW33:BW229),ROW(BW33:BW229),"")))</f>
        <v>7.2264102564102561</v>
      </c>
      <c r="BY33" s="12">
        <f>IF('Données projet'!$A$114&gt;35,BY32+BX33-CG32,IF(A33&lt;'Données projet'!$A$114,$BV$205^A33,IF(A33='Données projet'!$A$114,'Données projet'!$B$114,BY32+BX33-CG32)))</f>
        <v>216.79230769230767</v>
      </c>
      <c r="BZ33" s="13">
        <f>BY33*VLOOKUP('Données projet'!$B$12,Paramètres!$A$1:$I$89,3,0)*VLOOKUP('Données projet'!$B$12,Paramètres!$A$1:$I$89,5,0)</f>
        <v>101.45879999999998</v>
      </c>
      <c r="CA33" s="13">
        <f t="shared" si="39"/>
        <v>27.309243053465156</v>
      </c>
      <c r="CB33" s="20">
        <f t="shared" si="10"/>
        <v>224.27100831811845</v>
      </c>
      <c r="CC33" s="59">
        <f t="shared" si="11"/>
        <v>517.6043416514517</v>
      </c>
      <c r="CD33" s="59">
        <f ca="1">AVERAGE(OFFSET($CC$3,0,0,'Données projet'!$E$12+1,1))-AVERAGE(OFFSET($H$3,0,0,'Données projet'!$E$12+1,1))</f>
        <v>198.17898804494365</v>
      </c>
      <c r="CE33" s="59">
        <f t="shared" si="40"/>
        <v>186.24772922797723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0.38500000000000001</v>
      </c>
      <c r="CI33" s="16">
        <f>IF(ISNA(VLOOKUP(A33,'Données projet'!$A$113:$I$133,6,0)),0%,VLOOKUP(A33,'Données projet'!$A$113:$I$133,6,0)*VLOOKUP('Données projet'!$B$12,Paramètres!$A$1:$I$89,7,0))</f>
        <v>9.240000000000001E-2</v>
      </c>
      <c r="CJ33" s="16">
        <f>IF(ISNA(VLOOKUP(A33,'Données projet'!$A$113:$I$133,7,0)),0%,VLOOKUP(A33,'Données projet'!$A$113:$I$133,7,0))</f>
        <v>0.13200000000000001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146</v>
      </c>
      <c r="CR33" s="12">
        <f>VLOOKUP(A33,'Données projet'!$A$139:$I$159,9,0)</f>
        <v>11.8</v>
      </c>
      <c r="CS33" s="12">
        <f t="array" ref="CS33">INDEX(CR:CR,MIN(IF(ISNUMBER(CR33:CR229),ROW(CR33:CR229),"")))</f>
        <v>11.8</v>
      </c>
      <c r="CT33" s="12">
        <f>IF('Données projet'!$A$140&gt;35,CT32+CS33-DB32,IF(A33&lt;'Données projet'!$A$140,$CQ$205^A33,IF(A33='Données projet'!$A$140,'Données projet'!$B$140,CT32+CS33-DB32)))</f>
        <v>145.99999999999997</v>
      </c>
      <c r="CU33" s="17">
        <f>CT33*VLOOKUP('Données projet'!$B$13,Paramètres!$A$1:$I$89,3,0)*VLOOKUP('Données projet'!$B$13,Paramètres!$A$1:$I$89,5,0)</f>
        <v>107.04719999999996</v>
      </c>
      <c r="CV33" s="13">
        <f t="shared" si="41"/>
        <v>28.634183951187907</v>
      </c>
      <c r="CW33" s="20">
        <f t="shared" si="13"/>
        <v>236.31174371498548</v>
      </c>
      <c r="CX33" s="59">
        <f t="shared" si="14"/>
        <v>529.64507704831885</v>
      </c>
      <c r="CY33" s="59">
        <f ca="1">AVERAGE(OFFSET($CX$3,0,0,'Données projet'!$E$13+1,1))-AVERAGE(OFFSET($H$3,0,0,'Données projet'!$E$13+1,1))</f>
        <v>198.78436129430389</v>
      </c>
      <c r="CZ33" s="59">
        <f t="shared" si="42"/>
        <v>198.28846462484438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1.72E-2</v>
      </c>
      <c r="DD33" s="16">
        <f>IF(ISNA(VLOOKUP(A33,'Données projet'!$A$139:$I$159,6,0)),0%,VLOOKUP(A33,'Données projet'!$A$139:$I$159,6,0)*VLOOKUP('Données projet'!$B$13,Paramètres!$A$1:$I$89,7,0))</f>
        <v>0.12469999999999999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0.39035167290294598</v>
      </c>
      <c r="DG33" s="21">
        <f>EXP(-LN(2)/25)*DG32+(1-EXP(-LN(2)/25))/(LN(2)/25)*Calculateur!DB33*Calculateur!DD33*VLOOKUP('Données projet'!$B$13,Paramètres!$A$1:$I$89,3,0)*0.475*44/12</f>
        <v>3.4112516576778438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3.8016033305807899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22.884615384615397</v>
      </c>
      <c r="N34" s="13">
        <f>IF('Données projet'!$A$36&gt;35,N33+M34-V33,IF(A34&lt;'Données projet'!$A$36,$K$205^A34,IF(A34='Données projet'!$A$36,'Données projet'!$B$36,N33+M34-V33)))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3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274.57619581652199</v>
      </c>
      <c r="T34" s="59">
        <f t="shared" si="34"/>
        <v>366.15117322598775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278.21846622758881</v>
      </c>
      <c r="AO34" s="59">
        <f t="shared" si="36"/>
        <v>245.37578316242906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9.5853846153846156</v>
      </c>
      <c r="BD34" s="12">
        <f>IF('Données projet'!$A$88&gt;35,BD33+BC34-BL33,IF(A34&lt;'Données projet'!$A$88,$BA$205^A34,IF(A34='Données projet'!$A$88,'Données projet'!$B$88,BD33+BC34-BL33)))</f>
        <v>145.83923076923077</v>
      </c>
      <c r="BE34" s="13">
        <f>BD34*VLOOKUP('Données projet'!$B$11,Paramètres!$A$1:$I$89,3,0)*VLOOKUP('Données projet'!$B$11,Paramètres!$A$1:$I$89,5,0)</f>
        <v>87.211860000000001</v>
      </c>
      <c r="BF34" s="13">
        <f t="shared" si="37"/>
        <v>23.891566160122878</v>
      </c>
      <c r="BG34" s="20">
        <f t="shared" si="7"/>
        <v>193.50513389554735</v>
      </c>
      <c r="BH34" s="59">
        <f t="shared" si="8"/>
        <v>486.83846722888063</v>
      </c>
      <c r="BI34" s="59">
        <f ca="1">AVERAGE(OFFSET($BH$3,0,0,'Données projet'!$E$11+1,1))-AVERAGE(OFFSET($H$3,0,0,'Données projet'!$E$11+1,1))</f>
        <v>187.18641061466138</v>
      </c>
      <c r="BJ34" s="59">
        <f t="shared" si="38"/>
        <v>143.07246221325369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16.131410256410259</v>
      </c>
      <c r="BY34" s="12">
        <f>IF('Données projet'!$A$114&gt;35,BY33+BX34-CG33,IF(A34&lt;'Données projet'!$A$114,$BV$205^A34,IF(A34='Données projet'!$A$114,'Données projet'!$B$114,BY33+BX34-CG33)))</f>
        <v>232.92371794871792</v>
      </c>
      <c r="BZ34" s="13">
        <f>BY34*VLOOKUP('Données projet'!$B$12,Paramètres!$A$1:$I$89,3,0)*VLOOKUP('Données projet'!$B$12,Paramètres!$A$1:$I$89,5,0)</f>
        <v>109.00829999999998</v>
      </c>
      <c r="CA34" s="13">
        <f t="shared" si="39"/>
        <v>29.097209307093255</v>
      </c>
      <c r="CB34" s="20">
        <f t="shared" si="10"/>
        <v>240.53376204318738</v>
      </c>
      <c r="CC34" s="59">
        <f t="shared" si="11"/>
        <v>533.86709537652064</v>
      </c>
      <c r="CD34" s="59">
        <f ca="1">AVERAGE(OFFSET($CC$3,0,0,'Données projet'!$E$12+1,1))-AVERAGE(OFFSET($H$3,0,0,'Données projet'!$E$12+1,1))</f>
        <v>198.17898804494365</v>
      </c>
      <c r="CE34" s="59">
        <f t="shared" si="40"/>
        <v>186.24772922797723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128.79999999999998</v>
      </c>
      <c r="CU34" s="17">
        <f>CT34*VLOOKUP('Données projet'!$B$13,Paramètres!$A$1:$I$89,3,0)*VLOOKUP('Données projet'!$B$13,Paramètres!$A$1:$I$89,5,0)</f>
        <v>94.436159999999987</v>
      </c>
      <c r="CV34" s="13">
        <f t="shared" si="41"/>
        <v>25.632105611020013</v>
      </c>
      <c r="CW34" s="20">
        <f t="shared" si="13"/>
        <v>209.11889593919315</v>
      </c>
      <c r="CX34" s="59">
        <f t="shared" si="14"/>
        <v>502.45222927252644</v>
      </c>
      <c r="CY34" s="59">
        <f ca="1">AVERAGE(OFFSET($CX$3,0,0,'Données projet'!$E$13+1,1))-AVERAGE(OFFSET($H$3,0,0,'Données projet'!$E$13+1,1))</f>
        <v>198.78436129430389</v>
      </c>
      <c r="CZ34" s="59">
        <f t="shared" si="42"/>
        <v>198.28846462484438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0.38269711468833012</v>
      </c>
      <c r="DG34" s="21">
        <f>EXP(-LN(2)/25)*DG33+(1-EXP(-LN(2)/25))/(LN(2)/25)*Calculateur!DB34*Calculateur!DD34*VLOOKUP('Données projet'!$B$13,Paramètres!$A$1:$I$89,3,0)*0.475*44/12</f>
        <v>3.3179708017087148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3.7006679163970451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22.884615384615397</v>
      </c>
      <c r="N35" s="13">
        <f>IF('Données projet'!$A$36&gt;35,N34+M35-V34,IF(A35&lt;'Données projet'!$A$36,$K$205^A35,IF(A35='Données projet'!$A$36,'Données projet'!$B$36,N34+M35-V34)))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33"/>
        <v>44.071952499783528</v>
      </c>
      <c r="Q35" s="20">
        <f t="shared" ref="Q35:Q66" si="53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274.57619581652199</v>
      </c>
      <c r="T35" s="59">
        <f t="shared" si="34"/>
        <v>366.15117322598775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278.21846622758881</v>
      </c>
      <c r="AO35" s="59">
        <f t="shared" si="36"/>
        <v>245.37578316242906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9.5853846153846156</v>
      </c>
      <c r="BD35" s="12">
        <f>IF('Données projet'!$A$88&gt;35,BD34+BC35-BL34,IF(A35&lt;'Données projet'!$A$88,$BA$205^A35,IF(A35='Données projet'!$A$88,'Données projet'!$B$88,BD34+BC35-BL34)))</f>
        <v>155.42461538461538</v>
      </c>
      <c r="BE35" s="13">
        <f>BD35*VLOOKUP('Données projet'!$B$11,Paramètres!$A$1:$I$89,3,0)*VLOOKUP('Données projet'!$B$11,Paramètres!$A$1:$I$89,5,0)</f>
        <v>92.943919999999991</v>
      </c>
      <c r="BF35" s="13">
        <f t="shared" si="37"/>
        <v>25.273892125739781</v>
      </c>
      <c r="BG35" s="20">
        <f t="shared" si="7"/>
        <v>205.8960227856634</v>
      </c>
      <c r="BH35" s="59">
        <f t="shared" si="8"/>
        <v>499.22935611899675</v>
      </c>
      <c r="BI35" s="59">
        <f ca="1">AVERAGE(OFFSET($BH$3,0,0,'Données projet'!$E$11+1,1))-AVERAGE(OFFSET($H$3,0,0,'Données projet'!$E$11+1,1))</f>
        <v>187.18641061466138</v>
      </c>
      <c r="BJ35" s="59">
        <f t="shared" si="38"/>
        <v>143.07246221325369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16.131410256410259</v>
      </c>
      <c r="BY35" s="12">
        <f>IF('Données projet'!$A$114&gt;35,BY34+BX35-CG34,IF(A35&lt;'Données projet'!$A$114,$BV$205^A35,IF(A35='Données projet'!$A$114,'Données projet'!$B$114,BY34+BX35-CG34)))</f>
        <v>249.05512820512817</v>
      </c>
      <c r="BZ35" s="13">
        <f>BY35*VLOOKUP('Données projet'!$B$12,Paramètres!$A$1:$I$89,3,0)*VLOOKUP('Données projet'!$B$12,Paramètres!$A$1:$I$89,5,0)</f>
        <v>116.55779999999997</v>
      </c>
      <c r="CA35" s="13">
        <f t="shared" si="39"/>
        <v>30.870807833785406</v>
      </c>
      <c r="CB35" s="20">
        <f t="shared" si="10"/>
        <v>256.7714919771762</v>
      </c>
      <c r="CC35" s="59">
        <f t="shared" si="11"/>
        <v>550.10482531050957</v>
      </c>
      <c r="CD35" s="59">
        <f ca="1">AVERAGE(OFFSET($CC$3,0,0,'Données projet'!$E$12+1,1))-AVERAGE(OFFSET($H$3,0,0,'Données projet'!$E$12+1,1))</f>
        <v>198.17898804494365</v>
      </c>
      <c r="CE35" s="59">
        <f t="shared" si="40"/>
        <v>186.24772922797723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139.6</v>
      </c>
      <c r="CU35" s="17">
        <f>CT35*VLOOKUP('Données projet'!$B$13,Paramètres!$A$1:$I$89,3,0)*VLOOKUP('Données projet'!$B$13,Paramètres!$A$1:$I$89,5,0)</f>
        <v>102.35472</v>
      </c>
      <c r="CV35" s="13">
        <f t="shared" si="41"/>
        <v>27.522214978746117</v>
      </c>
      <c r="CW35" s="20">
        <f t="shared" si="13"/>
        <v>226.20232842131611</v>
      </c>
      <c r="CX35" s="59">
        <f t="shared" si="14"/>
        <v>519.53566175464948</v>
      </c>
      <c r="CY35" s="59">
        <f ca="1">AVERAGE(OFFSET($CX$3,0,0,'Données projet'!$E$13+1,1))-AVERAGE(OFFSET($H$3,0,0,'Données projet'!$E$13+1,1))</f>
        <v>198.78436129430389</v>
      </c>
      <c r="CZ35" s="59">
        <f t="shared" si="42"/>
        <v>198.28846462484438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0.37519265769148341</v>
      </c>
      <c r="DG35" s="21">
        <f>EXP(-LN(2)/25)*DG34+(1-EXP(-LN(2)/25))/(LN(2)/25)*Calculateur!DB35*Calculateur!DD35*VLOOKUP('Données projet'!$B$13,Paramètres!$A$1:$I$89,3,0)*0.475*44/12</f>
        <v>3.2272407156514888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3.6024333733429721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22.884615384615397</v>
      </c>
      <c r="N36" s="13">
        <f>IF('Données projet'!$A$36&gt;35,N35+M36-V35,IF(A36&lt;'Données projet'!$A$36,$K$205^A36,IF(A36='Données projet'!$A$36,'Données projet'!$B$36,N35+M36-V35)))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33"/>
        <v>46.91668019244311</v>
      </c>
      <c r="Q36" s="20">
        <f t="shared" si="53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274.57619581652199</v>
      </c>
      <c r="T36" s="59">
        <f t="shared" si="34"/>
        <v>366.15117322598775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278.21846622758881</v>
      </c>
      <c r="AO36" s="59">
        <f t="shared" si="36"/>
        <v>245.37578316242906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9.5853846153846156</v>
      </c>
      <c r="BD36" s="12">
        <f>IF('Données projet'!$A$88&gt;35,BD35+BC36-BL35,IF(A36&lt;'Données projet'!$A$88,$BA$205^A36,IF(A36='Données projet'!$A$88,'Données projet'!$B$88,BD35+BC36-BL35)))</f>
        <v>165.01</v>
      </c>
      <c r="BE36" s="13">
        <f>BD36*VLOOKUP('Données projet'!$B$11,Paramètres!$A$1:$I$89,3,0)*VLOOKUP('Données projet'!$B$11,Paramètres!$A$1:$I$89,5,0)</f>
        <v>98.67598000000001</v>
      </c>
      <c r="BF36" s="13">
        <f t="shared" si="37"/>
        <v>26.646323771521384</v>
      </c>
      <c r="BG36" s="20">
        <f t="shared" si="7"/>
        <v>218.2696790687331</v>
      </c>
      <c r="BH36" s="59">
        <f t="shared" si="8"/>
        <v>511.60301240206638</v>
      </c>
      <c r="BI36" s="59">
        <f ca="1">AVERAGE(OFFSET($BH$3,0,0,'Données projet'!$E$11+1,1))-AVERAGE(OFFSET($H$3,0,0,'Données projet'!$E$11+1,1))</f>
        <v>187.18641061466138</v>
      </c>
      <c r="BJ36" s="59">
        <f t="shared" si="38"/>
        <v>143.07246221325369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16.131410256410259</v>
      </c>
      <c r="BY36" s="12">
        <f>IF('Données projet'!$A$114&gt;35,BY35+BX36-CG35,IF(A36&lt;'Données projet'!$A$114,$BV$205^A36,IF(A36='Données projet'!$A$114,'Données projet'!$B$114,BY35+BX36-CG35)))</f>
        <v>265.18653846153842</v>
      </c>
      <c r="BZ36" s="13">
        <f>BY36*VLOOKUP('Données projet'!$B$12,Paramètres!$A$1:$I$89,3,0)*VLOOKUP('Données projet'!$B$12,Paramètres!$A$1:$I$89,5,0)</f>
        <v>124.10729999999997</v>
      </c>
      <c r="CA36" s="13">
        <f t="shared" si="39"/>
        <v>32.631075149258578</v>
      </c>
      <c r="CB36" s="20">
        <f t="shared" si="10"/>
        <v>272.98600338495862</v>
      </c>
      <c r="CC36" s="59">
        <f t="shared" si="11"/>
        <v>566.31933671829188</v>
      </c>
      <c r="CD36" s="59">
        <f ca="1">AVERAGE(OFFSET($CC$3,0,0,'Données projet'!$E$12+1,1))-AVERAGE(OFFSET($H$3,0,0,'Données projet'!$E$12+1,1))</f>
        <v>198.17898804494365</v>
      </c>
      <c r="CE36" s="59">
        <f t="shared" si="40"/>
        <v>186.24772922797723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150.4</v>
      </c>
      <c r="CU36" s="17">
        <f>CT36*VLOOKUP('Données projet'!$B$13,Paramètres!$A$1:$I$89,3,0)*VLOOKUP('Données projet'!$B$13,Paramètres!$A$1:$I$89,5,0)</f>
        <v>110.27328000000001</v>
      </c>
      <c r="CV36" s="13">
        <f t="shared" si="41"/>
        <v>29.3953621709605</v>
      </c>
      <c r="CW36" s="20">
        <f t="shared" si="13"/>
        <v>243.2562184477562</v>
      </c>
      <c r="CX36" s="59">
        <f t="shared" si="14"/>
        <v>536.58955178108954</v>
      </c>
      <c r="CY36" s="59">
        <f ca="1">AVERAGE(OFFSET($CX$3,0,0,'Données projet'!$E$13+1,1))-AVERAGE(OFFSET($H$3,0,0,'Données projet'!$E$13+1,1))</f>
        <v>198.78436129430389</v>
      </c>
      <c r="CZ36" s="59">
        <f t="shared" si="42"/>
        <v>198.28846462484438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0.36783535851907806</v>
      </c>
      <c r="DG36" s="21">
        <f>EXP(-LN(2)/25)*DG35+(1-EXP(-LN(2)/25))/(LN(2)/25)*Calculateur!DB36*Calculateur!DD36*VLOOKUP('Données projet'!$B$13,Paramètres!$A$1:$I$89,3,0)*0.475*44/12</f>
        <v>3.1389916485687857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3.5068270070878635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22.884615384615397</v>
      </c>
      <c r="N37" s="13">
        <f>IF('Données projet'!$A$36&gt;35,N36+M37-V36,IF(A37&lt;'Données projet'!$A$36,$K$205^A37,IF(A37='Données projet'!$A$36,'Données projet'!$B$36,N36+M37-V36)))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33"/>
        <v>49.738849260389202</v>
      </c>
      <c r="Q37" s="20">
        <f t="shared" si="53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274.57619581652199</v>
      </c>
      <c r="T37" s="59">
        <f t="shared" si="34"/>
        <v>366.15117322598775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278.21846622758881</v>
      </c>
      <c r="AO37" s="59">
        <f t="shared" si="36"/>
        <v>245.37578316242906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9.5853846153846156</v>
      </c>
      <c r="BD37" s="12">
        <f>IF('Données projet'!$A$88&gt;35,BD36+BC37-BL36,IF(A37&lt;'Données projet'!$A$88,$BA$205^A37,IF(A37='Données projet'!$A$88,'Données projet'!$B$88,BD36+BC37-BL36)))</f>
        <v>174.5953846153846</v>
      </c>
      <c r="BE37" s="13">
        <f>BD37*VLOOKUP('Données projet'!$B$11,Paramètres!$A$1:$I$89,3,0)*VLOOKUP('Données projet'!$B$11,Paramètres!$A$1:$I$89,5,0)</f>
        <v>104.40804</v>
      </c>
      <c r="BF37" s="13">
        <f t="shared" si="37"/>
        <v>28.009501333741351</v>
      </c>
      <c r="BG37" s="20">
        <f t="shared" si="7"/>
        <v>230.62721782293283</v>
      </c>
      <c r="BH37" s="59">
        <f t="shared" si="8"/>
        <v>523.96055115626609</v>
      </c>
      <c r="BI37" s="59">
        <f ca="1">AVERAGE(OFFSET($BH$3,0,0,'Données projet'!$E$11+1,1))-AVERAGE(OFFSET($H$3,0,0,'Données projet'!$E$11+1,1))</f>
        <v>187.18641061466138</v>
      </c>
      <c r="BJ37" s="59">
        <f t="shared" si="38"/>
        <v>143.07246221325369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16.131410256410259</v>
      </c>
      <c r="BY37" s="12">
        <f>IF('Données projet'!$A$114&gt;35,BY36+BX37-CG36,IF(A37&lt;'Données projet'!$A$114,$BV$205^A37,IF(A37='Données projet'!$A$114,'Données projet'!$B$114,BY36+BX37-CG36)))</f>
        <v>281.3179487179487</v>
      </c>
      <c r="BZ37" s="13">
        <f>BY37*VLOOKUP('Données projet'!$B$12,Paramètres!$A$1:$I$89,3,0)*VLOOKUP('Données projet'!$B$12,Paramètres!$A$1:$I$89,5,0)</f>
        <v>131.65679999999998</v>
      </c>
      <c r="CA37" s="13">
        <f t="shared" si="39"/>
        <v>34.378914540413547</v>
      </c>
      <c r="CB37" s="20">
        <f t="shared" si="10"/>
        <v>289.17886949122021</v>
      </c>
      <c r="CC37" s="59">
        <f t="shared" si="11"/>
        <v>582.51220282455347</v>
      </c>
      <c r="CD37" s="59">
        <f ca="1">AVERAGE(OFFSET($CC$3,0,0,'Données projet'!$E$12+1,1))-AVERAGE(OFFSET($H$3,0,0,'Données projet'!$E$12+1,1))</f>
        <v>198.17898804494365</v>
      </c>
      <c r="CE37" s="59">
        <f t="shared" si="40"/>
        <v>186.24772922797723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161.20000000000002</v>
      </c>
      <c r="CU37" s="17">
        <f>CT37*VLOOKUP('Données projet'!$B$13,Paramètres!$A$1:$I$89,3,0)*VLOOKUP('Données projet'!$B$13,Paramètres!$A$1:$I$89,5,0)</f>
        <v>118.19184000000001</v>
      </c>
      <c r="CV37" s="13">
        <f t="shared" si="41"/>
        <v>31.252903743281095</v>
      </c>
      <c r="CW37" s="20">
        <f t="shared" si="13"/>
        <v>260.28292868621458</v>
      </c>
      <c r="CX37" s="59">
        <f t="shared" si="14"/>
        <v>553.61626201954789</v>
      </c>
      <c r="CY37" s="59">
        <f ca="1">AVERAGE(OFFSET($CX$3,0,0,'Données projet'!$E$13+1,1))-AVERAGE(OFFSET($H$3,0,0,'Données projet'!$E$13+1,1))</f>
        <v>198.78436129430389</v>
      </c>
      <c r="CZ37" s="59">
        <f t="shared" si="42"/>
        <v>198.28846462484438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0.3606223314959342</v>
      </c>
      <c r="DG37" s="21">
        <f>EXP(-LN(2)/25)*DG36+(1-EXP(-LN(2)/25))/(LN(2)/25)*Calculateur!DB37*Calculateur!DD37*VLOOKUP('Données projet'!$B$13,Paramètres!$A$1:$I$89,3,0)*0.475*44/12</f>
        <v>3.0531557568662757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3.4137780883622098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22.884615384615397</v>
      </c>
      <c r="N38" s="13">
        <f>IF('Données projet'!$A$36&gt;35,N37+M38-V37,IF(A38&lt;'Données projet'!$A$36,$K$205^A38,IF(A38='Données projet'!$A$36,'Données projet'!$B$36,N37+M38-V37)))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33"/>
        <v>52.540067037520508</v>
      </c>
      <c r="Q38" s="20">
        <f t="shared" si="53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274.57619581652199</v>
      </c>
      <c r="T38" s="59">
        <f t="shared" si="34"/>
        <v>366.15117322598775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278.21846622758881</v>
      </c>
      <c r="AO38" s="59">
        <f t="shared" si="36"/>
        <v>245.37578316242906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9.5853846153846156</v>
      </c>
      <c r="BD38" s="12">
        <f>IF('Données projet'!$A$88&gt;35,BD37+BC38-BL37,IF(A38&lt;'Données projet'!$A$88,$BA$205^A38,IF(A38='Données projet'!$A$88,'Données projet'!$B$88,BD37+BC38-BL37)))</f>
        <v>184.18076923076922</v>
      </c>
      <c r="BE38" s="13">
        <f>BD38*VLOOKUP('Données projet'!$B$11,Paramètres!$A$1:$I$89,3,0)*VLOOKUP('Données projet'!$B$11,Paramètres!$A$1:$I$89,5,0)</f>
        <v>110.1401</v>
      </c>
      <c r="BF38" s="13">
        <f t="shared" si="37"/>
        <v>29.363990779670193</v>
      </c>
      <c r="BG38" s="20">
        <f t="shared" si="7"/>
        <v>242.96962477459226</v>
      </c>
      <c r="BH38" s="59">
        <f t="shared" si="8"/>
        <v>536.30295810792563</v>
      </c>
      <c r="BI38" s="59">
        <f ca="1">AVERAGE(OFFSET($BH$3,0,0,'Données projet'!$E$11+1,1))-AVERAGE(OFFSET($H$3,0,0,'Données projet'!$E$11+1,1))</f>
        <v>187.18641061466138</v>
      </c>
      <c r="BJ38" s="59">
        <f t="shared" si="38"/>
        <v>143.07246221325369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16.131410256410259</v>
      </c>
      <c r="BY38" s="12">
        <f>IF('Données projet'!$A$114&gt;35,BY37+BX38-CG37,IF(A38&lt;'Données projet'!$A$114,$BV$205^A38,IF(A38='Données projet'!$A$114,'Données projet'!$B$114,BY37+BX38-CG37)))</f>
        <v>297.44935897435897</v>
      </c>
      <c r="BZ38" s="13">
        <f>BY38*VLOOKUP('Données projet'!$B$12,Paramètres!$A$1:$I$89,3,0)*VLOOKUP('Données projet'!$B$12,Paramètres!$A$1:$I$89,5,0)</f>
        <v>139.2063</v>
      </c>
      <c r="CA38" s="13">
        <f t="shared" si="39"/>
        <v>36.115119849784641</v>
      </c>
      <c r="CB38" s="20">
        <f t="shared" si="10"/>
        <v>305.35147290504159</v>
      </c>
      <c r="CC38" s="59">
        <f t="shared" si="11"/>
        <v>598.6848062383749</v>
      </c>
      <c r="CD38" s="59">
        <f ca="1">AVERAGE(OFFSET($CC$3,0,0,'Données projet'!$E$12+1,1))-AVERAGE(OFFSET($H$3,0,0,'Données projet'!$E$12+1,1))</f>
        <v>198.17898804494365</v>
      </c>
      <c r="CE38" s="59">
        <f t="shared" si="40"/>
        <v>186.24772922797723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172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172.00000000000003</v>
      </c>
      <c r="CU38" s="17">
        <f>CT38*VLOOKUP('Données projet'!$B$13,Paramètres!$A$1:$I$89,3,0)*VLOOKUP('Données projet'!$B$13,Paramètres!$A$1:$I$89,5,0)</f>
        <v>126.11040000000001</v>
      </c>
      <c r="CV38" s="13">
        <f t="shared" si="41"/>
        <v>33.096004194977873</v>
      </c>
      <c r="CW38" s="20">
        <f t="shared" si="13"/>
        <v>277.28448730625314</v>
      </c>
      <c r="CX38" s="59">
        <f t="shared" si="14"/>
        <v>570.6178206395864</v>
      </c>
      <c r="CY38" s="59">
        <f ca="1">AVERAGE(OFFSET($CX$3,0,0,'Données projet'!$E$13+1,1))-AVERAGE(OFFSET($H$3,0,0,'Données projet'!$E$13+1,1))</f>
        <v>198.78436129430389</v>
      </c>
      <c r="CZ38" s="59">
        <f t="shared" si="42"/>
        <v>198.28846462484438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7.7399999999999997E-2</v>
      </c>
      <c r="DD38" s="16">
        <f>IF(ISNA(VLOOKUP(A38,'Données projet'!$A$139:$I$159,6,0)),0%,VLOOKUP(A38,'Données projet'!$A$139:$I$159,6,0)*VLOOKUP('Données projet'!$B$13,Paramètres!$A$1:$I$89,7,0))</f>
        <v>0.18489999999999998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2.1101332755964592</v>
      </c>
      <c r="DG38" s="21">
        <f>EXP(-LN(2)/25)*DG37+(1-EXP(-LN(2)/25))/(LN(2)/25)*Calculateur!DB38*Calculateur!DD38*VLOOKUP('Données projet'!$B$13,Paramètres!$A$1:$I$89,3,0)*0.475*44/12</f>
        <v>7.1494251806703835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9.2595584562668432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403.50769230769237</v>
      </c>
      <c r="L39" s="12">
        <f>VLOOKUP(A39,'Données projet'!$A$35:$I$55,9,0)</f>
        <v>22.884615384615397</v>
      </c>
      <c r="M39" s="12">
        <f t="array" ref="M39">INDEX(L:L,MIN(IF(ISNUMBER(L39:L235),ROW(L39:L235),"")))</f>
        <v>22.884615384615397</v>
      </c>
      <c r="N39" s="13">
        <f>IF('Données projet'!$A$36&gt;35,N38+M39-V38,IF(A39&lt;'Données projet'!$A$36,$K$205^A39,IF(A39='Données projet'!$A$36,'Données projet'!$B$36,N38+M39-V38)))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33"/>
        <v>55.321736658663667</v>
      </c>
      <c r="Q39" s="20">
        <f t="shared" si="53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274.57619581652199</v>
      </c>
      <c r="T39" s="59">
        <f t="shared" si="34"/>
        <v>366.15117322598775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9.240000000000001E-2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278.21846622758881</v>
      </c>
      <c r="AO39" s="59">
        <f t="shared" si="36"/>
        <v>245.37578316242906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9.5853846153846156</v>
      </c>
      <c r="BD39" s="12">
        <f>IF('Données projet'!$A$88&gt;35,BD38+BC39-BL38,IF(A39&lt;'Données projet'!$A$88,$BA$205^A39,IF(A39='Données projet'!$A$88,'Données projet'!$B$88,BD38+BC39-BL38)))</f>
        <v>193.76615384615383</v>
      </c>
      <c r="BE39" s="13">
        <f>BD39*VLOOKUP('Données projet'!$B$11,Paramètres!$A$1:$I$89,3,0)*VLOOKUP('Données projet'!$B$11,Paramètres!$A$1:$I$89,5,0)</f>
        <v>115.87215999999999</v>
      </c>
      <c r="BF39" s="13">
        <f t="shared" si="37"/>
        <v>30.710295839623043</v>
      </c>
      <c r="BG39" s="20">
        <f t="shared" si="7"/>
        <v>255.29777725401013</v>
      </c>
      <c r="BH39" s="59">
        <f t="shared" si="8"/>
        <v>548.63111058734341</v>
      </c>
      <c r="BI39" s="59">
        <f ca="1">AVERAGE(OFFSET($BH$3,0,0,'Données projet'!$E$11+1,1))-AVERAGE(OFFSET($H$3,0,0,'Données projet'!$E$11+1,1))</f>
        <v>187.18641061466138</v>
      </c>
      <c r="BJ39" s="59">
        <f t="shared" si="38"/>
        <v>143.07246221325369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16.131410256410259</v>
      </c>
      <c r="BY39" s="12">
        <f>IF('Données projet'!$A$114&gt;35,BY38+BX39-CG38,IF(A39&lt;'Données projet'!$A$114,$BV$205^A39,IF(A39='Données projet'!$A$114,'Données projet'!$B$114,BY38+BX39-CG38)))</f>
        <v>313.58076923076925</v>
      </c>
      <c r="BZ39" s="13">
        <f>BY39*VLOOKUP('Données projet'!$B$12,Paramètres!$A$1:$I$89,3,0)*VLOOKUP('Données projet'!$B$12,Paramètres!$A$1:$I$89,5,0)</f>
        <v>146.75580000000002</v>
      </c>
      <c r="CA39" s="13">
        <f t="shared" si="39"/>
        <v>37.840393952855997</v>
      </c>
      <c r="CB39" s="20">
        <f t="shared" si="10"/>
        <v>321.5050378012242</v>
      </c>
      <c r="CC39" s="59">
        <f t="shared" si="11"/>
        <v>614.83837113455752</v>
      </c>
      <c r="CD39" s="59">
        <f ca="1">AVERAGE(OFFSET($CC$3,0,0,'Données projet'!$E$12+1,1))-AVERAGE(OFFSET($H$3,0,0,'Données projet'!$E$12+1,1))</f>
        <v>198.17898804494365</v>
      </c>
      <c r="CE39" s="59">
        <f t="shared" si="40"/>
        <v>186.24772922797723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153.60000000000002</v>
      </c>
      <c r="CU39" s="17">
        <f>CT39*VLOOKUP('Données projet'!$B$13,Paramètres!$A$1:$I$89,3,0)*VLOOKUP('Données projet'!$B$13,Paramètres!$A$1:$I$89,5,0)</f>
        <v>112.61952000000001</v>
      </c>
      <c r="CV39" s="13">
        <f t="shared" si="41"/>
        <v>29.947316013837597</v>
      </c>
      <c r="CW39" s="20">
        <f t="shared" si="13"/>
        <v>248.30390605743386</v>
      </c>
      <c r="CX39" s="59">
        <f t="shared" si="14"/>
        <v>541.63723939076715</v>
      </c>
      <c r="CY39" s="59">
        <f ca="1">AVERAGE(OFFSET($CX$3,0,0,'Données projet'!$E$13+1,1))-AVERAGE(OFFSET($H$3,0,0,'Données projet'!$E$13+1,1))</f>
        <v>198.78436129430389</v>
      </c>
      <c r="CZ39" s="59">
        <f t="shared" si="42"/>
        <v>198.28846462484438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2.0687548491162246</v>
      </c>
      <c r="DG39" s="21">
        <f>EXP(-LN(2)/25)*DG38+(1-EXP(-LN(2)/25))/(LN(2)/25)*Calculateur!DB39*Calculateur!DD39*VLOOKUP('Données projet'!$B$13,Paramètres!$A$1:$I$89,3,0)*0.475*44/12</f>
        <v>6.9539237731330221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9.0226786222492468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22.419230769230751</v>
      </c>
      <c r="N40" s="13">
        <f>IF('Données projet'!$A$36&gt;35,N39+M40-V39,IF(A40&lt;'Données projet'!$A$36,$K$205^A40,IF(A40='Données projet'!$A$36,'Données projet'!$B$36,N39+M40-V39)))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33"/>
        <v>49.60226869073324</v>
      </c>
      <c r="Q40" s="20">
        <f t="shared" si="53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274.57619581652199</v>
      </c>
      <c r="T40" s="59">
        <f t="shared" si="34"/>
        <v>366.15117322598775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278.21846622758881</v>
      </c>
      <c r="AO40" s="59">
        <f t="shared" si="36"/>
        <v>245.37578316242906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9.5853846153846156</v>
      </c>
      <c r="BD40" s="12">
        <f>IF('Données projet'!$A$88&gt;35,BD39+BC40-BL39,IF(A40&lt;'Données projet'!$A$88,$BA$205^A40,IF(A40='Données projet'!$A$88,'Données projet'!$B$88,BD39+BC40-BL39)))</f>
        <v>203.35153846153844</v>
      </c>
      <c r="BE40" s="13">
        <f>BD40*VLOOKUP('Données projet'!$B$11,Paramètres!$A$1:$I$89,3,0)*VLOOKUP('Données projet'!$B$11,Paramètres!$A$1:$I$89,5,0)</f>
        <v>121.60421999999998</v>
      </c>
      <c r="BF40" s="13">
        <f t="shared" si="37"/>
        <v>32.048867590550891</v>
      </c>
      <c r="BG40" s="20">
        <f t="shared" si="7"/>
        <v>267.61246088687614</v>
      </c>
      <c r="BH40" s="59">
        <f t="shared" si="8"/>
        <v>560.94579422020945</v>
      </c>
      <c r="BI40" s="59">
        <f ca="1">AVERAGE(OFFSET($BH$3,0,0,'Données projet'!$E$11+1,1))-AVERAGE(OFFSET($H$3,0,0,'Données projet'!$E$11+1,1))</f>
        <v>187.18641061466138</v>
      </c>
      <c r="BJ40" s="59">
        <f t="shared" si="38"/>
        <v>143.07246221325369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16.131410256410259</v>
      </c>
      <c r="BY40" s="12">
        <f>IF('Données projet'!$A$114&gt;35,BY39+BX40-CG39,IF(A40&lt;'Données projet'!$A$114,$BV$205^A40,IF(A40='Données projet'!$A$114,'Données projet'!$B$114,BY39+BX40-CG39)))</f>
        <v>329.71217948717953</v>
      </c>
      <c r="BZ40" s="13">
        <f>BY40*VLOOKUP('Données projet'!$B$12,Paramètres!$A$1:$I$89,3,0)*VLOOKUP('Données projet'!$B$12,Paramètres!$A$1:$I$89,5,0)</f>
        <v>154.30530000000002</v>
      </c>
      <c r="CA40" s="13">
        <f t="shared" si="39"/>
        <v>39.555363325024224</v>
      </c>
      <c r="CB40" s="20">
        <f t="shared" si="10"/>
        <v>337.64065529108387</v>
      </c>
      <c r="CC40" s="59">
        <f t="shared" si="11"/>
        <v>630.97398862441719</v>
      </c>
      <c r="CD40" s="59">
        <f ca="1">AVERAGE(OFFSET($CC$3,0,0,'Données projet'!$E$12+1,1))-AVERAGE(OFFSET($H$3,0,0,'Données projet'!$E$12+1,1))</f>
        <v>198.17898804494365</v>
      </c>
      <c r="CE40" s="59">
        <f t="shared" si="40"/>
        <v>186.24772922797723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163.20000000000002</v>
      </c>
      <c r="CU40" s="17">
        <f>CT40*VLOOKUP('Données projet'!$B$13,Paramètres!$A$1:$I$89,3,0)*VLOOKUP('Données projet'!$B$13,Paramètres!$A$1:$I$89,5,0)</f>
        <v>119.65824000000002</v>
      </c>
      <c r="CV40" s="13">
        <f t="shared" si="41"/>
        <v>31.595276160231336</v>
      </c>
      <c r="CW40" s="20">
        <f t="shared" si="13"/>
        <v>263.43320731240294</v>
      </c>
      <c r="CX40" s="59">
        <f t="shared" si="14"/>
        <v>556.76654064573631</v>
      </c>
      <c r="CY40" s="59">
        <f ca="1">AVERAGE(OFFSET($CX$3,0,0,'Données projet'!$E$13+1,1))-AVERAGE(OFFSET($H$3,0,0,'Données projet'!$E$13+1,1))</f>
        <v>198.78436129430389</v>
      </c>
      <c r="CZ40" s="59">
        <f t="shared" si="42"/>
        <v>198.28846462484438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2.0281878283409194</v>
      </c>
      <c r="DG40" s="21">
        <f>EXP(-LN(2)/25)*DG39+(1-EXP(-LN(2)/25))/(LN(2)/25)*Calculateur!DB40*Calculateur!DD40*VLOOKUP('Données projet'!$B$13,Paramètres!$A$1:$I$89,3,0)*0.475*44/12</f>
        <v>6.7637683618657416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8.7919561902066619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22.419230769230751</v>
      </c>
      <c r="N41" s="13">
        <f>IF('Données projet'!$A$36&gt;35,N40+M41-V40,IF(A41&lt;'Données projet'!$A$36,$K$205^A41,IF(A41='Données projet'!$A$36,'Données projet'!$B$36,N40+M41-V40)))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33"/>
        <v>52.347684082939317</v>
      </c>
      <c r="Q41" s="20">
        <f t="shared" si="53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274.57619581652199</v>
      </c>
      <c r="T41" s="59">
        <f t="shared" si="34"/>
        <v>366.15117322598775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278.21846622758881</v>
      </c>
      <c r="AO41" s="59">
        <f t="shared" si="36"/>
        <v>245.37578316242906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9.5853846153846156</v>
      </c>
      <c r="BD41" s="12">
        <f>IF('Données projet'!$A$88&gt;35,BD40+BC41-BL40,IF(A41&lt;'Données projet'!$A$88,$BA$205^A41,IF(A41='Données projet'!$A$88,'Données projet'!$B$88,BD40+BC41-BL40)))</f>
        <v>212.93692307692305</v>
      </c>
      <c r="BE41" s="13">
        <f>BD41*VLOOKUP('Données projet'!$B$11,Paramètres!$A$1:$I$89,3,0)*VLOOKUP('Données projet'!$B$11,Paramètres!$A$1:$I$89,5,0)</f>
        <v>127.33628</v>
      </c>
      <c r="BF41" s="13">
        <f t="shared" si="37"/>
        <v>33.380112181494603</v>
      </c>
      <c r="BG41" s="20">
        <f t="shared" si="7"/>
        <v>279.91438304943642</v>
      </c>
      <c r="BH41" s="59">
        <f t="shared" si="8"/>
        <v>573.2477163827698</v>
      </c>
      <c r="BI41" s="59">
        <f ca="1">AVERAGE(OFFSET($BH$3,0,0,'Données projet'!$E$11+1,1))-AVERAGE(OFFSET($H$3,0,0,'Données projet'!$E$11+1,1))</f>
        <v>187.18641061466138</v>
      </c>
      <c r="BJ41" s="59">
        <f t="shared" si="38"/>
        <v>143.07246221325369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16.131410256410259</v>
      </c>
      <c r="BY41" s="12">
        <f>IF('Données projet'!$A$114&gt;35,BY40+BX41-CG40,IF(A41&lt;'Données projet'!$A$114,$BV$205^A41,IF(A41='Données projet'!$A$114,'Données projet'!$B$114,BY40+BX41-CG40)))</f>
        <v>345.8435897435898</v>
      </c>
      <c r="BZ41" s="13">
        <f>BY41*VLOOKUP('Données projet'!$B$12,Paramètres!$A$1:$I$89,3,0)*VLOOKUP('Données projet'!$B$12,Paramètres!$A$1:$I$89,5,0)</f>
        <v>161.85480000000001</v>
      </c>
      <c r="CA41" s="13">
        <f t="shared" si="39"/>
        <v>41.260589676862445</v>
      </c>
      <c r="CB41" s="20">
        <f t="shared" si="10"/>
        <v>353.75930368720213</v>
      </c>
      <c r="CC41" s="59">
        <f t="shared" si="11"/>
        <v>647.09263702053545</v>
      </c>
      <c r="CD41" s="59">
        <f ca="1">AVERAGE(OFFSET($CC$3,0,0,'Données projet'!$E$12+1,1))-AVERAGE(OFFSET($H$3,0,0,'Données projet'!$E$12+1,1))</f>
        <v>198.17898804494365</v>
      </c>
      <c r="CE41" s="59">
        <f t="shared" si="40"/>
        <v>186.24772922797723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172.8</v>
      </c>
      <c r="CU41" s="17">
        <f>CT41*VLOOKUP('Données projet'!$B$13,Paramètres!$A$1:$I$89,3,0)*VLOOKUP('Données projet'!$B$13,Paramètres!$A$1:$I$89,5,0)</f>
        <v>126.69695999999999</v>
      </c>
      <c r="CV41" s="13">
        <f t="shared" si="41"/>
        <v>33.231984319593515</v>
      </c>
      <c r="CW41" s="20">
        <f t="shared" si="13"/>
        <v>278.54291135662532</v>
      </c>
      <c r="CX41" s="59">
        <f t="shared" si="14"/>
        <v>571.87624468995864</v>
      </c>
      <c r="CY41" s="59">
        <f ca="1">AVERAGE(OFFSET($CX$3,0,0,'Données projet'!$E$13+1,1))-AVERAGE(OFFSET($H$3,0,0,'Données projet'!$E$13+1,1))</f>
        <v>198.78436129430389</v>
      </c>
      <c r="CZ41" s="59">
        <f t="shared" si="42"/>
        <v>198.28846462484438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1.9884163020995784</v>
      </c>
      <c r="DG41" s="21">
        <f>EXP(-LN(2)/25)*DG40+(1-EXP(-LN(2)/25))/(LN(2)/25)*Calculateur!DB41*Calculateur!DD41*VLOOKUP('Données projet'!$B$13,Paramètres!$A$1:$I$89,3,0)*0.475*44/12</f>
        <v>6.578812760319404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8.5672290624189831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22.419230769230751</v>
      </c>
      <c r="N42" s="13">
        <f>IF('Données projet'!$A$36&gt;35,N41+M42-V41,IF(A42&lt;'Données projet'!$A$36,$K$205^A42,IF(A42='Données projet'!$A$36,'Données projet'!$B$36,N41+M42-V41)))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33"/>
        <v>55.074251579267461</v>
      </c>
      <c r="Q42" s="20">
        <f t="shared" si="53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274.57619581652199</v>
      </c>
      <c r="T42" s="59">
        <f t="shared" si="34"/>
        <v>366.15117322598775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278.21846622758881</v>
      </c>
      <c r="AO42" s="59">
        <f t="shared" si="36"/>
        <v>245.37578316242906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9.5853846153846156</v>
      </c>
      <c r="BD42" s="12">
        <f>IF('Données projet'!$A$88&gt;35,BD41+BC42-BL41,IF(A42&lt;'Données projet'!$A$88,$BA$205^A42,IF(A42='Données projet'!$A$88,'Données projet'!$B$88,BD41+BC42-BL41)))</f>
        <v>222.52230769230766</v>
      </c>
      <c r="BE42" s="13">
        <f>BD42*VLOOKUP('Données projet'!$B$11,Paramètres!$A$1:$I$89,3,0)*VLOOKUP('Données projet'!$B$11,Paramètres!$A$1:$I$89,5,0)</f>
        <v>133.06834000000001</v>
      </c>
      <c r="BF42" s="13">
        <f t="shared" si="37"/>
        <v>34.704397128684477</v>
      </c>
      <c r="BG42" s="20">
        <f t="shared" si="7"/>
        <v>292.2041838324588</v>
      </c>
      <c r="BH42" s="59">
        <f t="shared" si="8"/>
        <v>585.53751716579211</v>
      </c>
      <c r="BI42" s="59">
        <f ca="1">AVERAGE(OFFSET($BH$3,0,0,'Données projet'!$E$11+1,1))-AVERAGE(OFFSET($H$3,0,0,'Données projet'!$E$11+1,1))</f>
        <v>187.18641061466138</v>
      </c>
      <c r="BJ42" s="59">
        <f t="shared" si="38"/>
        <v>143.07246221325369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16.131410256410259</v>
      </c>
      <c r="BY42" s="12">
        <f>IF('Données projet'!$A$114&gt;35,BY41+BX42-CG41,IF(A42&lt;'Données projet'!$A$114,$BV$205^A42,IF(A42='Données projet'!$A$114,'Données projet'!$B$114,BY41+BX42-CG41)))</f>
        <v>361.97500000000008</v>
      </c>
      <c r="BZ42" s="13">
        <f>BY42*VLOOKUP('Données projet'!$B$12,Paramètres!$A$1:$I$89,3,0)*VLOOKUP('Données projet'!$B$12,Paramètres!$A$1:$I$89,5,0)</f>
        <v>169.40430000000006</v>
      </c>
      <c r="CA42" s="13">
        <f t="shared" si="39"/>
        <v>42.956579357099159</v>
      </c>
      <c r="CB42" s="20">
        <f t="shared" si="10"/>
        <v>369.86186488028119</v>
      </c>
      <c r="CC42" s="59">
        <f t="shared" si="11"/>
        <v>663.1951982136145</v>
      </c>
      <c r="CD42" s="59">
        <f ca="1">AVERAGE(OFFSET($CC$3,0,0,'Données projet'!$E$12+1,1))-AVERAGE(OFFSET($H$3,0,0,'Données projet'!$E$12+1,1))</f>
        <v>198.17898804494365</v>
      </c>
      <c r="CE42" s="59">
        <f t="shared" si="40"/>
        <v>186.24772922797723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182.4</v>
      </c>
      <c r="CU42" s="17">
        <f>CT42*VLOOKUP('Données projet'!$B$13,Paramètres!$A$1:$I$89,3,0)*VLOOKUP('Données projet'!$B$13,Paramètres!$A$1:$I$89,5,0)</f>
        <v>133.73568</v>
      </c>
      <c r="CV42" s="13">
        <f t="shared" si="41"/>
        <v>34.858136849359241</v>
      </c>
      <c r="CW42" s="20">
        <f t="shared" si="13"/>
        <v>293.63423101263402</v>
      </c>
      <c r="CX42" s="59">
        <f t="shared" si="14"/>
        <v>586.96756434596728</v>
      </c>
      <c r="CY42" s="59">
        <f ca="1">AVERAGE(OFFSET($CX$3,0,0,'Données projet'!$E$13+1,1))-AVERAGE(OFFSET($H$3,0,0,'Données projet'!$E$13+1,1))</f>
        <v>198.78436129430389</v>
      </c>
      <c r="CZ42" s="59">
        <f t="shared" si="42"/>
        <v>198.28846462484438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1.9494246712295946</v>
      </c>
      <c r="DG42" s="21">
        <f>EXP(-LN(2)/25)*DG41+(1-EXP(-LN(2)/25))/(LN(2)/25)*Calculateur!DB42*Calculateur!DD42*VLOOKUP('Données projet'!$B$13,Paramètres!$A$1:$I$89,3,0)*0.475*44/12</f>
        <v>6.3989147794237429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8.3483394506533379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22.419230769230751</v>
      </c>
      <c r="N43" s="13">
        <f>IF('Données projet'!$A$36&gt;35,N42+M43-V42,IF(A43&lt;'Données projet'!$A$36,$K$205^A43,IF(A43='Données projet'!$A$36,'Données projet'!$B$36,N42+M43-V42)))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33"/>
        <v>57.783143668102753</v>
      </c>
      <c r="Q43" s="20">
        <f t="shared" si="53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274.57619581652199</v>
      </c>
      <c r="T43" s="59">
        <f t="shared" si="34"/>
        <v>366.15117322598775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278.21846622758881</v>
      </c>
      <c r="AO43" s="59">
        <f t="shared" si="36"/>
        <v>245.37578316242906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232.1076923076923</v>
      </c>
      <c r="BB43" s="12">
        <f>VLOOKUP(A43,'Données projet'!$A$87:$I$107,9,0)</f>
        <v>9.5853846153846156</v>
      </c>
      <c r="BC43" s="12">
        <f t="array" ref="BC43">INDEX(BB:BB,MIN(IF(ISNUMBER(BB43:BB239),ROW(BB43:BB239),"")))</f>
        <v>9.5853846153846156</v>
      </c>
      <c r="BD43" s="12">
        <f>IF('Données projet'!$A$88&gt;35,BD42+BC43-BL42,IF(A43&lt;'Données projet'!$A$88,$BA$205^A43,IF(A43='Données projet'!$A$88,'Données projet'!$B$88,BD42+BC43-BL42)))</f>
        <v>232.10769230769228</v>
      </c>
      <c r="BE43" s="13">
        <f>BD43*VLOOKUP('Données projet'!$B$11,Paramètres!$A$1:$I$89,3,0)*VLOOKUP('Données projet'!$B$11,Paramètres!$A$1:$I$89,5,0)</f>
        <v>138.8004</v>
      </c>
      <c r="BF43" s="13">
        <f t="shared" si="37"/>
        <v>36.022056495371388</v>
      </c>
      <c r="BG43" s="20">
        <f t="shared" si="7"/>
        <v>304.48244506277183</v>
      </c>
      <c r="BH43" s="59">
        <f t="shared" si="8"/>
        <v>597.81577839610509</v>
      </c>
      <c r="BI43" s="59">
        <f ca="1">AVERAGE(OFFSET($BH$3,0,0,'Données projet'!$E$11+1,1))-AVERAGE(OFFSET($H$3,0,0,'Données projet'!$E$11+1,1))</f>
        <v>187.18641061466138</v>
      </c>
      <c r="BJ43" s="59">
        <f t="shared" si="38"/>
        <v>143.07246221325369</v>
      </c>
      <c r="BK43" s="15">
        <f>IF(ISNA(VLOOKUP(A43,'Données projet'!$A$87:$I$107,3,0)),0,VLOOKUP(A43,'Données projet'!$A$87:$I$107,3,0))</f>
        <v>1</v>
      </c>
      <c r="BL43" s="15">
        <f>IF(ISNA(VLOOKUP(A43,'Données projet'!$A$87:$I$107,4,0)),0,VLOOKUP(A43,'Données projet'!$A$87:$I$107,4,0))</f>
        <v>65.969230769230776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0.28350000000000003</v>
      </c>
      <c r="BO43" s="16">
        <f>IF(ISNA(VLOOKUP(A43,'Données projet'!$A$87:$I$107,7,0)),0%,VLOOKUP(A43,'Données projet'!$A$87:$I$107,7,0))</f>
        <v>0.37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14.777829976283158</v>
      </c>
      <c r="BR43" s="21">
        <f>EXP(-LN(2)/2)*BR42+(1-EXP(-LN(2)/2))/(LN(2)/2)*BL43*BO43*VLOOKUP('Données projet'!$B$11,Paramètres!$A$1:$I$89,3,0)*0.475*44/12</f>
        <v>16.526461160465029</v>
      </c>
      <c r="BS43" s="22">
        <f t="shared" si="9"/>
        <v>31.304291136748187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16.131410256410259</v>
      </c>
      <c r="BY43" s="12">
        <f>IF('Données projet'!$A$114&gt;35,BY42+BX43-CG42,IF(A43&lt;'Données projet'!$A$114,$BV$205^A43,IF(A43='Données projet'!$A$114,'Données projet'!$B$114,BY42+BX43-CG42)))</f>
        <v>378.10641025641036</v>
      </c>
      <c r="BZ43" s="13">
        <f>BY43*VLOOKUP('Données projet'!$B$12,Paramètres!$A$1:$I$89,3,0)*VLOOKUP('Données projet'!$B$12,Paramètres!$A$1:$I$89,5,0)</f>
        <v>176.95380000000006</v>
      </c>
      <c r="CA43" s="13">
        <f t="shared" si="39"/>
        <v>44.643791032081154</v>
      </c>
      <c r="CB43" s="20">
        <f t="shared" si="10"/>
        <v>385.94913771420806</v>
      </c>
      <c r="CC43" s="59">
        <f t="shared" si="11"/>
        <v>679.28247104754132</v>
      </c>
      <c r="CD43" s="59">
        <f ca="1">AVERAGE(OFFSET($CC$3,0,0,'Données projet'!$E$12+1,1))-AVERAGE(OFFSET($H$3,0,0,'Données projet'!$E$12+1,1))</f>
        <v>198.17898804494365</v>
      </c>
      <c r="CE43" s="59">
        <f t="shared" si="40"/>
        <v>186.24772922797723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192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192</v>
      </c>
      <c r="CU43" s="17">
        <f>CT43*VLOOKUP('Données projet'!$B$13,Paramètres!$A$1:$I$89,3,0)*VLOOKUP('Données projet'!$B$13,Paramètres!$A$1:$I$89,5,0)</f>
        <v>140.77439999999999</v>
      </c>
      <c r="CV43" s="13">
        <f t="shared" si="41"/>
        <v>36.474352666172102</v>
      </c>
      <c r="CW43" s="20">
        <f t="shared" si="13"/>
        <v>308.70824422691641</v>
      </c>
      <c r="CX43" s="59">
        <f t="shared" si="14"/>
        <v>602.04157756024972</v>
      </c>
      <c r="CY43" s="59">
        <f ca="1">AVERAGE(OFFSET($CX$3,0,0,'Données projet'!$E$13+1,1))-AVERAGE(OFFSET($H$3,0,0,'Données projet'!$E$13+1,1))</f>
        <v>198.78436129430389</v>
      </c>
      <c r="CZ43" s="59">
        <f t="shared" si="42"/>
        <v>198.28846462484438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0.16770000000000002</v>
      </c>
      <c r="DD43" s="16">
        <f>IF(ISNA(VLOOKUP(A43,'Données projet'!$A$139:$I$159,6,0)),0%,VLOOKUP(A43,'Données projet'!$A$139:$I$159,6,0)*VLOOKUP('Données projet'!$B$13,Paramètres!$A$1:$I$89,7,0))</f>
        <v>0.16770000000000002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5.7171264532621482</v>
      </c>
      <c r="DG43" s="21">
        <f>EXP(-LN(2)/25)*DG42+(1-EXP(-LN(2)/25))/(LN(2)/25)*Calculateur!DB43*Calculateur!DD43*VLOOKUP('Données projet'!$B$13,Paramètres!$A$1:$I$89,3,0)*0.475*44/12</f>
        <v>10.014879537179119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15.732005990441268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22.419230769230751</v>
      </c>
      <c r="N44" s="13">
        <f>IF('Données projet'!$A$36&gt;35,N43+M44-V43,IF(A44&lt;'Données projet'!$A$36,$K$205^A44,IF(A44='Données projet'!$A$36,'Données projet'!$B$36,N43+M44-V43)))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33"/>
        <v>60.475401807280001</v>
      </c>
      <c r="Q44" s="20">
        <f t="shared" si="53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274.57619581652199</v>
      </c>
      <c r="T44" s="59">
        <f t="shared" si="34"/>
        <v>366.15117322598775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278.21846622758881</v>
      </c>
      <c r="AO44" s="59">
        <f t="shared" si="36"/>
        <v>245.37578316242906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8.2005128205128202</v>
      </c>
      <c r="BD44" s="12">
        <f>IF('Données projet'!$A$88&gt;35,BD43+BC44-BL43,IF(A44&lt;'Données projet'!$A$88,$BA$205^A44,IF(A44='Données projet'!$A$88,'Données projet'!$B$88,BD43+BC44-BL43)))</f>
        <v>174.33897435897433</v>
      </c>
      <c r="BE44" s="13">
        <f>BD44*VLOOKUP('Données projet'!$B$11,Paramètres!$A$1:$I$89,3,0)*VLOOKUP('Données projet'!$B$11,Paramètres!$A$1:$I$89,5,0)</f>
        <v>104.25470666666666</v>
      </c>
      <c r="BF44" s="13">
        <f t="shared" si="37"/>
        <v>27.973151631562207</v>
      </c>
      <c r="BG44" s="20">
        <f t="shared" si="7"/>
        <v>230.29685320274862</v>
      </c>
      <c r="BH44" s="59">
        <f t="shared" si="8"/>
        <v>523.63018653608196</v>
      </c>
      <c r="BI44" s="59">
        <f ca="1">AVERAGE(OFFSET($BH$3,0,0,'Données projet'!$E$11+1,1))-AVERAGE(OFFSET($H$3,0,0,'Données projet'!$E$11+1,1))</f>
        <v>187.18641061466138</v>
      </c>
      <c r="BJ44" s="59">
        <f t="shared" si="38"/>
        <v>143.07246221325369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14.373729438449391</v>
      </c>
      <c r="BR44" s="21">
        <f>EXP(-LN(2)/2)*BR43+(1-EXP(-LN(2)/2))/(LN(2)/2)*BL44*BO44*VLOOKUP('Données projet'!$B$11,Paramètres!$A$1:$I$89,3,0)*0.475*44/12</f>
        <v>11.685972755580922</v>
      </c>
      <c r="BS44" s="22">
        <f t="shared" si="9"/>
        <v>26.059702194030315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16.131410256410259</v>
      </c>
      <c r="BY44" s="12">
        <f>IF('Données projet'!$A$114&gt;35,BY43+BX44-CG43,IF(A44&lt;'Données projet'!$A$114,$BV$205^A44,IF(A44='Données projet'!$A$114,'Données projet'!$B$114,BY43+BX44-CG43)))</f>
        <v>394.23782051282063</v>
      </c>
      <c r="BZ44" s="13">
        <f>BY44*VLOOKUP('Données projet'!$B$12,Paramètres!$A$1:$I$89,3,0)*VLOOKUP('Données projet'!$B$12,Paramètres!$A$1:$I$89,5,0)</f>
        <v>184.50330000000005</v>
      </c>
      <c r="CA44" s="13">
        <f t="shared" si="39"/>
        <v>46.32264201774467</v>
      </c>
      <c r="CB44" s="20">
        <f t="shared" si="10"/>
        <v>402.02184901423874</v>
      </c>
      <c r="CC44" s="59">
        <f t="shared" si="11"/>
        <v>695.35518234757205</v>
      </c>
      <c r="CD44" s="59">
        <f ca="1">AVERAGE(OFFSET($CC$3,0,0,'Données projet'!$E$12+1,1))-AVERAGE(OFFSET($H$3,0,0,'Données projet'!$E$12+1,1))</f>
        <v>198.17898804494365</v>
      </c>
      <c r="CE44" s="59">
        <f t="shared" si="40"/>
        <v>186.24772922797723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8.1999999999999993</v>
      </c>
      <c r="CT44" s="12">
        <f>IF('Données projet'!$A$140&gt;35,CT43+CS44-DB43,IF(A44&lt;'Données projet'!$A$140,$CQ$205^A44,IF(A44='Données projet'!$A$140,'Données projet'!$B$140,CT43+CS44-DB43)))</f>
        <v>172.2</v>
      </c>
      <c r="CU44" s="17">
        <f>CT44*VLOOKUP('Données projet'!$B$13,Paramètres!$A$1:$I$89,3,0)*VLOOKUP('Données projet'!$B$13,Paramètres!$A$1:$I$89,5,0)</f>
        <v>126.25703999999998</v>
      </c>
      <c r="CV44" s="13">
        <f t="shared" si="41"/>
        <v>33.130006114881219</v>
      </c>
      <c r="CW44" s="20">
        <f t="shared" si="13"/>
        <v>277.59910531675143</v>
      </c>
      <c r="CX44" s="59">
        <f t="shared" si="14"/>
        <v>570.9324386500848</v>
      </c>
      <c r="CY44" s="59">
        <f ca="1">AVERAGE(OFFSET($CX$3,0,0,'Données projet'!$E$13+1,1))-AVERAGE(OFFSET($H$3,0,0,'Données projet'!$E$13+1,1))</f>
        <v>198.78436129430389</v>
      </c>
      <c r="CZ44" s="59">
        <f t="shared" si="42"/>
        <v>198.28846462484438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5.6050170906164913</v>
      </c>
      <c r="DG44" s="21">
        <f>EXP(-LN(2)/25)*DG43+(1-EXP(-LN(2)/25))/(LN(2)/25)*Calculateur!DB44*Calculateur!DD44*VLOOKUP('Données projet'!$B$13,Paramètres!$A$1:$I$89,3,0)*0.475*44/12</f>
        <v>9.741022129575331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15.346039220191823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468.72307692307686</v>
      </c>
      <c r="L45" s="12">
        <f>VLOOKUP(A45,'Données projet'!$A$35:$I$55,9,0)</f>
        <v>22.419230769230751</v>
      </c>
      <c r="M45" s="12">
        <f t="array" ref="M45">INDEX(L:L,MIN(IF(ISNUMBER(L45:L241),ROW(L45:L241),"")))</f>
        <v>22.419230769230751</v>
      </c>
      <c r="N45" s="13">
        <f>IF('Données projet'!$A$36&gt;35,N44+M45-V44,IF(A45&lt;'Données projet'!$A$36,$K$205^A45,IF(A45='Données projet'!$A$36,'Données projet'!$B$36,N44+M45-V44)))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33"/>
        <v>63.151956912854622</v>
      </c>
      <c r="Q45" s="20">
        <f t="shared" si="53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274.57619581652199</v>
      </c>
      <c r="T45" s="59">
        <f t="shared" si="34"/>
        <v>366.15117322598775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278.21846622758881</v>
      </c>
      <c r="AO45" s="59">
        <f t="shared" si="36"/>
        <v>245.37578316242906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8.2005128205128202</v>
      </c>
      <c r="BD45" s="12">
        <f>IF('Données projet'!$A$88&gt;35,BD44+BC45-BL44,IF(A45&lt;'Données projet'!$A$88,$BA$205^A45,IF(A45='Données projet'!$A$88,'Données projet'!$B$88,BD44+BC45-BL44)))</f>
        <v>182.53948717948714</v>
      </c>
      <c r="BE45" s="13">
        <f>BD45*VLOOKUP('Données projet'!$B$11,Paramètres!$A$1:$I$89,3,0)*VLOOKUP('Données projet'!$B$11,Paramètres!$A$1:$I$89,5,0)</f>
        <v>109.15861333333332</v>
      </c>
      <c r="BF45" s="13">
        <f t="shared" si="37"/>
        <v>29.132658809812469</v>
      </c>
      <c r="BG45" s="20">
        <f t="shared" si="7"/>
        <v>240.85729898264557</v>
      </c>
      <c r="BH45" s="59">
        <f t="shared" si="8"/>
        <v>534.19063231597886</v>
      </c>
      <c r="BI45" s="59">
        <f ca="1">AVERAGE(OFFSET($BH$3,0,0,'Données projet'!$E$11+1,1))-AVERAGE(OFFSET($H$3,0,0,'Données projet'!$E$11+1,1))</f>
        <v>187.18641061466138</v>
      </c>
      <c r="BJ45" s="59">
        <f t="shared" si="38"/>
        <v>143.07246221325369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13.980679051073412</v>
      </c>
      <c r="BR45" s="21">
        <f>EXP(-LN(2)/2)*BR44+(1-EXP(-LN(2)/2))/(LN(2)/2)*BL45*BO45*VLOOKUP('Données projet'!$B$11,Paramètres!$A$1:$I$89,3,0)*0.475*44/12</f>
        <v>8.2632305802325146</v>
      </c>
      <c r="BS45" s="22">
        <f t="shared" si="9"/>
        <v>22.243909631305925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410.3692307692308</v>
      </c>
      <c r="BW45" s="12">
        <f>VLOOKUP(A45,'Données projet'!$A$113:$I$133,9,0)</f>
        <v>16.131410256410259</v>
      </c>
      <c r="BX45" s="12">
        <f t="array" ref="BX45">INDEX(BW:BW,MIN(IF(ISNUMBER(BW45:BW241),ROW(BW45:BW241),"")))</f>
        <v>16.131410256410259</v>
      </c>
      <c r="BY45" s="12">
        <f>IF('Données projet'!$A$114&gt;35,BY44+BX45-CG44,IF(A45&lt;'Données projet'!$A$114,$BV$205^A45,IF(A45='Données projet'!$A$114,'Données projet'!$B$114,BY44+BX45-CG44)))</f>
        <v>410.36923076923091</v>
      </c>
      <c r="BZ45" s="13">
        <f>BY45*VLOOKUP('Données projet'!$B$12,Paramètres!$A$1:$I$89,3,0)*VLOOKUP('Données projet'!$B$12,Paramètres!$A$1:$I$89,5,0)</f>
        <v>192.05280000000008</v>
      </c>
      <c r="CA45" s="13">
        <f t="shared" si="39"/>
        <v>47.993513546032311</v>
      </c>
      <c r="CB45" s="20">
        <f t="shared" si="10"/>
        <v>418.08066275933976</v>
      </c>
      <c r="CC45" s="59">
        <f t="shared" si="11"/>
        <v>711.41399609267307</v>
      </c>
      <c r="CD45" s="59">
        <f ca="1">AVERAGE(OFFSET($CC$3,0,0,'Données projet'!$E$12+1,1))-AVERAGE(OFFSET($H$3,0,0,'Données projet'!$E$12+1,1))</f>
        <v>198.17898804494365</v>
      </c>
      <c r="CE45" s="59">
        <f t="shared" si="40"/>
        <v>186.24772922797723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179.84615384615384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0.30800000000000005</v>
      </c>
      <c r="CJ45" s="16">
        <f>IF(ISNA(VLOOKUP(A45,'Données projet'!$A$113:$I$133,7,0)),0%,VLOOKUP(A45,'Données projet'!$A$113:$I$133,7,0))</f>
        <v>0.44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34.254112709103957</v>
      </c>
      <c r="CM45" s="21">
        <f>EXP(-LN(2)/2)*CM44+(1-EXP(-LN(2)/2))/(LN(2)/2)*CG45*CJ45*VLOOKUP('Données projet'!$B$12,Paramètres!$A$1:$I$89,3,0)*0.475*44/12</f>
        <v>41.931000328011329</v>
      </c>
      <c r="CN45" s="22">
        <f t="shared" si="12"/>
        <v>76.185113037115286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8.1999999999999993</v>
      </c>
      <c r="CT45" s="12">
        <f>IF('Données projet'!$A$140&gt;35,CT44+CS45-DB44,IF(A45&lt;'Données projet'!$A$140,$CQ$205^A45,IF(A45='Données projet'!$A$140,'Données projet'!$B$140,CT44+CS45-DB44)))</f>
        <v>180.39999999999998</v>
      </c>
      <c r="CU45" s="17">
        <f>CT45*VLOOKUP('Données projet'!$B$13,Paramètres!$A$1:$I$89,3,0)*VLOOKUP('Données projet'!$B$13,Paramètres!$A$1:$I$89,5,0)</f>
        <v>132.26927999999998</v>
      </c>
      <c r="CV45" s="13">
        <f t="shared" si="41"/>
        <v>34.52019401964877</v>
      </c>
      <c r="CW45" s="20">
        <f t="shared" si="13"/>
        <v>290.49166725088827</v>
      </c>
      <c r="CX45" s="59">
        <f t="shared" si="14"/>
        <v>583.82500058422158</v>
      </c>
      <c r="CY45" s="59">
        <f ca="1">AVERAGE(OFFSET($CX$3,0,0,'Données projet'!$E$13+1,1))-AVERAGE(OFFSET($H$3,0,0,'Données projet'!$E$13+1,1))</f>
        <v>198.78436129430389</v>
      </c>
      <c r="CZ45" s="59">
        <f t="shared" si="42"/>
        <v>198.28846462484438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5.4951061241923567</v>
      </c>
      <c r="DG45" s="21">
        <f>EXP(-LN(2)/25)*DG44+(1-EXP(-LN(2)/25))/(LN(2)/25)*Calculateur!DB45*Calculateur!DD45*VLOOKUP('Données projet'!$B$13,Paramètres!$A$1:$I$89,3,0)*0.475*44/12</f>
        <v>9.4746533671840023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14.969759491376358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21.625641025641034</v>
      </c>
      <c r="N46" s="13">
        <f>IF('Données projet'!$A$36&gt;35,N45+M46-V45,IF(A46&lt;'Données projet'!$A$36,$K$205^A46,IF(A46='Données projet'!$A$36,'Données projet'!$B$36,N45+M46-V45)))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33"/>
        <v>56.947838023653489</v>
      </c>
      <c r="Q46" s="20">
        <f t="shared" si="53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274.57619581652199</v>
      </c>
      <c r="T46" s="59">
        <f t="shared" si="34"/>
        <v>366.15117322598775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278.21846622758881</v>
      </c>
      <c r="AO46" s="59">
        <f t="shared" si="36"/>
        <v>245.37578316242906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8.2005128205128202</v>
      </c>
      <c r="BD46" s="12">
        <f>IF('Données projet'!$A$88&gt;35,BD45+BC46-BL45,IF(A46&lt;'Données projet'!$A$88,$BA$205^A46,IF(A46='Données projet'!$A$88,'Données projet'!$B$88,BD45+BC46-BL45)))</f>
        <v>190.73999999999995</v>
      </c>
      <c r="BE46" s="13">
        <f>BD46*VLOOKUP('Données projet'!$B$11,Paramètres!$A$1:$I$89,3,0)*VLOOKUP('Données projet'!$B$11,Paramètres!$A$1:$I$89,5,0)</f>
        <v>114.06251999999998</v>
      </c>
      <c r="BF46" s="13">
        <f t="shared" si="37"/>
        <v>30.286116343266013</v>
      </c>
      <c r="BG46" s="20">
        <f t="shared" si="7"/>
        <v>251.40720829785491</v>
      </c>
      <c r="BH46" s="59">
        <f t="shared" si="8"/>
        <v>544.74054163118819</v>
      </c>
      <c r="BI46" s="59">
        <f ca="1">AVERAGE(OFFSET($BH$3,0,0,'Données projet'!$E$11+1,1))-AVERAGE(OFFSET($H$3,0,0,'Données projet'!$E$11+1,1))</f>
        <v>187.18641061466138</v>
      </c>
      <c r="BJ46" s="59">
        <f t="shared" si="38"/>
        <v>143.07246221325369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13.598376647209852</v>
      </c>
      <c r="BR46" s="21">
        <f>EXP(-LN(2)/2)*BR45+(1-EXP(-LN(2)/2))/(LN(2)/2)*BL46*BO46*VLOOKUP('Données projet'!$B$11,Paramètres!$A$1:$I$89,3,0)*0.475*44/12</f>
        <v>5.8429863777904609</v>
      </c>
      <c r="BS46" s="22">
        <f t="shared" si="9"/>
        <v>19.441363025000314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15.618681318681309</v>
      </c>
      <c r="BY46" s="12">
        <f>IF('Données projet'!$A$114&gt;35,BY45+BX46-CG45,IF(A46&lt;'Données projet'!$A$114,$BV$205^A46,IF(A46='Données projet'!$A$114,'Données projet'!$B$114,BY45+BX46-CG45)))</f>
        <v>246.14175824175837</v>
      </c>
      <c r="BZ46" s="13">
        <f>BY46*VLOOKUP('Données projet'!$B$12,Paramètres!$A$1:$I$89,3,0)*VLOOKUP('Données projet'!$B$12,Paramètres!$A$1:$I$89,5,0)</f>
        <v>115.19434285714291</v>
      </c>
      <c r="CA46" s="13">
        <f t="shared" si="39"/>
        <v>30.5515065129288</v>
      </c>
      <c r="CB46" s="20">
        <f t="shared" si="10"/>
        <v>253.84068765287489</v>
      </c>
      <c r="CC46" s="59">
        <f t="shared" si="11"/>
        <v>547.17402098620823</v>
      </c>
      <c r="CD46" s="59">
        <f ca="1">AVERAGE(OFFSET($CC$3,0,0,'Données projet'!$E$12+1,1))-AVERAGE(OFFSET($H$3,0,0,'Données projet'!$E$12+1,1))</f>
        <v>198.17898804494365</v>
      </c>
      <c r="CE46" s="59">
        <f t="shared" si="40"/>
        <v>186.24772922797723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33.31743219572801</v>
      </c>
      <c r="CM46" s="21">
        <f>EXP(-LN(2)/2)*CM45+(1-EXP(-LN(2)/2))/(LN(2)/2)*CG46*CJ46*VLOOKUP('Données projet'!$B$12,Paramètres!$A$1:$I$89,3,0)*0.475*44/12</f>
        <v>29.649694673872162</v>
      </c>
      <c r="CN46" s="22">
        <f t="shared" si="12"/>
        <v>62.967126869600172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8.1999999999999993</v>
      </c>
      <c r="CT46" s="12">
        <f>IF('Données projet'!$A$140&gt;35,CT45+CS46-DB45,IF(A46&lt;'Données projet'!$A$140,$CQ$205^A46,IF(A46='Données projet'!$A$140,'Données projet'!$B$140,CT45+CS46-DB45)))</f>
        <v>188.59999999999997</v>
      </c>
      <c r="CU46" s="17">
        <f>CT46*VLOOKUP('Données projet'!$B$13,Paramètres!$A$1:$I$89,3,0)*VLOOKUP('Données projet'!$B$13,Paramètres!$A$1:$I$89,5,0)</f>
        <v>138.28151999999997</v>
      </c>
      <c r="CV46" s="13">
        <f t="shared" si="41"/>
        <v>35.903043322174675</v>
      </c>
      <c r="CW46" s="20">
        <f t="shared" si="13"/>
        <v>303.37144778612083</v>
      </c>
      <c r="CX46" s="59">
        <f t="shared" si="14"/>
        <v>596.70478111945408</v>
      </c>
      <c r="CY46" s="59">
        <f ca="1">AVERAGE(OFFSET($CX$3,0,0,'Données projet'!$E$13+1,1))-AVERAGE(OFFSET($H$3,0,0,'Données projet'!$E$13+1,1))</f>
        <v>198.78436129430389</v>
      </c>
      <c r="CZ46" s="59">
        <f t="shared" si="42"/>
        <v>198.28846462484438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5.3873504447807292</v>
      </c>
      <c r="DG46" s="21">
        <f>EXP(-LN(2)/25)*DG45+(1-EXP(-LN(2)/25))/(LN(2)/25)*Calculateur!DB46*Calculateur!DD46*VLOOKUP('Données projet'!$B$13,Paramètres!$A$1:$I$89,3,0)*0.475*44/12</f>
        <v>9.2155684726079894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14.602918917388719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21.625641025641034</v>
      </c>
      <c r="N47" s="13">
        <f>IF('Données projet'!$A$36&gt;35,N46+M47-V46,IF(A47&lt;'Données projet'!$A$36,$K$205^A47,IF(A47='Données projet'!$A$36,'Données projet'!$B$36,N46+M47-V46)))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33"/>
        <v>59.549932468183236</v>
      </c>
      <c r="Q47" s="20">
        <f t="shared" si="53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274.57619581652199</v>
      </c>
      <c r="T47" s="59">
        <f t="shared" si="34"/>
        <v>366.15117322598775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278.21846622758881</v>
      </c>
      <c r="AO47" s="59">
        <f t="shared" si="36"/>
        <v>245.37578316242906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8.2005128205128202</v>
      </c>
      <c r="BD47" s="12">
        <f>IF('Données projet'!$A$88&gt;35,BD46+BC47-BL46,IF(A47&lt;'Données projet'!$A$88,$BA$205^A47,IF(A47='Données projet'!$A$88,'Données projet'!$B$88,BD46+BC47-BL46)))</f>
        <v>198.94051282051277</v>
      </c>
      <c r="BE47" s="13">
        <f>BD47*VLOOKUP('Données projet'!$B$11,Paramètres!$A$1:$I$89,3,0)*VLOOKUP('Données projet'!$B$11,Paramètres!$A$1:$I$89,5,0)</f>
        <v>118.96642666666664</v>
      </c>
      <c r="BF47" s="13">
        <f t="shared" si="37"/>
        <v>31.433814056921133</v>
      </c>
      <c r="BG47" s="20">
        <f t="shared" si="7"/>
        <v>261.94708592691535</v>
      </c>
      <c r="BH47" s="59">
        <f t="shared" si="8"/>
        <v>555.28041926024866</v>
      </c>
      <c r="BI47" s="59">
        <f ca="1">AVERAGE(OFFSET($BH$3,0,0,'Données projet'!$E$11+1,1))-AVERAGE(OFFSET($H$3,0,0,'Données projet'!$E$11+1,1))</f>
        <v>187.18641061466138</v>
      </c>
      <c r="BJ47" s="59">
        <f t="shared" si="38"/>
        <v>143.07246221325369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13.22652832268435</v>
      </c>
      <c r="BR47" s="21">
        <f>EXP(-LN(2)/2)*BR46+(1-EXP(-LN(2)/2))/(LN(2)/2)*BL47*BO47*VLOOKUP('Données projet'!$B$11,Paramètres!$A$1:$I$89,3,0)*0.475*44/12</f>
        <v>4.1316152901162573</v>
      </c>
      <c r="BS47" s="22">
        <f t="shared" si="9"/>
        <v>17.358143612800607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15.618681318681309</v>
      </c>
      <c r="BY47" s="12">
        <f>IF('Données projet'!$A$114&gt;35,BY46+BX47-CG46,IF(A47&lt;'Données projet'!$A$114,$BV$205^A47,IF(A47='Données projet'!$A$114,'Données projet'!$B$114,BY46+BX47-CG46)))</f>
        <v>261.76043956043969</v>
      </c>
      <c r="BZ47" s="13">
        <f>BY47*VLOOKUP('Données projet'!$B$12,Paramètres!$A$1:$I$89,3,0)*VLOOKUP('Données projet'!$B$12,Paramètres!$A$1:$I$89,5,0)</f>
        <v>122.50388571428577</v>
      </c>
      <c r="CA47" s="13">
        <f t="shared" si="39"/>
        <v>32.258285776503719</v>
      </c>
      <c r="CB47" s="20">
        <f t="shared" si="10"/>
        <v>269.54411534645834</v>
      </c>
      <c r="CC47" s="59">
        <f t="shared" si="11"/>
        <v>562.87744867979166</v>
      </c>
      <c r="CD47" s="59">
        <f ca="1">AVERAGE(OFFSET($CC$3,0,0,'Données projet'!$E$12+1,1))-AVERAGE(OFFSET($H$3,0,0,'Données projet'!$E$12+1,1))</f>
        <v>198.17898804494365</v>
      </c>
      <c r="CE47" s="59">
        <f t="shared" si="40"/>
        <v>186.24772922797723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32.406365260248215</v>
      </c>
      <c r="CM47" s="21">
        <f>EXP(-LN(2)/2)*CM46+(1-EXP(-LN(2)/2))/(LN(2)/2)*CG47*CJ47*VLOOKUP('Données projet'!$B$12,Paramètres!$A$1:$I$89,3,0)*0.475*44/12</f>
        <v>20.965500164005668</v>
      </c>
      <c r="CN47" s="22">
        <f t="shared" si="12"/>
        <v>53.371865424253883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8.1999999999999993</v>
      </c>
      <c r="CT47" s="12">
        <f>IF('Données projet'!$A$140&gt;35,CT46+CS47-DB46,IF(A47&lt;'Données projet'!$A$140,$CQ$205^A47,IF(A47='Données projet'!$A$140,'Données projet'!$B$140,CT46+CS47-DB46)))</f>
        <v>196.79999999999995</v>
      </c>
      <c r="CU47" s="17">
        <f>CT47*VLOOKUP('Données projet'!$B$13,Paramètres!$A$1:$I$89,3,0)*VLOOKUP('Données projet'!$B$13,Paramètres!$A$1:$I$89,5,0)</f>
        <v>144.29375999999996</v>
      </c>
      <c r="CV47" s="13">
        <f t="shared" si="41"/>
        <v>37.278909560653958</v>
      </c>
      <c r="CW47" s="20">
        <f t="shared" si="13"/>
        <v>316.23906615147223</v>
      </c>
      <c r="CX47" s="59">
        <f t="shared" si="14"/>
        <v>609.5723994848056</v>
      </c>
      <c r="CY47" s="59">
        <f ca="1">AVERAGE(OFFSET($CX$3,0,0,'Données projet'!$E$13+1,1))-AVERAGE(OFFSET($H$3,0,0,'Données projet'!$E$13+1,1))</f>
        <v>198.78436129430389</v>
      </c>
      <c r="CZ47" s="59">
        <f t="shared" si="42"/>
        <v>198.28846462484438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5.2817077885178891</v>
      </c>
      <c r="DG47" s="21">
        <f>EXP(-LN(2)/25)*DG46+(1-EXP(-LN(2)/25))/(LN(2)/25)*Calculateur!DB47*Calculateur!DD47*VLOOKUP('Données projet'!$B$13,Paramètres!$A$1:$I$89,3,0)*0.475*44/12</f>
        <v>8.9635682680988396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14.245276056616728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21.625641025641034</v>
      </c>
      <c r="N48" s="13">
        <f>IF('Données projet'!$A$36&gt;35,N47+M48-V47,IF(A48&lt;'Données projet'!$A$36,$K$205^A48,IF(A48='Données projet'!$A$36,'Données projet'!$B$36,N47+M48-V47)))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274.57619581652199</v>
      </c>
      <c r="T48" s="59">
        <f t="shared" si="34"/>
        <v>366.15117322598775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278.21846622758881</v>
      </c>
      <c r="AO48" s="59">
        <f t="shared" si="36"/>
        <v>245.37578316242906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8.2005128205128202</v>
      </c>
      <c r="BD48" s="12">
        <f>IF('Données projet'!$A$88&gt;35,BD47+BC48-BL47,IF(A48&lt;'Données projet'!$A$88,$BA$205^A48,IF(A48='Données projet'!$A$88,'Données projet'!$B$88,BD47+BC48-BL47)))</f>
        <v>207.14102564102558</v>
      </c>
      <c r="BE48" s="13">
        <f>BD48*VLOOKUP('Données projet'!$B$11,Paramètres!$A$1:$I$89,3,0)*VLOOKUP('Données projet'!$B$11,Paramètres!$A$1:$I$89,5,0)</f>
        <v>123.87033333333331</v>
      </c>
      <c r="BF48" s="13">
        <f t="shared" si="37"/>
        <v>32.576016530089092</v>
      </c>
      <c r="BG48" s="20">
        <f t="shared" si="7"/>
        <v>272.47739267879405</v>
      </c>
      <c r="BH48" s="59">
        <f t="shared" si="8"/>
        <v>565.81072601212736</v>
      </c>
      <c r="BI48" s="59">
        <f ca="1">AVERAGE(OFFSET($BH$3,0,0,'Données projet'!$E$11+1,1))-AVERAGE(OFFSET($H$3,0,0,'Données projet'!$E$11+1,1))</f>
        <v>187.18641061466138</v>
      </c>
      <c r="BJ48" s="59">
        <f t="shared" si="38"/>
        <v>143.07246221325369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12.864848210147652</v>
      </c>
      <c r="BR48" s="21">
        <f>EXP(-LN(2)/2)*BR47+(1-EXP(-LN(2)/2))/(LN(2)/2)*BL48*BO48*VLOOKUP('Données projet'!$B$11,Paramètres!$A$1:$I$89,3,0)*0.475*44/12</f>
        <v>2.9214931888952305</v>
      </c>
      <c r="BS48" s="22">
        <f t="shared" si="9"/>
        <v>15.786341399042882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15.618681318681309</v>
      </c>
      <c r="BY48" s="12">
        <f>IF('Données projet'!$A$114&gt;35,BY47+BX48-CG47,IF(A48&lt;'Données projet'!$A$114,$BV$205^A48,IF(A48='Données projet'!$A$114,'Données projet'!$B$114,BY47+BX48-CG47)))</f>
        <v>277.37912087912099</v>
      </c>
      <c r="BZ48" s="13">
        <f>BY48*VLOOKUP('Données projet'!$B$12,Paramètres!$A$1:$I$89,3,0)*VLOOKUP('Données projet'!$B$12,Paramètres!$A$1:$I$89,5,0)</f>
        <v>129.81342857142863</v>
      </c>
      <c r="CA48" s="13">
        <f t="shared" si="39"/>
        <v>33.953244550224326</v>
      </c>
      <c r="CB48" s="20">
        <f t="shared" si="10"/>
        <v>285.22695568687891</v>
      </c>
      <c r="CC48" s="59">
        <f t="shared" si="11"/>
        <v>578.56028902021217</v>
      </c>
      <c r="CD48" s="59">
        <f ca="1">AVERAGE(OFFSET($CC$3,0,0,'Données projet'!$E$12+1,1))-AVERAGE(OFFSET($H$3,0,0,'Données projet'!$E$12+1,1))</f>
        <v>198.17898804494365</v>
      </c>
      <c r="CE48" s="59">
        <f t="shared" si="40"/>
        <v>186.24772922797723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31.520211498030044</v>
      </c>
      <c r="CM48" s="21">
        <f>EXP(-LN(2)/2)*CM47+(1-EXP(-LN(2)/2))/(LN(2)/2)*CG48*CJ48*VLOOKUP('Données projet'!$B$12,Paramètres!$A$1:$I$89,3,0)*0.475*44/12</f>
        <v>14.824847336936083</v>
      </c>
      <c r="CN48" s="22">
        <f t="shared" si="12"/>
        <v>46.345058834966125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205</v>
      </c>
      <c r="CR48" s="12">
        <f>VLOOKUP(A48,'Données projet'!$A$139:$I$159,9,0)</f>
        <v>8.1999999999999993</v>
      </c>
      <c r="CS48" s="12">
        <f t="array" ref="CS48">INDEX(CR:CR,MIN(IF(ISNUMBER(CR48:CR244),ROW(CR48:CR244),"")))</f>
        <v>8.1999999999999993</v>
      </c>
      <c r="CT48" s="12">
        <f>IF('Données projet'!$A$140&gt;35,CT47+CS48-DB47,IF(A48&lt;'Données projet'!$A$140,$CQ$205^A48,IF(A48='Données projet'!$A$140,'Données projet'!$B$140,CT47+CS48-DB47)))</f>
        <v>204.99999999999994</v>
      </c>
      <c r="CU48" s="17">
        <f>CT48*VLOOKUP('Données projet'!$B$13,Paramètres!$A$1:$I$89,3,0)*VLOOKUP('Données projet'!$B$13,Paramètres!$A$1:$I$89,5,0)</f>
        <v>150.30599999999995</v>
      </c>
      <c r="CV48" s="13">
        <f t="shared" si="41"/>
        <v>38.648116968856641</v>
      </c>
      <c r="CW48" s="20">
        <f t="shared" si="13"/>
        <v>329.09508705409189</v>
      </c>
      <c r="CX48" s="59">
        <f t="shared" si="14"/>
        <v>622.42842038742515</v>
      </c>
      <c r="CY48" s="59">
        <f ca="1">AVERAGE(OFFSET($CX$3,0,0,'Données projet'!$E$13+1,1))-AVERAGE(OFFSET($H$3,0,0,'Données projet'!$E$13+1,1))</f>
        <v>198.78436129430389</v>
      </c>
      <c r="CZ48" s="59">
        <f t="shared" si="42"/>
        <v>198.28846462484438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0.25369999999999998</v>
      </c>
      <c r="DD48" s="16">
        <f>IF(ISNA(VLOOKUP(A48,'Données projet'!$A$139:$I$159,6,0)),0%,VLOOKUP(A48,'Données projet'!$A$139:$I$159,6,0)*VLOOKUP('Données projet'!$B$13,Paramètres!$A$1:$I$89,7,0))</f>
        <v>0.11610000000000001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9.7020337866303468</v>
      </c>
      <c r="DG48" s="21">
        <f>EXP(-LN(2)/25)*DG47+(1-EXP(-LN(2)/25))/(LN(2)/25)*Calculateur!DB48*Calculateur!DD48*VLOOKUP('Données projet'!$B$13,Paramètres!$A$1:$I$89,3,0)*0.475*44/12</f>
        <v>10.780565607441794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20.482599394072139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21.625641025641034</v>
      </c>
      <c r="N49" s="13">
        <f>IF('Données projet'!$A$36&gt;35,N48+M49-V48,IF(A49&lt;'Données projet'!$A$36,$K$205^A49,IF(A49='Données projet'!$A$36,'Données projet'!$B$36,N48+M49-V48)))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33"/>
        <v>64.710206731812576</v>
      </c>
      <c r="Q49" s="20">
        <f t="shared" si="53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274.57619581652199</v>
      </c>
      <c r="T49" s="59">
        <f t="shared" si="34"/>
        <v>366.15117322598775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278.21846622758881</v>
      </c>
      <c r="AO49" s="59">
        <f t="shared" si="36"/>
        <v>245.37578316242906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8.2005128205128202</v>
      </c>
      <c r="BD49" s="12">
        <f>IF('Données projet'!$A$88&gt;35,BD48+BC49-BL48,IF(A49&lt;'Données projet'!$A$88,$BA$205^A49,IF(A49='Données projet'!$A$88,'Données projet'!$B$88,BD48+BC49-BL48)))</f>
        <v>215.34153846153839</v>
      </c>
      <c r="BE49" s="13">
        <f>BD49*VLOOKUP('Données projet'!$B$11,Paramètres!$A$1:$I$89,3,0)*VLOOKUP('Données projet'!$B$11,Paramètres!$A$1:$I$89,5,0)</f>
        <v>128.77423999999996</v>
      </c>
      <c r="BF49" s="13">
        <f t="shared" si="37"/>
        <v>33.712966207278377</v>
      </c>
      <c r="BG49" s="20">
        <f t="shared" si="7"/>
        <v>282.99855081100981</v>
      </c>
      <c r="BH49" s="59">
        <f t="shared" si="8"/>
        <v>576.33188414434312</v>
      </c>
      <c r="BI49" s="59">
        <f ca="1">AVERAGE(OFFSET($BH$3,0,0,'Données projet'!$E$11+1,1))-AVERAGE(OFFSET($H$3,0,0,'Données projet'!$E$11+1,1))</f>
        <v>187.18641061466138</v>
      </c>
      <c r="BJ49" s="59">
        <f t="shared" si="38"/>
        <v>143.07246221325369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12.513058259308201</v>
      </c>
      <c r="BR49" s="21">
        <f>EXP(-LN(2)/2)*BR48+(1-EXP(-LN(2)/2))/(LN(2)/2)*BL49*BO49*VLOOKUP('Données projet'!$B$11,Paramètres!$A$1:$I$89,3,0)*0.475*44/12</f>
        <v>2.0658076450581286</v>
      </c>
      <c r="BS49" s="22">
        <f t="shared" si="9"/>
        <v>14.57886590436633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15.618681318681309</v>
      </c>
      <c r="BY49" s="12">
        <f>IF('Données projet'!$A$114&gt;35,BY48+BX49-CG48,IF(A49&lt;'Données projet'!$A$114,$BV$205^A49,IF(A49='Données projet'!$A$114,'Données projet'!$B$114,BY48+BX49-CG48)))</f>
        <v>292.99780219780229</v>
      </c>
      <c r="BZ49" s="13">
        <f>BY49*VLOOKUP('Données projet'!$B$12,Paramètres!$A$1:$I$89,3,0)*VLOOKUP('Données projet'!$B$12,Paramètres!$A$1:$I$89,5,0)</f>
        <v>137.12297142857147</v>
      </c>
      <c r="CA49" s="13">
        <f t="shared" si="39"/>
        <v>35.63712427284996</v>
      </c>
      <c r="CB49" s="20">
        <f t="shared" si="10"/>
        <v>300.89050001330901</v>
      </c>
      <c r="CC49" s="59">
        <f t="shared" si="11"/>
        <v>594.22383334664232</v>
      </c>
      <c r="CD49" s="59">
        <f ca="1">AVERAGE(OFFSET($CC$3,0,0,'Données projet'!$E$12+1,1))-AVERAGE(OFFSET($H$3,0,0,'Données projet'!$E$12+1,1))</f>
        <v>198.17898804494365</v>
      </c>
      <c r="CE49" s="59">
        <f t="shared" si="40"/>
        <v>186.24772922797723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30.65828965704053</v>
      </c>
      <c r="CM49" s="21">
        <f>EXP(-LN(2)/2)*CM48+(1-EXP(-LN(2)/2))/(LN(2)/2)*CG49*CJ49*VLOOKUP('Données projet'!$B$12,Paramètres!$A$1:$I$89,3,0)*0.475*44/12</f>
        <v>10.482750082002836</v>
      </c>
      <c r="CN49" s="22">
        <f t="shared" si="12"/>
        <v>41.141039739043364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7.2</v>
      </c>
      <c r="CT49" s="12">
        <f>IF('Données projet'!$A$140&gt;35,CT48+CS49-DB48,IF(A49&lt;'Données projet'!$A$140,$CQ$205^A49,IF(A49='Données projet'!$A$140,'Données projet'!$B$140,CT48+CS49-DB48)))</f>
        <v>190.19999999999993</v>
      </c>
      <c r="CU49" s="17">
        <f>CT49*VLOOKUP('Données projet'!$B$13,Paramètres!$A$1:$I$89,3,0)*VLOOKUP('Données projet'!$B$13,Paramètres!$A$1:$I$89,5,0)</f>
        <v>139.45463999999996</v>
      </c>
      <c r="CV49" s="13">
        <f t="shared" si="41"/>
        <v>36.172042811708678</v>
      </c>
      <c r="CW49" s="20">
        <f t="shared" si="13"/>
        <v>305.88313923039249</v>
      </c>
      <c r="CX49" s="59">
        <f t="shared" si="14"/>
        <v>599.2164725637258</v>
      </c>
      <c r="CY49" s="59">
        <f ca="1">AVERAGE(OFFSET($CX$3,0,0,'Données projet'!$E$13+1,1))-AVERAGE(OFFSET($H$3,0,0,'Données projet'!$E$13+1,1))</f>
        <v>198.78436129430389</v>
      </c>
      <c r="CZ49" s="59">
        <f t="shared" si="42"/>
        <v>198.28846462484438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9.5117828217308151</v>
      </c>
      <c r="DG49" s="21">
        <f>EXP(-LN(2)/25)*DG48+(1-EXP(-LN(2)/25))/(LN(2)/25)*Calculateur!DB49*Calculateur!DD49*VLOOKUP('Données projet'!$B$13,Paramètres!$A$1:$I$89,3,0)*0.475*44/12</f>
        <v>10.485770473980992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19.997553295711807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21.625641025641034</v>
      </c>
      <c r="N50" s="13">
        <f>IF('Données projet'!$A$36&gt;35,N49+M50-V49,IF(A50&lt;'Données projet'!$A$36,$K$205^A50,IF(A50='Données projet'!$A$36,'Données projet'!$B$36,N49+M50-V49)))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274.57619581652199</v>
      </c>
      <c r="T50" s="59">
        <f t="shared" si="34"/>
        <v>366.15117322598775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278.21846622758881</v>
      </c>
      <c r="AO50" s="59">
        <f t="shared" si="36"/>
        <v>245.37578316242906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8.2005128205128202</v>
      </c>
      <c r="BD50" s="12">
        <f>IF('Données projet'!$A$88&gt;35,BD49+BC50-BL49,IF(A50&lt;'Données projet'!$A$88,$BA$205^A50,IF(A50='Données projet'!$A$88,'Données projet'!$B$88,BD49+BC50-BL49)))</f>
        <v>223.5420512820512</v>
      </c>
      <c r="BE50" s="13">
        <f>BD50*VLOOKUP('Données projet'!$B$11,Paramètres!$A$1:$I$89,3,0)*VLOOKUP('Données projet'!$B$11,Paramètres!$A$1:$I$89,5,0)</f>
        <v>133.67814666666663</v>
      </c>
      <c r="BF50" s="13">
        <f t="shared" si="37"/>
        <v>34.844886021885031</v>
      </c>
      <c r="BG50" s="20">
        <f t="shared" si="7"/>
        <v>293.5109485992275</v>
      </c>
      <c r="BH50" s="59">
        <f t="shared" si="8"/>
        <v>586.84428193256076</v>
      </c>
      <c r="BI50" s="59">
        <f ca="1">AVERAGE(OFFSET($BH$3,0,0,'Données projet'!$E$11+1,1))-AVERAGE(OFFSET($H$3,0,0,'Données projet'!$E$11+1,1))</f>
        <v>187.18641061466138</v>
      </c>
      <c r="BJ50" s="59">
        <f t="shared" si="38"/>
        <v>143.07246221325369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12.170888023174284</v>
      </c>
      <c r="BR50" s="21">
        <f>EXP(-LN(2)/2)*BR49+(1-EXP(-LN(2)/2))/(LN(2)/2)*BL50*BO50*VLOOKUP('Données projet'!$B$11,Paramètres!$A$1:$I$89,3,0)*0.475*44/12</f>
        <v>1.4607465944476152</v>
      </c>
      <c r="BS50" s="22">
        <f t="shared" si="9"/>
        <v>13.631634617621899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15.618681318681309</v>
      </c>
      <c r="BY50" s="12">
        <f>IF('Données projet'!$A$114&gt;35,BY49+BX50-CG49,IF(A50&lt;'Données projet'!$A$114,$BV$205^A50,IF(A50='Données projet'!$A$114,'Données projet'!$B$114,BY49+BX50-CG49)))</f>
        <v>308.61648351648358</v>
      </c>
      <c r="BZ50" s="13">
        <f>BY50*VLOOKUP('Données projet'!$B$12,Paramètres!$A$1:$I$89,3,0)*VLOOKUP('Données projet'!$B$12,Paramètres!$A$1:$I$89,5,0)</f>
        <v>144.43251428571432</v>
      </c>
      <c r="CA50" s="13">
        <f t="shared" si="39"/>
        <v>37.310582871696397</v>
      </c>
      <c r="CB50" s="20">
        <f t="shared" si="10"/>
        <v>316.5358942158237</v>
      </c>
      <c r="CC50" s="59">
        <f t="shared" si="11"/>
        <v>609.86922754915702</v>
      </c>
      <c r="CD50" s="59">
        <f ca="1">AVERAGE(OFFSET($CC$3,0,0,'Données projet'!$E$12+1,1))-AVERAGE(OFFSET($H$3,0,0,'Données projet'!$E$12+1,1))</f>
        <v>198.17898804494365</v>
      </c>
      <c r="CE50" s="59">
        <f t="shared" si="40"/>
        <v>186.24772922797723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29.819937114119373</v>
      </c>
      <c r="CM50" s="21">
        <f>EXP(-LN(2)/2)*CM49+(1-EXP(-LN(2)/2))/(LN(2)/2)*CG50*CJ50*VLOOKUP('Données projet'!$B$12,Paramètres!$A$1:$I$89,3,0)*0.475*44/12</f>
        <v>7.4124236684680431</v>
      </c>
      <c r="CN50" s="22">
        <f t="shared" si="12"/>
        <v>37.232360782587413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7.2</v>
      </c>
      <c r="CT50" s="12">
        <f>IF('Données projet'!$A$140&gt;35,CT49+CS50-DB49,IF(A50&lt;'Données projet'!$A$140,$CQ$205^A50,IF(A50='Données projet'!$A$140,'Données projet'!$B$140,CT49+CS50-DB49)))</f>
        <v>197.39999999999992</v>
      </c>
      <c r="CU50" s="17">
        <f>CT50*VLOOKUP('Données projet'!$B$13,Paramètres!$A$1:$I$89,3,0)*VLOOKUP('Données projet'!$B$13,Paramètres!$A$1:$I$89,5,0)</f>
        <v>144.73367999999994</v>
      </c>
      <c r="CV50" s="13">
        <f t="shared" si="41"/>
        <v>37.379317506781838</v>
      </c>
      <c r="CW50" s="20">
        <f t="shared" si="13"/>
        <v>317.1801373243116</v>
      </c>
      <c r="CX50" s="59">
        <f t="shared" si="14"/>
        <v>610.51347065764492</v>
      </c>
      <c r="CY50" s="59">
        <f ca="1">AVERAGE(OFFSET($CX$3,0,0,'Données projet'!$E$13+1,1))-AVERAGE(OFFSET($H$3,0,0,'Données projet'!$E$13+1,1))</f>
        <v>198.78436129430389</v>
      </c>
      <c r="CZ50" s="59">
        <f t="shared" si="42"/>
        <v>198.28846462484438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9.3252625622113339</v>
      </c>
      <c r="DG50" s="21">
        <f>EXP(-LN(2)/25)*DG49+(1-EXP(-LN(2)/25))/(LN(2)/25)*Calculateur!DB50*Calculateur!DD50*VLOOKUP('Données projet'!$B$13,Paramètres!$A$1:$I$89,3,0)*0.475*44/12</f>
        <v>10.199036528947278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19.524299091158611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21.625641025641034</v>
      </c>
      <c r="M51" s="12">
        <f t="array" ref="M51">INDEX(L:L,MIN(IF(ISNUMBER(L51:L247),ROW(L51:L247),"")))</f>
        <v>21.625641025641034</v>
      </c>
      <c r="N51" s="13">
        <f>IF('Données projet'!$A$36&gt;35,N50+M51-V50,IF(A51&lt;'Données projet'!$A$36,$K$205^A51,IF(A51='Données projet'!$A$36,'Données projet'!$B$36,N50+M51-V50)))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33"/>
        <v>69.816768342057628</v>
      </c>
      <c r="Q51" s="20">
        <f t="shared" si="53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274.57619581652199</v>
      </c>
      <c r="T51" s="59">
        <f t="shared" si="34"/>
        <v>366.15117322598775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9.240000000000001E-2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278.21846622758881</v>
      </c>
      <c r="AO51" s="59">
        <f t="shared" si="36"/>
        <v>245.37578316242906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8.2005128205128202</v>
      </c>
      <c r="BD51" s="12">
        <f>IF('Données projet'!$A$88&gt;35,BD50+BC51-BL50,IF(A51&lt;'Données projet'!$A$88,$BA$205^A51,IF(A51='Données projet'!$A$88,'Données projet'!$B$88,BD50+BC51-BL50)))</f>
        <v>231.74256410256402</v>
      </c>
      <c r="BE51" s="13">
        <f>BD51*VLOOKUP('Données projet'!$B$11,Paramètres!$A$1:$I$89,3,0)*VLOOKUP('Données projet'!$B$11,Paramètres!$A$1:$I$89,5,0)</f>
        <v>138.58205333333328</v>
      </c>
      <c r="BF51" s="13">
        <f t="shared" si="37"/>
        <v>35.971981624067027</v>
      </c>
      <c r="BG51" s="20">
        <f t="shared" si="7"/>
        <v>304.01494421747219</v>
      </c>
      <c r="BH51" s="59">
        <f t="shared" si="8"/>
        <v>597.34827755080551</v>
      </c>
      <c r="BI51" s="59">
        <f ca="1">AVERAGE(OFFSET($BH$3,0,0,'Données projet'!$E$11+1,1))-AVERAGE(OFFSET($H$3,0,0,'Données projet'!$E$11+1,1))</f>
        <v>187.18641061466138</v>
      </c>
      <c r="BJ51" s="59">
        <f t="shared" si="38"/>
        <v>143.07246221325369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11.838074450141399</v>
      </c>
      <c r="BR51" s="21">
        <f>EXP(-LN(2)/2)*BR50+(1-EXP(-LN(2)/2))/(LN(2)/2)*BL51*BO51*VLOOKUP('Données projet'!$B$11,Paramètres!$A$1:$I$89,3,0)*0.475*44/12</f>
        <v>1.0329038225290643</v>
      </c>
      <c r="BS51" s="22">
        <f t="shared" si="9"/>
        <v>12.870978272670463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15.618681318681309</v>
      </c>
      <c r="BY51" s="12">
        <f>IF('Données projet'!$A$114&gt;35,BY50+BX51-CG50,IF(A51&lt;'Données projet'!$A$114,$BV$205^A51,IF(A51='Données projet'!$A$114,'Données projet'!$B$114,BY50+BX51-CG50)))</f>
        <v>324.23516483516488</v>
      </c>
      <c r="BZ51" s="13">
        <f>BY51*VLOOKUP('Données projet'!$B$12,Paramètres!$A$1:$I$89,3,0)*VLOOKUP('Données projet'!$B$12,Paramètres!$A$1:$I$89,5,0)</f>
        <v>151.74205714285716</v>
      </c>
      <c r="CA51" s="13">
        <f t="shared" si="39"/>
        <v>38.974207918733512</v>
      </c>
      <c r="CB51" s="20">
        <f t="shared" si="10"/>
        <v>332.16416164893707</v>
      </c>
      <c r="CC51" s="59">
        <f t="shared" si="11"/>
        <v>625.49749498227038</v>
      </c>
      <c r="CD51" s="59">
        <f ca="1">AVERAGE(OFFSET($CC$3,0,0,'Données projet'!$E$12+1,1))-AVERAGE(OFFSET($H$3,0,0,'Données projet'!$E$12+1,1))</f>
        <v>198.17898804494365</v>
      </c>
      <c r="CE51" s="59">
        <f t="shared" si="40"/>
        <v>186.24772922797723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29.00450936557144</v>
      </c>
      <c r="CM51" s="21">
        <f>EXP(-LN(2)/2)*CM50+(1-EXP(-LN(2)/2))/(LN(2)/2)*CG51*CJ51*VLOOKUP('Données projet'!$B$12,Paramètres!$A$1:$I$89,3,0)*0.475*44/12</f>
        <v>5.2413750410014188</v>
      </c>
      <c r="CN51" s="22">
        <f t="shared" si="12"/>
        <v>34.245884406572856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7.2</v>
      </c>
      <c r="CT51" s="12">
        <f>IF('Données projet'!$A$140&gt;35,CT50+CS51-DB50,IF(A51&lt;'Données projet'!$A$140,$CQ$205^A51,IF(A51='Données projet'!$A$140,'Données projet'!$B$140,CT50+CS51-DB50)))</f>
        <v>204.59999999999991</v>
      </c>
      <c r="CU51" s="17">
        <f>CT51*VLOOKUP('Données projet'!$B$13,Paramètres!$A$1:$I$89,3,0)*VLOOKUP('Données projet'!$B$13,Paramètres!$A$1:$I$89,5,0)</f>
        <v>150.01271999999992</v>
      </c>
      <c r="CV51" s="13">
        <f t="shared" si="41"/>
        <v>38.581476272231626</v>
      </c>
      <c r="CW51" s="20">
        <f t="shared" si="13"/>
        <v>328.46822517413659</v>
      </c>
      <c r="CX51" s="59">
        <f t="shared" si="14"/>
        <v>621.80155850746996</v>
      </c>
      <c r="CY51" s="59">
        <f ca="1">AVERAGE(OFFSET($CX$3,0,0,'Données projet'!$E$13+1,1))-AVERAGE(OFFSET($H$3,0,0,'Données projet'!$E$13+1,1))</f>
        <v>198.78436129430389</v>
      </c>
      <c r="CZ51" s="59">
        <f t="shared" si="42"/>
        <v>198.28846462484438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9.1423998512149041</v>
      </c>
      <c r="DG51" s="21">
        <f>EXP(-LN(2)/25)*DG50+(1-EXP(-LN(2)/25))/(LN(2)/25)*Calculateur!DB51*Calculateur!DD51*VLOOKUP('Données projet'!$B$13,Paramètres!$A$1:$I$89,3,0)*0.475*44/12</f>
        <v>9.9201433387191944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19.062543189934097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33"/>
        <v>62.620519404058925</v>
      </c>
      <c r="Q52" s="20">
        <f t="shared" si="53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274.57619581652199</v>
      </c>
      <c r="T52" s="59">
        <f t="shared" si="34"/>
        <v>366.15117322598775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278.21846622758881</v>
      </c>
      <c r="AO52" s="59">
        <f t="shared" si="36"/>
        <v>245.37578316242906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8.2005128205128202</v>
      </c>
      <c r="BD52" s="12">
        <f>IF('Données projet'!$A$88&gt;35,BD51+BC52-BL51,IF(A52&lt;'Données projet'!$A$88,$BA$205^A52,IF(A52='Données projet'!$A$88,'Données projet'!$B$88,BD51+BC52-BL51)))</f>
        <v>239.94307692307683</v>
      </c>
      <c r="BE52" s="13">
        <f>BD52*VLOOKUP('Données projet'!$B$11,Paramètres!$A$1:$I$89,3,0)*VLOOKUP('Données projet'!$B$11,Paramètres!$A$1:$I$89,5,0)</f>
        <v>143.48595999999995</v>
      </c>
      <c r="BF52" s="13">
        <f t="shared" si="37"/>
        <v>37.094443284412861</v>
      </c>
      <c r="BG52" s="20">
        <f t="shared" si="7"/>
        <v>314.51086905368561</v>
      </c>
      <c r="BH52" s="59">
        <f t="shared" si="8"/>
        <v>607.84420238701887</v>
      </c>
      <c r="BI52" s="59">
        <f ca="1">AVERAGE(OFFSET($BH$3,0,0,'Données projet'!$E$11+1,1))-AVERAGE(OFFSET($H$3,0,0,'Données projet'!$E$11+1,1))</f>
        <v>187.18641061466138</v>
      </c>
      <c r="BJ52" s="59">
        <f t="shared" si="38"/>
        <v>143.07246221325369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11.514361681765003</v>
      </c>
      <c r="BR52" s="21">
        <f>EXP(-LN(2)/2)*BR51+(1-EXP(-LN(2)/2))/(LN(2)/2)*BL52*BO52*VLOOKUP('Données projet'!$B$11,Paramètres!$A$1:$I$89,3,0)*0.475*44/12</f>
        <v>0.73037329722380762</v>
      </c>
      <c r="BS52" s="22">
        <f t="shared" si="9"/>
        <v>12.244734978988811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>
        <f>VLOOKUP(A52,'Données projet'!$A$113:$I$133,2,0)</f>
        <v>339.85384615384612</v>
      </c>
      <c r="BW52" s="12">
        <f>VLOOKUP(A52,'Données projet'!$A$113:$I$133,9,0)</f>
        <v>15.618681318681309</v>
      </c>
      <c r="BX52" s="12">
        <f t="array" ref="BX52">INDEX(BW:BW,MIN(IF(ISNUMBER(BW52:BW248),ROW(BW52:BW248),"")))</f>
        <v>15.618681318681309</v>
      </c>
      <c r="BY52" s="12">
        <f>IF('Données projet'!$A$114&gt;35,BY51+BX52-CG51,IF(A52&lt;'Données projet'!$A$114,$BV$205^A52,IF(A52='Données projet'!$A$114,'Données projet'!$B$114,BY51+BX52-CG51)))</f>
        <v>339.85384615384618</v>
      </c>
      <c r="BZ52" s="13">
        <f>BY52*VLOOKUP('Données projet'!$B$12,Paramètres!$A$1:$I$89,3,0)*VLOOKUP('Données projet'!$B$12,Paramètres!$A$1:$I$89,5,0)</f>
        <v>159.05160000000001</v>
      </c>
      <c r="CA52" s="13">
        <f t="shared" si="39"/>
        <v>40.628527179850586</v>
      </c>
      <c r="CB52" s="20">
        <f t="shared" si="10"/>
        <v>347.77622150490646</v>
      </c>
      <c r="CC52" s="59">
        <f t="shared" si="11"/>
        <v>641.10955483823977</v>
      </c>
      <c r="CD52" s="59">
        <f ca="1">AVERAGE(OFFSET($CC$3,0,0,'Données projet'!$E$12+1,1))-AVERAGE(OFFSET($H$3,0,0,'Données projet'!$E$12+1,1))</f>
        <v>198.17898804494365</v>
      </c>
      <c r="CE52" s="59">
        <f t="shared" si="40"/>
        <v>186.24772922797723</v>
      </c>
      <c r="CF52" s="15">
        <f>IF(ISNA(VLOOKUP(A52,'Données projet'!$A$113:$I$133,3,0)),0,VLOOKUP(A52,'Données projet'!$A$113:$I$133,3,0))</f>
        <v>2</v>
      </c>
      <c r="CG52" s="15">
        <f>IF(ISNA(VLOOKUP(A52,'Données projet'!$A$113:$I$133,4,0)),0,VLOOKUP(A52,'Données projet'!$A$113:$I$133,4,0))</f>
        <v>94.476923076923072</v>
      </c>
      <c r="CH52" s="16">
        <f>IF(ISNA(VLOOKUP(A52,'Données projet'!$A$113:$I$133,5,0)),0%,VLOOKUP(A52,'Données projet'!$A$113:$I$133,5,0)*VLOOKUP('Données projet'!$B$12,Paramètres!$A$1:$I$89,7,0))</f>
        <v>0.38500000000000001</v>
      </c>
      <c r="CI52" s="16">
        <f>IF(ISNA(VLOOKUP(A52,'Données projet'!$A$113:$I$133,6,0)),0%,VLOOKUP(A52,'Données projet'!$A$113:$I$133,6,0)*VLOOKUP('Données projet'!$B$12,Paramètres!$A$1:$I$89,7,0))</f>
        <v>9.240000000000001E-2</v>
      </c>
      <c r="CJ52" s="16">
        <f>IF(ISNA(VLOOKUP(A52,'Données projet'!$A$113:$I$133,7,0)),0%,VLOOKUP(A52,'Données projet'!$A$113:$I$133,7,0))</f>
        <v>0.13200000000000001</v>
      </c>
      <c r="CK52" s="21">
        <f>EXP(-LN(2)/35)*CK51+(1-EXP(-LN(2)/35))/(LN(2)/35)*CG52*CH52*VLOOKUP('Données projet'!$B$12,Paramètres!$A$1:$I$89,3,0)*0.475*44/12</f>
        <v>22.581910393407885</v>
      </c>
      <c r="CL52" s="21">
        <f>EXP(-LN(2)/25)*CL51+(1-EXP(-LN(2)/25))/(LN(2)/25)*Calculateur!CG52*Calculateur!CI52*VLOOKUP('Données projet'!$B$12,Paramètres!$A$1:$I$89,3,0)*0.475*44/12</f>
        <v>33.609698765562619</v>
      </c>
      <c r="CM52" s="21">
        <f>EXP(-LN(2)/2)*CM51+(1-EXP(-LN(2)/2))/(LN(2)/2)*CG52*CJ52*VLOOKUP('Données projet'!$B$12,Paramètres!$A$1:$I$89,3,0)*0.475*44/12</f>
        <v>10.314379661804189</v>
      </c>
      <c r="CN52" s="22">
        <f t="shared" si="12"/>
        <v>66.505988820774689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7.2</v>
      </c>
      <c r="CT52" s="12">
        <f>IF('Données projet'!$A$140&gt;35,CT51+CS52-DB51,IF(A52&lt;'Données projet'!$A$140,$CQ$205^A52,IF(A52='Données projet'!$A$140,'Données projet'!$B$140,CT51+CS52-DB51)))</f>
        <v>211.7999999999999</v>
      </c>
      <c r="CU52" s="17">
        <f>CT52*VLOOKUP('Données projet'!$B$13,Paramètres!$A$1:$I$89,3,0)*VLOOKUP('Données projet'!$B$13,Paramètres!$A$1:$I$89,5,0)</f>
        <v>155.29175999999993</v>
      </c>
      <c r="CV52" s="13">
        <f t="shared" si="41"/>
        <v>39.778719769696814</v>
      </c>
      <c r="CW52" s="20">
        <f t="shared" si="13"/>
        <v>339.74775226555511</v>
      </c>
      <c r="CX52" s="59">
        <f t="shared" si="14"/>
        <v>633.08108559888842</v>
      </c>
      <c r="CY52" s="59">
        <f ca="1">AVERAGE(OFFSET($CX$3,0,0,'Données projet'!$E$13+1,1))-AVERAGE(OFFSET($H$3,0,0,'Données projet'!$E$13+1,1))</f>
        <v>198.78436129430389</v>
      </c>
      <c r="CZ52" s="59">
        <f t="shared" si="42"/>
        <v>198.28846462484438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8.9631229664458747</v>
      </c>
      <c r="DG52" s="21">
        <f>EXP(-LN(2)/25)*DG51+(1-EXP(-LN(2)/25))/(LN(2)/25)*Calculateur!DB52*Calculateur!DD52*VLOOKUP('Données projet'!$B$13,Paramètres!$A$1:$I$89,3,0)*0.475*44/12</f>
        <v>9.6488764974442525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18.611999463890129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33"/>
        <v>65.058478958733772</v>
      </c>
      <c r="Q53" s="20">
        <f t="shared" si="53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274.57619581652199</v>
      </c>
      <c r="T53" s="59">
        <f t="shared" si="34"/>
        <v>366.15117322598775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278.21846622758881</v>
      </c>
      <c r="AO53" s="59">
        <f t="shared" si="36"/>
        <v>245.37578316242906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8.2005128205128202</v>
      </c>
      <c r="BD53" s="12">
        <f>IF('Données projet'!$A$88&gt;35,BD52+BC53-BL52,IF(A53&lt;'Données projet'!$A$88,$BA$205^A53,IF(A53='Données projet'!$A$88,'Données projet'!$B$88,BD52+BC53-BL52)))</f>
        <v>248.14358974358964</v>
      </c>
      <c r="BE53" s="13">
        <f>BD53*VLOOKUP('Données projet'!$B$11,Paramètres!$A$1:$I$89,3,0)*VLOOKUP('Données projet'!$B$11,Paramètres!$A$1:$I$89,5,0)</f>
        <v>148.38986666666662</v>
      </c>
      <c r="BF53" s="13">
        <f t="shared" si="37"/>
        <v>38.212447530052536</v>
      </c>
      <c r="BG53" s="20">
        <f t="shared" si="7"/>
        <v>324.99903055928581</v>
      </c>
      <c r="BH53" s="59">
        <f t="shared" si="8"/>
        <v>618.33236389261913</v>
      </c>
      <c r="BI53" s="59">
        <f ca="1">AVERAGE(OFFSET($BH$3,0,0,'Données projet'!$E$11+1,1))-AVERAGE(OFFSET($H$3,0,0,'Données projet'!$E$11+1,1))</f>
        <v>187.18641061466138</v>
      </c>
      <c r="BJ53" s="59">
        <f t="shared" si="38"/>
        <v>143.07246221325369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11.199500856063175</v>
      </c>
      <c r="BR53" s="21">
        <f>EXP(-LN(2)/2)*BR52+(1-EXP(-LN(2)/2))/(LN(2)/2)*BL53*BO53*VLOOKUP('Données projet'!$B$11,Paramètres!$A$1:$I$89,3,0)*0.475*44/12</f>
        <v>0.51645191126453216</v>
      </c>
      <c r="BS53" s="22">
        <f t="shared" si="9"/>
        <v>11.715952767327707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14.668131868131875</v>
      </c>
      <c r="BY53" s="12">
        <f>IF('Données projet'!$A$114&gt;35,BY52+BX53-CG52,IF(A53&lt;'Données projet'!$A$114,$BV$205^A53,IF(A53='Données projet'!$A$114,'Données projet'!$B$114,BY52+BX53-CG52)))</f>
        <v>260.04505494505497</v>
      </c>
      <c r="BZ53" s="13">
        <f>BY53*VLOOKUP('Données projet'!$B$12,Paramètres!$A$1:$I$89,3,0)*VLOOKUP('Données projet'!$B$12,Paramètres!$A$1:$I$89,5,0)</f>
        <v>121.70108571428571</v>
      </c>
      <c r="CA53" s="13">
        <f t="shared" si="39"/>
        <v>32.071423986344442</v>
      </c>
      <c r="CB53" s="20">
        <f t="shared" si="10"/>
        <v>267.82045439526422</v>
      </c>
      <c r="CC53" s="59">
        <f t="shared" si="11"/>
        <v>561.15378772859754</v>
      </c>
      <c r="CD53" s="59">
        <f ca="1">AVERAGE(OFFSET($CC$3,0,0,'Données projet'!$E$12+1,1))-AVERAGE(OFFSET($H$3,0,0,'Données projet'!$E$12+1,1))</f>
        <v>198.17898804494365</v>
      </c>
      <c r="CE53" s="59">
        <f t="shared" si="40"/>
        <v>186.24772922797723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22.139092904198467</v>
      </c>
      <c r="CL53" s="21">
        <f>EXP(-LN(2)/25)*CL52+(1-EXP(-LN(2)/25))/(LN(2)/25)*Calculateur!CG53*Calculateur!CI53*VLOOKUP('Données projet'!$B$12,Paramètres!$A$1:$I$89,3,0)*0.475*44/12</f>
        <v>32.690639785361064</v>
      </c>
      <c r="CM53" s="21">
        <f>EXP(-LN(2)/2)*CM52+(1-EXP(-LN(2)/2))/(LN(2)/2)*CG53*CJ53*VLOOKUP('Données projet'!$B$12,Paramètres!$A$1:$I$89,3,0)*0.475*44/12</f>
        <v>7.2933678025943509</v>
      </c>
      <c r="CN53" s="22">
        <f t="shared" si="12"/>
        <v>62.123100492153888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219</v>
      </c>
      <c r="CR53" s="12">
        <f>VLOOKUP(A53,'Données projet'!$A$139:$I$159,9,0)</f>
        <v>7.2</v>
      </c>
      <c r="CS53" s="12">
        <f t="array" ref="CS53">INDEX(CR:CR,MIN(IF(ISNUMBER(CR53:CR249),ROW(CR53:CR249),"")))</f>
        <v>7.2</v>
      </c>
      <c r="CT53" s="12">
        <f>IF('Données projet'!$A$140&gt;35,CT52+CS53-DB52,IF(A53&lt;'Données projet'!$A$140,$CQ$205^A53,IF(A53='Données projet'!$A$140,'Données projet'!$B$140,CT52+CS53-DB52)))</f>
        <v>218.99999999999989</v>
      </c>
      <c r="CU53" s="17">
        <f>CT53*VLOOKUP('Données projet'!$B$13,Paramètres!$A$1:$I$89,3,0)*VLOOKUP('Données projet'!$B$13,Paramètres!$A$1:$I$89,5,0)</f>
        <v>160.57079999999991</v>
      </c>
      <c r="CV53" s="13">
        <f t="shared" si="41"/>
        <v>40.97123424416818</v>
      </c>
      <c r="CW53" s="20">
        <f t="shared" si="13"/>
        <v>351.01904297525942</v>
      </c>
      <c r="CX53" s="59">
        <f t="shared" si="14"/>
        <v>644.35237630859274</v>
      </c>
      <c r="CY53" s="59">
        <f ca="1">AVERAGE(OFFSET($CX$3,0,0,'Données projet'!$E$13+1,1))-AVERAGE(OFFSET($H$3,0,0,'Données projet'!$E$13+1,1))</f>
        <v>198.78436129430389</v>
      </c>
      <c r="CZ53" s="59">
        <f t="shared" si="42"/>
        <v>198.28846462484438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17</v>
      </c>
      <c r="DC53" s="16">
        <f>IF(ISNA(VLOOKUP(A53,'Données projet'!$A$139:$I$159,5,0)),0%,VLOOKUP(A53,'Données projet'!$A$139:$I$159,5,0)*VLOOKUP('Données projet'!$B$13,Paramètres!$A$1:$I$89,7,0))</f>
        <v>0.30529999999999996</v>
      </c>
      <c r="DD53" s="16">
        <f>IF(ISNA(VLOOKUP(A53,'Données projet'!$A$139:$I$159,6,0)),0%,VLOOKUP(A53,'Données projet'!$A$139:$I$159,6,0)*VLOOKUP('Données projet'!$B$13,Paramètres!$A$1:$I$89,7,0))</f>
        <v>7.7399999999999997E-2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12.994097924127059</v>
      </c>
      <c r="DG53" s="21">
        <f>EXP(-LN(2)/25)*DG52+(1-EXP(-LN(2)/25))/(LN(2)/25)*Calculateur!DB53*Calculateur!DD53*VLOOKUP('Données projet'!$B$13,Paramètres!$A$1:$I$89,3,0)*0.475*44/12</f>
        <v>10.447324793879904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23.441422718006962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33"/>
        <v>67.484459274997945</v>
      </c>
      <c r="Q54" s="20">
        <f t="shared" si="53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274.57619581652199</v>
      </c>
      <c r="T54" s="59">
        <f t="shared" si="34"/>
        <v>366.15117322598775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278.21846622758881</v>
      </c>
      <c r="AO54" s="59">
        <f t="shared" si="36"/>
        <v>245.37578316242906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8.2005128205128202</v>
      </c>
      <c r="BD54" s="12">
        <f>IF('Données projet'!$A$88&gt;35,BD53+BC54-BL53,IF(A54&lt;'Données projet'!$A$88,$BA$205^A54,IF(A54='Données projet'!$A$88,'Données projet'!$B$88,BD53+BC54-BL53)))</f>
        <v>256.34410256410246</v>
      </c>
      <c r="BE54" s="13">
        <f>BD54*VLOOKUP('Données projet'!$B$11,Paramètres!$A$1:$I$89,3,0)*VLOOKUP('Données projet'!$B$11,Paramètres!$A$1:$I$89,5,0)</f>
        <v>153.29377333333329</v>
      </c>
      <c r="BF54" s="13">
        <f t="shared" si="37"/>
        <v>39.326158558416402</v>
      </c>
      <c r="BG54" s="20">
        <f t="shared" si="7"/>
        <v>335.47971471146406</v>
      </c>
      <c r="BH54" s="59">
        <f t="shared" si="8"/>
        <v>628.81304804479737</v>
      </c>
      <c r="BI54" s="59">
        <f ca="1">AVERAGE(OFFSET($BH$3,0,0,'Données projet'!$E$11+1,1))-AVERAGE(OFFSET($H$3,0,0,'Données projet'!$E$11+1,1))</f>
        <v>187.18641061466138</v>
      </c>
      <c r="BJ54" s="59">
        <f t="shared" si="38"/>
        <v>143.07246221325369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10.893249916197973</v>
      </c>
      <c r="BR54" s="21">
        <f>EXP(-LN(2)/2)*BR53+(1-EXP(-LN(2)/2))/(LN(2)/2)*BL54*BO54*VLOOKUP('Données projet'!$B$11,Paramètres!$A$1:$I$89,3,0)*0.475*44/12</f>
        <v>0.36518664861190381</v>
      </c>
      <c r="BS54" s="22">
        <f t="shared" si="9"/>
        <v>11.258436564809877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14.668131868131875</v>
      </c>
      <c r="BY54" s="12">
        <f>IF('Données projet'!$A$114&gt;35,BY53+BX54-CG53,IF(A54&lt;'Données projet'!$A$114,$BV$205^A54,IF(A54='Données projet'!$A$114,'Données projet'!$B$114,BY53+BX54-CG53)))</f>
        <v>274.71318681318684</v>
      </c>
      <c r="BZ54" s="13">
        <f>BY54*VLOOKUP('Données projet'!$B$12,Paramètres!$A$1:$I$89,3,0)*VLOOKUP('Données projet'!$B$12,Paramètres!$A$1:$I$89,5,0)</f>
        <v>128.56577142857145</v>
      </c>
      <c r="CA54" s="13">
        <f t="shared" si="39"/>
        <v>33.664737545838108</v>
      </c>
      <c r="CB54" s="20">
        <f t="shared" si="10"/>
        <v>282.55146979709662</v>
      </c>
      <c r="CC54" s="59">
        <f t="shared" si="11"/>
        <v>575.88480313042987</v>
      </c>
      <c r="CD54" s="59">
        <f ca="1">AVERAGE(OFFSET($CC$3,0,0,'Données projet'!$E$12+1,1))-AVERAGE(OFFSET($H$3,0,0,'Données projet'!$E$12+1,1))</f>
        <v>198.17898804494365</v>
      </c>
      <c r="CE54" s="59">
        <f t="shared" si="40"/>
        <v>186.24772922797723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21.704958795860446</v>
      </c>
      <c r="CL54" s="21">
        <f>EXP(-LN(2)/25)*CL53+(1-EXP(-LN(2)/25))/(LN(2)/25)*Calculateur!CG54*Calculateur!CI54*VLOOKUP('Données projet'!$B$12,Paramètres!$A$1:$I$89,3,0)*0.475*44/12</f>
        <v>31.796712521304336</v>
      </c>
      <c r="CM54" s="21">
        <f>EXP(-LN(2)/2)*CM53+(1-EXP(-LN(2)/2))/(LN(2)/2)*CG54*CJ54*VLOOKUP('Données projet'!$B$12,Paramètres!$A$1:$I$89,3,0)*0.475*44/12</f>
        <v>5.1571898309020954</v>
      </c>
      <c r="CN54" s="22">
        <f t="shared" si="12"/>
        <v>58.658861148066876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</v>
      </c>
      <c r="CT54" s="12">
        <f>IF('Données projet'!$A$140&gt;35,CT53+CS54-DB53,IF(A54&lt;'Données projet'!$A$140,$CQ$205^A54,IF(A54='Données projet'!$A$140,'Données projet'!$B$140,CT53+CS54-DB53)))</f>
        <v>207.99999999999989</v>
      </c>
      <c r="CU54" s="17">
        <f>CT54*VLOOKUP('Données projet'!$B$13,Paramètres!$A$1:$I$89,3,0)*VLOOKUP('Données projet'!$B$13,Paramètres!$A$1:$I$89,5,0)</f>
        <v>152.5055999999999</v>
      </c>
      <c r="CV54" s="13">
        <f t="shared" si="41"/>
        <v>39.147442061162181</v>
      </c>
      <c r="CW54" s="20">
        <f t="shared" si="13"/>
        <v>333.79571492319059</v>
      </c>
      <c r="CX54" s="59">
        <f t="shared" si="14"/>
        <v>627.1290482565239</v>
      </c>
      <c r="CY54" s="59">
        <f ca="1">AVERAGE(OFFSET($CX$3,0,0,'Données projet'!$E$13+1,1))-AVERAGE(OFFSET($H$3,0,0,'Données projet'!$E$13+1,1))</f>
        <v>198.78436129430389</v>
      </c>
      <c r="CZ54" s="59">
        <f t="shared" si="42"/>
        <v>198.28846462484438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12.739291589452071</v>
      </c>
      <c r="DG54" s="21">
        <f>EXP(-LN(2)/25)*DG53+(1-EXP(-LN(2)/25))/(LN(2)/25)*Calculateur!DB54*Calculateur!DD54*VLOOKUP('Données projet'!$B$13,Paramètres!$A$1:$I$89,3,0)*0.475*44/12</f>
        <v>10.161642147990325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22.900933737442394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274.57619581652199</v>
      </c>
      <c r="T55" s="59">
        <f t="shared" si="34"/>
        <v>366.15117322598775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278.21846622758881</v>
      </c>
      <c r="AO55" s="59">
        <f t="shared" si="36"/>
        <v>245.37578316242906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8.2005128205128202</v>
      </c>
      <c r="BD55" s="12">
        <f>IF('Données projet'!$A$88&gt;35,BD54+BC55-BL54,IF(A55&lt;'Données projet'!$A$88,$BA$205^A55,IF(A55='Données projet'!$A$88,'Données projet'!$B$88,BD54+BC55-BL54)))</f>
        <v>264.54461538461527</v>
      </c>
      <c r="BE55" s="13">
        <f>BD55*VLOOKUP('Données projet'!$B$11,Paramètres!$A$1:$I$89,3,0)*VLOOKUP('Données projet'!$B$11,Paramètres!$A$1:$I$89,5,0)</f>
        <v>158.19767999999993</v>
      </c>
      <c r="BF55" s="13">
        <f t="shared" si="37"/>
        <v>40.435729465005785</v>
      </c>
      <c r="BG55" s="20">
        <f t="shared" si="7"/>
        <v>345.95318815155156</v>
      </c>
      <c r="BH55" s="59">
        <f t="shared" si="8"/>
        <v>639.28652148488482</v>
      </c>
      <c r="BI55" s="59">
        <f ca="1">AVERAGE(OFFSET($BH$3,0,0,'Données projet'!$E$11+1,1))-AVERAGE(OFFSET($H$3,0,0,'Données projet'!$E$11+1,1))</f>
        <v>187.18641061466138</v>
      </c>
      <c r="BJ55" s="59">
        <f t="shared" si="38"/>
        <v>143.07246221325369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10.595373424388423</v>
      </c>
      <c r="BR55" s="21">
        <f>EXP(-LN(2)/2)*BR54+(1-EXP(-LN(2)/2))/(LN(2)/2)*BL55*BO55*VLOOKUP('Données projet'!$B$11,Paramètres!$A$1:$I$89,3,0)*0.475*44/12</f>
        <v>0.25822595563226608</v>
      </c>
      <c r="BS55" s="22">
        <f t="shared" si="9"/>
        <v>10.85359938002069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14.668131868131875</v>
      </c>
      <c r="BY55" s="12">
        <f>IF('Données projet'!$A$114&gt;35,BY54+BX55-CG54,IF(A55&lt;'Données projet'!$A$114,$BV$205^A55,IF(A55='Données projet'!$A$114,'Données projet'!$B$114,BY54+BX55-CG54)))</f>
        <v>289.3813186813187</v>
      </c>
      <c r="BZ55" s="13">
        <f>BY55*VLOOKUP('Données projet'!$B$12,Paramètres!$A$1:$I$89,3,0)*VLOOKUP('Données projet'!$B$12,Paramètres!$A$1:$I$89,5,0)</f>
        <v>135.43045714285716</v>
      </c>
      <c r="CA55" s="13">
        <f t="shared" si="39"/>
        <v>35.248174253598229</v>
      </c>
      <c r="CB55" s="20">
        <f t="shared" si="10"/>
        <v>297.26528301549314</v>
      </c>
      <c r="CC55" s="59">
        <f t="shared" si="11"/>
        <v>590.59861634882645</v>
      </c>
      <c r="CD55" s="59">
        <f ca="1">AVERAGE(OFFSET($CC$3,0,0,'Données projet'!$E$12+1,1))-AVERAGE(OFFSET($H$3,0,0,'Données projet'!$E$12+1,1))</f>
        <v>198.17898804494365</v>
      </c>
      <c r="CE55" s="59">
        <f t="shared" si="40"/>
        <v>186.24772922797723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21.279337792591274</v>
      </c>
      <c r="CL55" s="21">
        <f>EXP(-LN(2)/25)*CL54+(1-EXP(-LN(2)/25))/(LN(2)/25)*Calculateur!CG55*Calculateur!CI55*VLOOKUP('Données projet'!$B$12,Paramètres!$A$1:$I$89,3,0)*0.475*44/12</f>
        <v>30.927229745292831</v>
      </c>
      <c r="CM55" s="21">
        <f>EXP(-LN(2)/2)*CM54+(1-EXP(-LN(2)/2))/(LN(2)/2)*CG55*CJ55*VLOOKUP('Données projet'!$B$12,Paramètres!$A$1:$I$89,3,0)*0.475*44/12</f>
        <v>3.6466839012971763</v>
      </c>
      <c r="CN55" s="22">
        <f t="shared" si="12"/>
        <v>55.853251439181278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</v>
      </c>
      <c r="CT55" s="12">
        <f>IF('Données projet'!$A$140&gt;35,CT54+CS55-DB54,IF(A55&lt;'Données projet'!$A$140,$CQ$205^A55,IF(A55='Données projet'!$A$140,'Données projet'!$B$140,CT54+CS55-DB54)))</f>
        <v>213.99999999999989</v>
      </c>
      <c r="CU55" s="17">
        <f>CT55*VLOOKUP('Données projet'!$B$13,Paramètres!$A$1:$I$89,3,0)*VLOOKUP('Données projet'!$B$13,Paramètres!$A$1:$I$89,5,0)</f>
        <v>156.90479999999991</v>
      </c>
      <c r="CV55" s="13">
        <f t="shared" si="41"/>
        <v>40.143592678874334</v>
      </c>
      <c r="CW55" s="20">
        <f t="shared" si="13"/>
        <v>343.1926172490393</v>
      </c>
      <c r="CX55" s="59">
        <f t="shared" si="14"/>
        <v>636.52595058237262</v>
      </c>
      <c r="CY55" s="59">
        <f ca="1">AVERAGE(OFFSET($CX$3,0,0,'Données projet'!$E$13+1,1))-AVERAGE(OFFSET($H$3,0,0,'Données projet'!$E$13+1,1))</f>
        <v>198.78436129430389</v>
      </c>
      <c r="CZ55" s="59">
        <f t="shared" si="42"/>
        <v>198.28846462484438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12.489481851583541</v>
      </c>
      <c r="DG55" s="21">
        <f>EXP(-LN(2)/25)*DG54+(1-EXP(-LN(2)/25))/(LN(2)/25)*Calculateur!DB55*Calculateur!DD55*VLOOKUP('Données projet'!$B$13,Paramètres!$A$1:$I$89,3,0)*0.475*44/12</f>
        <v>9.8837715090759932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22.373253360659533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274.57619581652199</v>
      </c>
      <c r="T56" s="59">
        <f t="shared" si="34"/>
        <v>366.15117322598775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278.21846622758881</v>
      </c>
      <c r="AO56" s="59">
        <f t="shared" si="36"/>
        <v>245.37578316242906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8.2005128205128202</v>
      </c>
      <c r="BD56" s="12">
        <f>IF('Données projet'!$A$88&gt;35,BD55+BC56-BL55,IF(A56&lt;'Données projet'!$A$88,$BA$205^A56,IF(A56='Données projet'!$A$88,'Données projet'!$B$88,BD55+BC56-BL55)))</f>
        <v>272.74512820512808</v>
      </c>
      <c r="BE56" s="13">
        <f>BD56*VLOOKUP('Données projet'!$B$11,Paramètres!$A$1:$I$89,3,0)*VLOOKUP('Données projet'!$B$11,Paramètres!$A$1:$I$89,5,0)</f>
        <v>163.10158666666661</v>
      </c>
      <c r="BF56" s="13">
        <f t="shared" si="37"/>
        <v>41.5413033146503</v>
      </c>
      <c r="BG56" s="20">
        <f t="shared" si="7"/>
        <v>356.41970005079355</v>
      </c>
      <c r="BH56" s="59">
        <f t="shared" si="8"/>
        <v>649.75303338412687</v>
      </c>
      <c r="BI56" s="59">
        <f ca="1">AVERAGE(OFFSET($BH$3,0,0,'Données projet'!$E$11+1,1))-AVERAGE(OFFSET($H$3,0,0,'Données projet'!$E$11+1,1))</f>
        <v>187.18641061466138</v>
      </c>
      <c r="BJ56" s="59">
        <f t="shared" si="38"/>
        <v>143.07246221325369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10.305642380912049</v>
      </c>
      <c r="BR56" s="21">
        <f>EXP(-LN(2)/2)*BR55+(1-EXP(-LN(2)/2))/(LN(2)/2)*BL56*BO56*VLOOKUP('Données projet'!$B$11,Paramètres!$A$1:$I$89,3,0)*0.475*44/12</f>
        <v>0.1825933243059519</v>
      </c>
      <c r="BS56" s="22">
        <f t="shared" si="9"/>
        <v>10.488235705218001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14.668131868131875</v>
      </c>
      <c r="BY56" s="12">
        <f>IF('Données projet'!$A$114&gt;35,BY55+BX56-CG55,IF(A56&lt;'Données projet'!$A$114,$BV$205^A56,IF(A56='Données projet'!$A$114,'Données projet'!$B$114,BY55+BX56-CG55)))</f>
        <v>304.04945054945057</v>
      </c>
      <c r="BZ56" s="13">
        <f>BY56*VLOOKUP('Données projet'!$B$12,Paramètres!$A$1:$I$89,3,0)*VLOOKUP('Données projet'!$B$12,Paramètres!$A$1:$I$89,5,0)</f>
        <v>142.29514285714285</v>
      </c>
      <c r="CA56" s="13">
        <f t="shared" si="39"/>
        <v>36.822291864436032</v>
      </c>
      <c r="CB56" s="20">
        <f t="shared" si="10"/>
        <v>311.96286547341651</v>
      </c>
      <c r="CC56" s="59">
        <f t="shared" si="11"/>
        <v>605.29619880674977</v>
      </c>
      <c r="CD56" s="59">
        <f ca="1">AVERAGE(OFFSET($CC$3,0,0,'Données projet'!$E$12+1,1))-AVERAGE(OFFSET($H$3,0,0,'Données projet'!$E$12+1,1))</f>
        <v>198.17898804494365</v>
      </c>
      <c r="CE56" s="59">
        <f t="shared" si="40"/>
        <v>186.24772922797723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20.862062957593032</v>
      </c>
      <c r="CL56" s="21">
        <f>EXP(-LN(2)/25)*CL55+(1-EXP(-LN(2)/25))/(LN(2)/25)*Calculateur!CG56*Calculateur!CI56*VLOOKUP('Données projet'!$B$12,Paramètres!$A$1:$I$89,3,0)*0.475*44/12</f>
        <v>30.081523021515473</v>
      </c>
      <c r="CM56" s="21">
        <f>EXP(-LN(2)/2)*CM55+(1-EXP(-LN(2)/2))/(LN(2)/2)*CG56*CJ56*VLOOKUP('Données projet'!$B$12,Paramètres!$A$1:$I$89,3,0)*0.475*44/12</f>
        <v>2.5785949154510481</v>
      </c>
      <c r="CN56" s="22">
        <f t="shared" si="12"/>
        <v>53.522180894559554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</v>
      </c>
      <c r="CT56" s="12">
        <f>IF('Données projet'!$A$140&gt;35,CT55+CS56-DB55,IF(A56&lt;'Données projet'!$A$140,$CQ$205^A56,IF(A56='Données projet'!$A$140,'Données projet'!$B$140,CT55+CS56-DB55)))</f>
        <v>219.99999999999989</v>
      </c>
      <c r="CU56" s="17">
        <f>CT56*VLOOKUP('Données projet'!$B$13,Paramètres!$A$1:$I$89,3,0)*VLOOKUP('Données projet'!$B$13,Paramètres!$A$1:$I$89,5,0)</f>
        <v>161.30399999999992</v>
      </c>
      <c r="CV56" s="13">
        <f t="shared" si="41"/>
        <v>41.136497157560363</v>
      </c>
      <c r="CW56" s="20">
        <f t="shared" si="13"/>
        <v>352.58386588275084</v>
      </c>
      <c r="CX56" s="59">
        <f t="shared" si="14"/>
        <v>645.9171992160841</v>
      </c>
      <c r="CY56" s="59">
        <f ca="1">AVERAGE(OFFSET($CX$3,0,0,'Données projet'!$E$13+1,1))-AVERAGE(OFFSET($H$3,0,0,'Données projet'!$E$13+1,1))</f>
        <v>198.78436129430389</v>
      </c>
      <c r="CZ56" s="59">
        <f t="shared" si="42"/>
        <v>198.28846462484438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12.244570730305719</v>
      </c>
      <c r="DG56" s="21">
        <f>EXP(-LN(2)/25)*DG55+(1-EXP(-LN(2)/25))/(LN(2)/25)*Calculateur!DB56*Calculateur!DD56*VLOOKUP('Données projet'!$B$13,Paramètres!$A$1:$I$89,3,0)*0.475*44/12</f>
        <v>9.6134992573953557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21.858069987701075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33"/>
        <v>74.695724902330795</v>
      </c>
      <c r="Q57" s="20">
        <f t="shared" si="53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274.57619581652199</v>
      </c>
      <c r="T57" s="59">
        <f t="shared" si="34"/>
        <v>366.15117322598775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9.240000000000001E-2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278.21846622758881</v>
      </c>
      <c r="AO57" s="59">
        <f t="shared" si="36"/>
        <v>245.37578316242906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8.2005128205128202</v>
      </c>
      <c r="BD57" s="12">
        <f>IF('Données projet'!$A$88&gt;35,BD56+BC57-BL56,IF(A57&lt;'Données projet'!$A$88,$BA$205^A57,IF(A57='Données projet'!$A$88,'Données projet'!$B$88,BD56+BC57-BL56)))</f>
        <v>280.9456410256409</v>
      </c>
      <c r="BE57" s="13">
        <f>BD57*VLOOKUP('Données projet'!$B$11,Paramètres!$A$1:$I$89,3,0)*VLOOKUP('Données projet'!$B$11,Paramètres!$A$1:$I$89,5,0)</f>
        <v>168.00549333333325</v>
      </c>
      <c r="BF57" s="13">
        <f t="shared" si="37"/>
        <v>42.643014080308937</v>
      </c>
      <c r="BG57" s="20">
        <f t="shared" si="7"/>
        <v>366.8794837454268</v>
      </c>
      <c r="BH57" s="59">
        <f t="shared" si="8"/>
        <v>660.21281707876005</v>
      </c>
      <c r="BI57" s="59">
        <f ca="1">AVERAGE(OFFSET($BH$3,0,0,'Données projet'!$E$11+1,1))-AVERAGE(OFFSET($H$3,0,0,'Données projet'!$E$11+1,1))</f>
        <v>187.18641061466138</v>
      </c>
      <c r="BJ57" s="59">
        <f t="shared" si="38"/>
        <v>143.07246221325369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10.02383404805583</v>
      </c>
      <c r="BR57" s="21">
        <f>EXP(-LN(2)/2)*BR56+(1-EXP(-LN(2)/2))/(LN(2)/2)*BL57*BO57*VLOOKUP('Données projet'!$B$11,Paramètres!$A$1:$I$89,3,0)*0.475*44/12</f>
        <v>0.12911297781613304</v>
      </c>
      <c r="BS57" s="22">
        <f t="shared" si="9"/>
        <v>10.152947025871963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14.668131868131875</v>
      </c>
      <c r="BY57" s="12">
        <f>IF('Données projet'!$A$114&gt;35,BY56+BX57-CG56,IF(A57&lt;'Données projet'!$A$114,$BV$205^A57,IF(A57='Données projet'!$A$114,'Données projet'!$B$114,BY56+BX57-CG56)))</f>
        <v>318.71758241758243</v>
      </c>
      <c r="BZ57" s="13">
        <f>BY57*VLOOKUP('Données projet'!$B$12,Paramètres!$A$1:$I$89,3,0)*VLOOKUP('Données projet'!$B$12,Paramètres!$A$1:$I$89,5,0)</f>
        <v>149.15982857142859</v>
      </c>
      <c r="CA57" s="13">
        <f t="shared" si="39"/>
        <v>38.387591277502224</v>
      </c>
      <c r="CB57" s="20">
        <f t="shared" si="10"/>
        <v>326.64508957022116</v>
      </c>
      <c r="CC57" s="59">
        <f t="shared" si="11"/>
        <v>619.97842290355447</v>
      </c>
      <c r="CD57" s="59">
        <f ca="1">AVERAGE(OFFSET($CC$3,0,0,'Données projet'!$E$12+1,1))-AVERAGE(OFFSET($H$3,0,0,'Données projet'!$E$12+1,1))</f>
        <v>198.17898804494365</v>
      </c>
      <c r="CE57" s="59">
        <f t="shared" si="40"/>
        <v>186.24772922797723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20.452970627596589</v>
      </c>
      <c r="CL57" s="21">
        <f>EXP(-LN(2)/25)*CL56+(1-EXP(-LN(2)/25))/(LN(2)/25)*Calculateur!CG57*Calculateur!CI57*VLOOKUP('Données projet'!$B$12,Paramètres!$A$1:$I$89,3,0)*0.475*44/12</f>
        <v>29.258942192573588</v>
      </c>
      <c r="CM57" s="21">
        <f>EXP(-LN(2)/2)*CM56+(1-EXP(-LN(2)/2))/(LN(2)/2)*CG57*CJ57*VLOOKUP('Données projet'!$B$12,Paramètres!$A$1:$I$89,3,0)*0.475*44/12</f>
        <v>1.8233419506485884</v>
      </c>
      <c r="CN57" s="22">
        <f t="shared" si="12"/>
        <v>51.535254770818767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</v>
      </c>
      <c r="CT57" s="12">
        <f>IF('Données projet'!$A$140&gt;35,CT56+CS57-DB56,IF(A57&lt;'Données projet'!$A$140,$CQ$205^A57,IF(A57='Données projet'!$A$140,'Données projet'!$B$140,CT56+CS57-DB56)))</f>
        <v>225.99999999999989</v>
      </c>
      <c r="CU57" s="17">
        <f>CT57*VLOOKUP('Données projet'!$B$13,Paramètres!$A$1:$I$89,3,0)*VLOOKUP('Données projet'!$B$13,Paramètres!$A$1:$I$89,5,0)</f>
        <v>165.70319999999992</v>
      </c>
      <c r="CV57" s="13">
        <f t="shared" si="41"/>
        <v>42.126254201367267</v>
      </c>
      <c r="CW57" s="20">
        <f t="shared" si="13"/>
        <v>361.96963273404782</v>
      </c>
      <c r="CX57" s="59">
        <f t="shared" si="14"/>
        <v>655.30296606738113</v>
      </c>
      <c r="CY57" s="59">
        <f ca="1">AVERAGE(OFFSET($CX$3,0,0,'Données projet'!$E$13+1,1))-AVERAGE(OFFSET($H$3,0,0,'Données projet'!$E$13+1,1))</f>
        <v>198.78436129430389</v>
      </c>
      <c r="CZ57" s="59">
        <f t="shared" si="42"/>
        <v>198.28846462484438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12.004462166735122</v>
      </c>
      <c r="DG57" s="21">
        <f>EXP(-LN(2)/25)*DG56+(1-EXP(-LN(2)/25))/(LN(2)/25)*Calculateur!DB57*Calculateur!DD57*VLOOKUP('Données projet'!$B$13,Paramètres!$A$1:$I$89,3,0)*0.475*44/12</f>
        <v>9.3506176146499254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21.355079781385047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274.57619581652199</v>
      </c>
      <c r="T58" s="59">
        <f t="shared" si="34"/>
        <v>366.15117322598775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278.21846622758881</v>
      </c>
      <c r="AO58" s="59">
        <f t="shared" si="36"/>
        <v>245.37578316242906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289.14615384615382</v>
      </c>
      <c r="BB58" s="12">
        <f>VLOOKUP(A58,'Données projet'!$A$87:$I$107,9,0)</f>
        <v>8.2005128205128202</v>
      </c>
      <c r="BC58" s="12">
        <f t="array" ref="BC58">INDEX(BB:BB,MIN(IF(ISNUMBER(BB58:BB254),ROW(BB58:BB254),"")))</f>
        <v>8.2005128205128202</v>
      </c>
      <c r="BD58" s="12">
        <f>IF('Données projet'!$A$88&gt;35,BD57+BC58-BL57,IF(A58&lt;'Données projet'!$A$88,$BA$205^A58,IF(A58='Données projet'!$A$88,'Données projet'!$B$88,BD57+BC58-BL57)))</f>
        <v>289.14615384615371</v>
      </c>
      <c r="BE58" s="13">
        <f>BD58*VLOOKUP('Données projet'!$B$11,Paramètres!$A$1:$I$89,3,0)*VLOOKUP('Données projet'!$B$11,Paramètres!$A$1:$I$89,5,0)</f>
        <v>172.90939999999995</v>
      </c>
      <c r="BF58" s="13">
        <f t="shared" si="37"/>
        <v>43.740987469180624</v>
      </c>
      <c r="BG58" s="20">
        <f t="shared" si="7"/>
        <v>377.33275817548952</v>
      </c>
      <c r="BH58" s="59">
        <f t="shared" si="8"/>
        <v>670.66609150882277</v>
      </c>
      <c r="BI58" s="59">
        <f ca="1">AVERAGE(OFFSET($BH$3,0,0,'Données projet'!$E$11+1,1))-AVERAGE(OFFSET($H$3,0,0,'Données projet'!$E$11+1,1))</f>
        <v>187.18641061466138</v>
      </c>
      <c r="BJ58" s="59">
        <f t="shared" si="38"/>
        <v>143.07246221325369</v>
      </c>
      <c r="BK58" s="15">
        <f>IF(ISNA(VLOOKUP(A58,'Données projet'!$A$87:$I$107,3,0)),0,VLOOKUP(A58,'Données projet'!$A$87:$I$107,3,0))</f>
        <v>2</v>
      </c>
      <c r="BL58" s="15">
        <f>IF(ISNA(VLOOKUP(A58,'Données projet'!$A$87:$I$107,4,0)),0,VLOOKUP(A58,'Données projet'!$A$87:$I$107,4,0))</f>
        <v>65.053846153846152</v>
      </c>
      <c r="BM58" s="16">
        <f>IF(ISNA(VLOOKUP(A58,'Données projet'!$A$87:$I$107,5,0)),0%,VLOOKUP(A58,'Données projet'!$A$87:$I$107,5,0)*VLOOKUP('Données projet'!$B$11,Paramètres!$A$1:$I$89,7,0))</f>
        <v>4.9500000000000002E-2</v>
      </c>
      <c r="BN58" s="16">
        <f>IF(ISNA(VLOOKUP(A58,'Données projet'!$A$87:$I$107,6,0)),0%,VLOOKUP(A58,'Données projet'!$A$87:$I$107,6,0)*VLOOKUP('Données projet'!$B$11,Paramètres!$A$1:$I$89,7,0))</f>
        <v>0.27900000000000003</v>
      </c>
      <c r="BO58" s="16">
        <f>IF(ISNA(VLOOKUP(A58,'Données projet'!$A$87:$I$107,7,0)),0%,VLOOKUP(A58,'Données projet'!$A$87:$I$107,7,0))</f>
        <v>0.27</v>
      </c>
      <c r="BP58" s="21">
        <f>EXP(-LN(2)/35)*BP57+(1-EXP(-LN(2)/35))/(LN(2)/35)*BL58*BM58*VLOOKUP('Données projet'!$B$11,Paramètres!$A$1:$I$89,3,0)*0.475*44/12</f>
        <v>2.5545106500408039</v>
      </c>
      <c r="BQ58" s="21">
        <f>EXP(-LN(2)/25)*BQ57+(1-EXP(-LN(2)/25))/(LN(2)/25)*Calculateur!BL58*Calculateur!BN58*VLOOKUP('Données projet'!$B$11,Paramètres!$A$1:$I$89,3,0)*0.475*44/12</f>
        <v>24.091191709111865</v>
      </c>
      <c r="BR58" s="21">
        <f>EXP(-LN(2)/2)*BR57+(1-EXP(-LN(2)/2))/(LN(2)/2)*BL58*BO58*VLOOKUP('Données projet'!$B$11,Paramètres!$A$1:$I$89,3,0)*0.475*44/12</f>
        <v>11.983805029058178</v>
      </c>
      <c r="BS58" s="22">
        <f t="shared" si="9"/>
        <v>38.629507388210847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14.668131868131875</v>
      </c>
      <c r="BY58" s="12">
        <f>IF('Données projet'!$A$114&gt;35,BY57+BX58-CG57,IF(A58&lt;'Données projet'!$A$114,$BV$205^A58,IF(A58='Données projet'!$A$114,'Données projet'!$B$114,BY57+BX58-CG57)))</f>
        <v>333.3857142857143</v>
      </c>
      <c r="BZ58" s="13">
        <f>BY58*VLOOKUP('Données projet'!$B$12,Paramètres!$A$1:$I$89,3,0)*VLOOKUP('Données projet'!$B$12,Paramètres!$A$1:$I$89,5,0)</f>
        <v>156.0245142857143</v>
      </c>
      <c r="CA58" s="13">
        <f t="shared" si="39"/>
        <v>39.944524680961258</v>
      </c>
      <c r="CB58" s="20">
        <f t="shared" si="10"/>
        <v>341.31274286695992</v>
      </c>
      <c r="CC58" s="59">
        <f t="shared" si="11"/>
        <v>634.64607620029324</v>
      </c>
      <c r="CD58" s="59">
        <f ca="1">AVERAGE(OFFSET($CC$3,0,0,'Données projet'!$E$12+1,1))-AVERAGE(OFFSET($H$3,0,0,'Données projet'!$E$12+1,1))</f>
        <v>198.17898804494365</v>
      </c>
      <c r="CE58" s="59">
        <f t="shared" si="40"/>
        <v>186.24772922797723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20.05190034866969</v>
      </c>
      <c r="CL58" s="21">
        <f>EXP(-LN(2)/25)*CL57+(1-EXP(-LN(2)/25))/(LN(2)/25)*Calculateur!CG58*Calculateur!CI58*VLOOKUP('Données projet'!$B$12,Paramètres!$A$1:$I$89,3,0)*0.475*44/12</f>
        <v>28.458854879656766</v>
      </c>
      <c r="CM58" s="21">
        <f>EXP(-LN(2)/2)*CM57+(1-EXP(-LN(2)/2))/(LN(2)/2)*CG58*CJ58*VLOOKUP('Données projet'!$B$12,Paramètres!$A$1:$I$89,3,0)*0.475*44/12</f>
        <v>1.2892974577255243</v>
      </c>
      <c r="CN58" s="22">
        <f t="shared" si="12"/>
        <v>49.800052686051984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232</v>
      </c>
      <c r="CR58" s="12">
        <f>VLOOKUP(A58,'Données projet'!$A$139:$I$159,9,0)</f>
        <v>6</v>
      </c>
      <c r="CS58" s="12">
        <f t="array" ref="CS58">INDEX(CR:CR,MIN(IF(ISNUMBER(CR58:CR254),ROW(CR58:CR254),"")))</f>
        <v>6</v>
      </c>
      <c r="CT58" s="12">
        <f>IF('Données projet'!$A$140&gt;35,CT57+CS58-DB57,IF(A58&lt;'Données projet'!$A$140,$CQ$205^A58,IF(A58='Données projet'!$A$140,'Données projet'!$B$140,CT57+CS58-DB57)))</f>
        <v>231.99999999999989</v>
      </c>
      <c r="CU58" s="17">
        <f>CT58*VLOOKUP('Données projet'!$B$13,Paramètres!$A$1:$I$89,3,0)*VLOOKUP('Données projet'!$B$13,Paramètres!$A$1:$I$89,5,0)</f>
        <v>170.1023999999999</v>
      </c>
      <c r="CV58" s="13">
        <f t="shared" si="41"/>
        <v>43.112956975087329</v>
      </c>
      <c r="CW58" s="20">
        <f t="shared" si="13"/>
        <v>371.35008006494354</v>
      </c>
      <c r="CX58" s="59">
        <f t="shared" si="14"/>
        <v>664.6834133982768</v>
      </c>
      <c r="CY58" s="59">
        <f ca="1">AVERAGE(OFFSET($CX$3,0,0,'Données projet'!$E$13+1,1))-AVERAGE(OFFSET($H$3,0,0,'Données projet'!$E$13+1,1))</f>
        <v>198.78436129430389</v>
      </c>
      <c r="CZ58" s="59">
        <f t="shared" si="42"/>
        <v>198.28846462484438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13</v>
      </c>
      <c r="DC58" s="16">
        <f>IF(ISNA(VLOOKUP(A58,'Données projet'!$A$139:$I$159,5,0)),0%,VLOOKUP(A58,'Données projet'!$A$139:$I$159,5,0)*VLOOKUP('Données projet'!$B$13,Paramètres!$A$1:$I$89,7,0))</f>
        <v>0.33110000000000001</v>
      </c>
      <c r="DD58" s="16">
        <f>IF(ISNA(VLOOKUP(A58,'Données projet'!$A$139:$I$159,6,0)),0%,VLOOKUP(A58,'Données projet'!$A$139:$I$159,6,0)*VLOOKUP('Données projet'!$B$13,Paramètres!$A$1:$I$89,7,0))</f>
        <v>6.4500000000000002E-2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15.257830062214461</v>
      </c>
      <c r="DG58" s="21">
        <f>EXP(-LN(2)/25)*DG57+(1-EXP(-LN(2)/25))/(LN(2)/25)*Calculateur!DB58*Calculateur!DD58*VLOOKUP('Données projet'!$B$13,Paramètres!$A$1:$I$89,3,0)*0.475*44/12</f>
        <v>9.7718786661966828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25.029708728411144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274.57619581652199</v>
      </c>
      <c r="T59" s="59">
        <f t="shared" si="34"/>
        <v>366.15117322598775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278.21846622758881</v>
      </c>
      <c r="AO59" s="59">
        <f t="shared" si="36"/>
        <v>245.37578316242906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7.2728205128205143</v>
      </c>
      <c r="BD59" s="12">
        <f>IF('Données projet'!$A$88&gt;35,BD58+BC59-BL58,IF(A59&lt;'Données projet'!$A$88,$BA$205^A59,IF(A59='Données projet'!$A$88,'Données projet'!$B$88,BD58+BC59-BL58)))</f>
        <v>231.36512820512803</v>
      </c>
      <c r="BE59" s="13">
        <f>BD59*VLOOKUP('Données projet'!$B$11,Paramètres!$A$1:$I$89,3,0)*VLOOKUP('Données projet'!$B$11,Paramètres!$A$1:$I$89,5,0)</f>
        <v>138.35634666666658</v>
      </c>
      <c r="BF59" s="13">
        <f t="shared" si="37"/>
        <v>35.92020918152793</v>
      </c>
      <c r="BG59" s="20">
        <f t="shared" si="7"/>
        <v>303.53166810227208</v>
      </c>
      <c r="BH59" s="59">
        <f t="shared" si="8"/>
        <v>596.86500143560534</v>
      </c>
      <c r="BI59" s="59">
        <f ca="1">AVERAGE(OFFSET($BH$3,0,0,'Données projet'!$E$11+1,1))-AVERAGE(OFFSET($H$3,0,0,'Données projet'!$E$11+1,1))</f>
        <v>187.18641061466138</v>
      </c>
      <c r="BJ59" s="59">
        <f t="shared" si="38"/>
        <v>143.07246221325369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2.5044182542911511</v>
      </c>
      <c r="BQ59" s="21">
        <f>EXP(-LN(2)/25)*BQ58+(1-EXP(-LN(2)/25))/(LN(2)/25)*Calculateur!BL59*Calculateur!BN59*VLOOKUP('Données projet'!$B$11,Paramètres!$A$1:$I$89,3,0)*0.475*44/12</f>
        <v>23.432416804925492</v>
      </c>
      <c r="BR59" s="21">
        <f>EXP(-LN(2)/2)*BR58+(1-EXP(-LN(2)/2))/(LN(2)/2)*BL59*BO59*VLOOKUP('Données projet'!$B$11,Paramètres!$A$1:$I$89,3,0)*0.475*44/12</f>
        <v>8.4738298004644896</v>
      </c>
      <c r="BS59" s="22">
        <f t="shared" si="9"/>
        <v>34.410664859681134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>
        <f>VLOOKUP(A59,'Données projet'!$A$113:$I$133,2,0)</f>
        <v>348.05384615384617</v>
      </c>
      <c r="BW59" s="12">
        <f>VLOOKUP(A59,'Données projet'!$A$113:$I$133,9,0)</f>
        <v>14.668131868131875</v>
      </c>
      <c r="BX59" s="12">
        <f t="array" ref="BX59">INDEX(BW:BW,MIN(IF(ISNUMBER(BW59:BW255),ROW(BW59:BW255),"")))</f>
        <v>14.668131868131875</v>
      </c>
      <c r="BY59" s="12">
        <f>IF('Données projet'!$A$114&gt;35,BY58+BX59-CG58,IF(A59&lt;'Données projet'!$A$114,$BV$205^A59,IF(A59='Données projet'!$A$114,'Données projet'!$B$114,BY58+BX59-CG58)))</f>
        <v>348.05384615384617</v>
      </c>
      <c r="BZ59" s="13">
        <f>BY59*VLOOKUP('Données projet'!$B$12,Paramètres!$A$1:$I$89,3,0)*VLOOKUP('Données projet'!$B$12,Paramètres!$A$1:$I$89,5,0)</f>
        <v>162.88919999999999</v>
      </c>
      <c r="CA59" s="13">
        <f t="shared" si="39"/>
        <v>41.493502222820894</v>
      </c>
      <c r="CB59" s="20">
        <f t="shared" si="10"/>
        <v>355.96653970474637</v>
      </c>
      <c r="CC59" s="59">
        <f t="shared" si="11"/>
        <v>649.29987303807968</v>
      </c>
      <c r="CD59" s="59">
        <f ca="1">AVERAGE(OFFSET($CC$3,0,0,'Données projet'!$E$12+1,1))-AVERAGE(OFFSET($H$3,0,0,'Données projet'!$E$12+1,1))</f>
        <v>198.17898804494365</v>
      </c>
      <c r="CE59" s="59">
        <f t="shared" si="40"/>
        <v>186.24772922797723</v>
      </c>
      <c r="CF59" s="15">
        <f>IF(ISNA(VLOOKUP(A59,'Données projet'!$A$113:$I$133,3,0)),0,VLOOKUP(A59,'Données projet'!$A$113:$I$133,3,0))</f>
        <v>3</v>
      </c>
      <c r="CG59" s="15">
        <f>IF(ISNA(VLOOKUP(A59,'Données projet'!$A$113:$I$133,4,0)),0,VLOOKUP(A59,'Données projet'!$A$113:$I$133,4,0))</f>
        <v>72.769230769230759</v>
      </c>
      <c r="CH59" s="16">
        <f>IF(ISNA(VLOOKUP(A59,'Données projet'!$A$113:$I$133,5,0)),0%,VLOOKUP(A59,'Données projet'!$A$113:$I$133,5,0)*VLOOKUP('Données projet'!$B$12,Paramètres!$A$1:$I$89,7,0))</f>
        <v>0.38500000000000001</v>
      </c>
      <c r="CI59" s="16">
        <f>IF(ISNA(VLOOKUP(A59,'Données projet'!$A$113:$I$133,6,0)),0%,VLOOKUP(A59,'Données projet'!$A$113:$I$133,6,0)*VLOOKUP('Données projet'!$B$12,Paramètres!$A$1:$I$89,7,0))</f>
        <v>9.240000000000001E-2</v>
      </c>
      <c r="CJ59" s="16">
        <f>IF(ISNA(VLOOKUP(A59,'Données projet'!$A$113:$I$133,7,0)),0%,VLOOKUP(A59,'Données projet'!$A$113:$I$133,7,0))</f>
        <v>0.13200000000000001</v>
      </c>
      <c r="CK59" s="21">
        <f>EXP(-LN(2)/35)*CK58+(1-EXP(-LN(2)/35))/(LN(2)/35)*CG59*CH59*VLOOKUP('Données projet'!$B$12,Paramètres!$A$1:$I$89,3,0)*0.475*44/12</f>
        <v>37.05202426464669</v>
      </c>
      <c r="CL59" s="21">
        <f>EXP(-LN(2)/25)*CL58+(1-EXP(-LN(2)/25))/(LN(2)/25)*Calculateur!CG59*Calculateur!CI59*VLOOKUP('Données projet'!$B$12,Paramètres!$A$1:$I$89,3,0)*0.475*44/12</f>
        <v>31.838608865010755</v>
      </c>
      <c r="CM59" s="21">
        <f>EXP(-LN(2)/2)*CM58+(1-EXP(-LN(2)/2))/(LN(2)/2)*CG59*CJ59*VLOOKUP('Données projet'!$B$12,Paramètres!$A$1:$I$89,3,0)*0.475*44/12</f>
        <v>6.0014989877663876</v>
      </c>
      <c r="CN59" s="22">
        <f t="shared" si="12"/>
        <v>74.892132117423827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5.2</v>
      </c>
      <c r="CT59" s="12">
        <f>IF('Données projet'!$A$140&gt;35,CT58+CS59-DB58,IF(A59&lt;'Données projet'!$A$140,$CQ$205^A59,IF(A59='Données projet'!$A$140,'Données projet'!$B$140,CT58+CS59-DB58)))</f>
        <v>224.19999999999987</v>
      </c>
      <c r="CU59" s="17">
        <f>CT59*VLOOKUP('Données projet'!$B$13,Paramètres!$A$1:$I$89,3,0)*VLOOKUP('Données projet'!$B$13,Paramètres!$A$1:$I$89,5,0)</f>
        <v>164.38343999999992</v>
      </c>
      <c r="CV59" s="13">
        <f t="shared" si="41"/>
        <v>41.82965192331919</v>
      </c>
      <c r="CW59" s="20">
        <f t="shared" si="13"/>
        <v>359.15446843311406</v>
      </c>
      <c r="CX59" s="59">
        <f t="shared" si="14"/>
        <v>652.48780176644732</v>
      </c>
      <c r="CY59" s="59">
        <f ca="1">AVERAGE(OFFSET($CX$3,0,0,'Données projet'!$E$13+1,1))-AVERAGE(OFFSET($H$3,0,0,'Données projet'!$E$13+1,1))</f>
        <v>198.78436129430389</v>
      </c>
      <c r="CZ59" s="59">
        <f t="shared" si="42"/>
        <v>198.28846462484438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14.958633321051847</v>
      </c>
      <c r="DG59" s="21">
        <f>EXP(-LN(2)/25)*DG58+(1-EXP(-LN(2)/25))/(LN(2)/25)*Calculateur!DB59*Calculateur!DD59*VLOOKUP('Données projet'!$B$13,Paramètres!$A$1:$I$89,3,0)*0.475*44/12</f>
        <v>9.5046661301887685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24.463299451240616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274.57619581652199</v>
      </c>
      <c r="T60" s="59">
        <f t="shared" si="34"/>
        <v>366.15117322598775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278.21846622758881</v>
      </c>
      <c r="AO60" s="59">
        <f t="shared" si="36"/>
        <v>245.37578316242906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7.2728205128205143</v>
      </c>
      <c r="BD60" s="12">
        <f>IF('Données projet'!$A$88&gt;35,BD59+BC60-BL59,IF(A60&lt;'Données projet'!$A$88,$BA$205^A60,IF(A60='Données projet'!$A$88,'Données projet'!$B$88,BD59+BC60-BL59)))</f>
        <v>238.63794871794855</v>
      </c>
      <c r="BE60" s="13">
        <f>BD60*VLOOKUP('Données projet'!$B$11,Paramètres!$A$1:$I$89,3,0)*VLOOKUP('Données projet'!$B$11,Paramètres!$A$1:$I$89,5,0)</f>
        <v>142.70549333333324</v>
      </c>
      <c r="BF60" s="13">
        <f t="shared" si="37"/>
        <v>36.916103902316237</v>
      </c>
      <c r="BG60" s="20">
        <f t="shared" si="7"/>
        <v>312.84094851875608</v>
      </c>
      <c r="BH60" s="59">
        <f t="shared" si="8"/>
        <v>606.17428185208939</v>
      </c>
      <c r="BI60" s="59">
        <f ca="1">AVERAGE(OFFSET($BH$3,0,0,'Données projet'!$E$11+1,1))-AVERAGE(OFFSET($H$3,0,0,'Données projet'!$E$11+1,1))</f>
        <v>187.18641061466138</v>
      </c>
      <c r="BJ60" s="59">
        <f t="shared" si="38"/>
        <v>143.07246221325369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2.4553081398688041</v>
      </c>
      <c r="BQ60" s="21">
        <f>EXP(-LN(2)/25)*BQ59+(1-EXP(-LN(2)/25))/(LN(2)/25)*Calculateur!BL60*Calculateur!BN60*VLOOKUP('Données projet'!$B$11,Paramètres!$A$1:$I$89,3,0)*0.475*44/12</f>
        <v>22.791656135137561</v>
      </c>
      <c r="BR60" s="21">
        <f>EXP(-LN(2)/2)*BR59+(1-EXP(-LN(2)/2))/(LN(2)/2)*BL60*BO60*VLOOKUP('Données projet'!$B$11,Paramètres!$A$1:$I$89,3,0)*0.475*44/12</f>
        <v>5.9919025145290901</v>
      </c>
      <c r="BS60" s="22">
        <f t="shared" si="9"/>
        <v>31.238866789535457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14.270329670329668</v>
      </c>
      <c r="BY60" s="12">
        <f>IF('Données projet'!$A$114&gt;35,BY59+BX60-CG59,IF(A60&lt;'Données projet'!$A$114,$BV$205^A60,IF(A60='Données projet'!$A$114,'Données projet'!$B$114,BY59+BX60-CG59)))</f>
        <v>289.55494505494505</v>
      </c>
      <c r="BZ60" s="13">
        <f>BY60*VLOOKUP('Données projet'!$B$12,Paramètres!$A$1:$I$89,3,0)*VLOOKUP('Données projet'!$B$12,Paramètres!$A$1:$I$89,5,0)</f>
        <v>135.51171428571428</v>
      </c>
      <c r="CA60" s="13">
        <f t="shared" si="39"/>
        <v>35.26686051307076</v>
      </c>
      <c r="CB60" s="20">
        <f t="shared" si="10"/>
        <v>297.43935110788397</v>
      </c>
      <c r="CC60" s="59">
        <f t="shared" si="11"/>
        <v>590.77268444121728</v>
      </c>
      <c r="CD60" s="59">
        <f ca="1">AVERAGE(OFFSET($CC$3,0,0,'Données projet'!$E$12+1,1))-AVERAGE(OFFSET($H$3,0,0,'Données projet'!$E$12+1,1))</f>
        <v>198.17898804494365</v>
      </c>
      <c r="CE60" s="59">
        <f t="shared" si="40"/>
        <v>186.24772922797723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36.325456668320257</v>
      </c>
      <c r="CL60" s="21">
        <f>EXP(-LN(2)/25)*CL59+(1-EXP(-LN(2)/25))/(LN(2)/25)*Calculateur!CG60*Calculateur!CI60*VLOOKUP('Données projet'!$B$12,Paramètres!$A$1:$I$89,3,0)*0.475*44/12</f>
        <v>30.967980431277365</v>
      </c>
      <c r="CM60" s="21">
        <f>EXP(-LN(2)/2)*CM59+(1-EXP(-LN(2)/2))/(LN(2)/2)*CG60*CJ60*VLOOKUP('Données projet'!$B$12,Paramètres!$A$1:$I$89,3,0)*0.475*44/12</f>
        <v>4.2437006315338142</v>
      </c>
      <c r="CN60" s="22">
        <f t="shared" si="12"/>
        <v>71.537137731131438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5.2</v>
      </c>
      <c r="CT60" s="12">
        <f>IF('Données projet'!$A$140&gt;35,CT59+CS60-DB59,IF(A60&lt;'Données projet'!$A$140,$CQ$205^A60,IF(A60='Données projet'!$A$140,'Données projet'!$B$140,CT59+CS60-DB59)))</f>
        <v>229.39999999999986</v>
      </c>
      <c r="CU60" s="17">
        <f>CT60*VLOOKUP('Données projet'!$B$13,Paramètres!$A$1:$I$89,3,0)*VLOOKUP('Données projet'!$B$13,Paramètres!$A$1:$I$89,5,0)</f>
        <v>168.19607999999988</v>
      </c>
      <c r="CV60" s="13">
        <f t="shared" si="41"/>
        <v>42.685755010634267</v>
      </c>
      <c r="CW60" s="20">
        <f t="shared" si="13"/>
        <v>367.28586264352111</v>
      </c>
      <c r="CX60" s="59">
        <f t="shared" si="14"/>
        <v>660.61919597685437</v>
      </c>
      <c r="CY60" s="59">
        <f ca="1">AVERAGE(OFFSET($CX$3,0,0,'Données projet'!$E$13+1,1))-AVERAGE(OFFSET($H$3,0,0,'Données projet'!$E$13+1,1))</f>
        <v>198.78436129430389</v>
      </c>
      <c r="CZ60" s="59">
        <f t="shared" si="42"/>
        <v>198.28846462484438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14.66530364549144</v>
      </c>
      <c r="DG60" s="21">
        <f>EXP(-LN(2)/25)*DG59+(1-EXP(-LN(2)/25))/(LN(2)/25)*Calculateur!DB60*Calculateur!DD60*VLOOKUP('Données projet'!$B$13,Paramètres!$A$1:$I$89,3,0)*0.475*44/12</f>
        <v>9.2447605350300872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23.910064180521527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274.57619581652199</v>
      </c>
      <c r="T61" s="59">
        <f t="shared" si="34"/>
        <v>366.15117322598775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278.21846622758881</v>
      </c>
      <c r="AO61" s="59">
        <f t="shared" si="36"/>
        <v>245.37578316242906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7.2728205128205143</v>
      </c>
      <c r="BD61" s="12">
        <f>IF('Données projet'!$A$88&gt;35,BD60+BC61-BL60,IF(A61&lt;'Données projet'!$A$88,$BA$205^A61,IF(A61='Données projet'!$A$88,'Données projet'!$B$88,BD60+BC61-BL60)))</f>
        <v>245.91076923076906</v>
      </c>
      <c r="BE61" s="13">
        <f>BD61*VLOOKUP('Données projet'!$B$11,Paramètres!$A$1:$I$89,3,0)*VLOOKUP('Données projet'!$B$11,Paramètres!$A$1:$I$89,5,0)</f>
        <v>147.05463999999992</v>
      </c>
      <c r="BF61" s="13">
        <f t="shared" si="37"/>
        <v>37.90847141795814</v>
      </c>
      <c r="BG61" s="20">
        <f t="shared" si="7"/>
        <v>322.14408571961025</v>
      </c>
      <c r="BH61" s="59">
        <f t="shared" si="8"/>
        <v>615.47741905294356</v>
      </c>
      <c r="BI61" s="59">
        <f ca="1">AVERAGE(OFFSET($BH$3,0,0,'Données projet'!$E$11+1,1))-AVERAGE(OFFSET($H$3,0,0,'Données projet'!$E$11+1,1))</f>
        <v>187.18641061466138</v>
      </c>
      <c r="BJ61" s="59">
        <f t="shared" si="38"/>
        <v>143.07246221325369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2.4071610448360676</v>
      </c>
      <c r="BQ61" s="21">
        <f>EXP(-LN(2)/25)*BQ60+(1-EXP(-LN(2)/25))/(LN(2)/25)*Calculateur!BL61*Calculateur!BN61*VLOOKUP('Données projet'!$B$11,Paramètres!$A$1:$I$89,3,0)*0.475*44/12</f>
        <v>22.168417099561118</v>
      </c>
      <c r="BR61" s="21">
        <f>EXP(-LN(2)/2)*BR60+(1-EXP(-LN(2)/2))/(LN(2)/2)*BL61*BO61*VLOOKUP('Données projet'!$B$11,Paramètres!$A$1:$I$89,3,0)*0.475*44/12</f>
        <v>4.2369149002322457</v>
      </c>
      <c r="BS61" s="22">
        <f t="shared" si="9"/>
        <v>28.812493044629431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14.270329670329668</v>
      </c>
      <c r="BY61" s="12">
        <f>IF('Données projet'!$A$114&gt;35,BY60+BX61-CG60,IF(A61&lt;'Données projet'!$A$114,$BV$205^A61,IF(A61='Données projet'!$A$114,'Données projet'!$B$114,BY60+BX61-CG60)))</f>
        <v>303.82527472527471</v>
      </c>
      <c r="BZ61" s="13">
        <f>BY61*VLOOKUP('Données projet'!$B$12,Paramètres!$A$1:$I$89,3,0)*VLOOKUP('Données projet'!$B$12,Paramètres!$A$1:$I$89,5,0)</f>
        <v>142.19022857142855</v>
      </c>
      <c r="CA61" s="13">
        <f t="shared" si="39"/>
        <v>36.798301893816983</v>
      </c>
      <c r="CB61" s="20">
        <f t="shared" si="10"/>
        <v>311.7383572269693</v>
      </c>
      <c r="CC61" s="59">
        <f t="shared" si="11"/>
        <v>605.07169056030261</v>
      </c>
      <c r="CD61" s="59">
        <f ca="1">AVERAGE(OFFSET($CC$3,0,0,'Données projet'!$E$12+1,1))-AVERAGE(OFFSET($H$3,0,0,'Données projet'!$E$12+1,1))</f>
        <v>198.17898804494365</v>
      </c>
      <c r="CE61" s="59">
        <f t="shared" si="40"/>
        <v>186.24772922797723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35.613136619395306</v>
      </c>
      <c r="CL61" s="21">
        <f>EXP(-LN(2)/25)*CL60+(1-EXP(-LN(2)/25))/(LN(2)/25)*Calculateur!CG61*Calculateur!CI61*VLOOKUP('Données projet'!$B$12,Paramètres!$A$1:$I$89,3,0)*0.475*44/12</f>
        <v>30.121159377848773</v>
      </c>
      <c r="CM61" s="21">
        <f>EXP(-LN(2)/2)*CM60+(1-EXP(-LN(2)/2))/(LN(2)/2)*CG61*CJ61*VLOOKUP('Données projet'!$B$12,Paramètres!$A$1:$I$89,3,0)*0.475*44/12</f>
        <v>3.0007494938831947</v>
      </c>
      <c r="CN61" s="22">
        <f t="shared" si="12"/>
        <v>68.735045491127266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5.2</v>
      </c>
      <c r="CT61" s="12">
        <f>IF('Données projet'!$A$140&gt;35,CT60+CS61-DB60,IF(A61&lt;'Données projet'!$A$140,$CQ$205^A61,IF(A61='Données projet'!$A$140,'Données projet'!$B$140,CT60+CS61-DB60)))</f>
        <v>234.59999999999985</v>
      </c>
      <c r="CU61" s="17">
        <f>CT61*VLOOKUP('Données projet'!$B$13,Paramètres!$A$1:$I$89,3,0)*VLOOKUP('Données projet'!$B$13,Paramètres!$A$1:$I$89,5,0)</f>
        <v>172.0087199999999</v>
      </c>
      <c r="CV61" s="13">
        <f t="shared" si="41"/>
        <v>43.539602012936164</v>
      </c>
      <c r="CW61" s="20">
        <f t="shared" si="13"/>
        <v>375.41332750586366</v>
      </c>
      <c r="CX61" s="59">
        <f t="shared" si="14"/>
        <v>668.74666083919692</v>
      </c>
      <c r="CY61" s="59">
        <f ca="1">AVERAGE(OFFSET($CX$3,0,0,'Données projet'!$E$13+1,1))-AVERAGE(OFFSET($H$3,0,0,'Données projet'!$E$13+1,1))</f>
        <v>198.78436129430389</v>
      </c>
      <c r="CZ61" s="59">
        <f t="shared" si="42"/>
        <v>198.28846462484438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14.377725985955335</v>
      </c>
      <c r="DG61" s="21">
        <f>EXP(-LN(2)/25)*DG60+(1-EXP(-LN(2)/25))/(LN(2)/25)*Calculateur!DB61*Calculateur!DD61*VLOOKUP('Données projet'!$B$13,Paramètres!$A$1:$I$89,3,0)*0.475*44/12</f>
        <v>8.9919620720388629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23.369688057994196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274.57619581652199</v>
      </c>
      <c r="T62" s="59">
        <f t="shared" si="34"/>
        <v>366.15117322598775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278.21846622758881</v>
      </c>
      <c r="AO62" s="59">
        <f t="shared" si="36"/>
        <v>245.37578316242906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7.2728205128205143</v>
      </c>
      <c r="BD62" s="12">
        <f>IF('Données projet'!$A$88&gt;35,BD61+BC62-BL61,IF(A62&lt;'Données projet'!$A$88,$BA$205^A62,IF(A62='Données projet'!$A$88,'Données projet'!$B$88,BD61+BC62-BL61)))</f>
        <v>253.18358974358958</v>
      </c>
      <c r="BE62" s="13">
        <f>BD62*VLOOKUP('Données projet'!$B$11,Paramètres!$A$1:$I$89,3,0)*VLOOKUP('Données projet'!$B$11,Paramètres!$A$1:$I$89,5,0)</f>
        <v>151.40378666666658</v>
      </c>
      <c r="BF62" s="13">
        <f t="shared" si="37"/>
        <v>38.897428022351328</v>
      </c>
      <c r="BG62" s="20">
        <f t="shared" si="7"/>
        <v>331.44128225003948</v>
      </c>
      <c r="BH62" s="59">
        <f t="shared" si="8"/>
        <v>624.77461558337279</v>
      </c>
      <c r="BI62" s="59">
        <f ca="1">AVERAGE(OFFSET($BH$3,0,0,'Données projet'!$E$11+1,1))-AVERAGE(OFFSET($H$3,0,0,'Données projet'!$E$11+1,1))</f>
        <v>187.18641061466138</v>
      </c>
      <c r="BJ62" s="59">
        <f t="shared" si="38"/>
        <v>143.07246221325369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2.3599580849700947</v>
      </c>
      <c r="BQ62" s="21">
        <f>EXP(-LN(2)/25)*BQ61+(1-EXP(-LN(2)/25))/(LN(2)/25)*Calculateur!BL62*Calculateur!BN62*VLOOKUP('Données projet'!$B$11,Paramètres!$A$1:$I$89,3,0)*0.475*44/12</f>
        <v>21.562220568187232</v>
      </c>
      <c r="BR62" s="21">
        <f>EXP(-LN(2)/2)*BR61+(1-EXP(-LN(2)/2))/(LN(2)/2)*BL62*BO62*VLOOKUP('Données projet'!$B$11,Paramètres!$A$1:$I$89,3,0)*0.475*44/12</f>
        <v>2.9959512572645455</v>
      </c>
      <c r="BS62" s="22">
        <f t="shared" si="9"/>
        <v>26.918129910421875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14.270329670329668</v>
      </c>
      <c r="BY62" s="12">
        <f>IF('Données projet'!$A$114&gt;35,BY61+BX62-CG61,IF(A62&lt;'Données projet'!$A$114,$BV$205^A62,IF(A62='Données projet'!$A$114,'Données projet'!$B$114,BY61+BX62-CG61)))</f>
        <v>318.09560439560437</v>
      </c>
      <c r="BZ62" s="13">
        <f>BY62*VLOOKUP('Données projet'!$B$12,Paramètres!$A$1:$I$89,3,0)*VLOOKUP('Données projet'!$B$12,Paramètres!$A$1:$I$89,5,0)</f>
        <v>148.86874285714285</v>
      </c>
      <c r="CA62" s="13">
        <f t="shared" si="39"/>
        <v>38.321390217280914</v>
      </c>
      <c r="CB62" s="20">
        <f t="shared" si="10"/>
        <v>326.02281510462137</v>
      </c>
      <c r="CC62" s="59">
        <f t="shared" si="11"/>
        <v>619.35614843795474</v>
      </c>
      <c r="CD62" s="59">
        <f ca="1">AVERAGE(OFFSET($CC$3,0,0,'Données projet'!$E$12+1,1))-AVERAGE(OFFSET($H$3,0,0,'Données projet'!$E$12+1,1))</f>
        <v>198.17898804494365</v>
      </c>
      <c r="CE62" s="59">
        <f t="shared" si="40"/>
        <v>186.24772922797723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34.914784732157443</v>
      </c>
      <c r="CL62" s="21">
        <f>EXP(-LN(2)/25)*CL61+(1-EXP(-LN(2)/25))/(LN(2)/25)*Calculateur!CG62*Calculateur!CI62*VLOOKUP('Données projet'!$B$12,Paramètres!$A$1:$I$89,3,0)*0.475*44/12</f>
        <v>29.297494690658571</v>
      </c>
      <c r="CM62" s="21">
        <f>EXP(-LN(2)/2)*CM61+(1-EXP(-LN(2)/2))/(LN(2)/2)*CG62*CJ62*VLOOKUP('Données projet'!$B$12,Paramètres!$A$1:$I$89,3,0)*0.475*44/12</f>
        <v>2.1218503157669075</v>
      </c>
      <c r="CN62" s="22">
        <f t="shared" si="12"/>
        <v>66.334129738582917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5.2</v>
      </c>
      <c r="CT62" s="12">
        <f>IF('Données projet'!$A$140&gt;35,CT61+CS62-DB61,IF(A62&lt;'Données projet'!$A$140,$CQ$205^A62,IF(A62='Données projet'!$A$140,'Données projet'!$B$140,CT61+CS62-DB61)))</f>
        <v>239.79999999999984</v>
      </c>
      <c r="CU62" s="17">
        <f>CT62*VLOOKUP('Données projet'!$B$13,Paramètres!$A$1:$I$89,3,0)*VLOOKUP('Données projet'!$B$13,Paramètres!$A$1:$I$89,5,0)</f>
        <v>175.82135999999988</v>
      </c>
      <c r="CV62" s="13">
        <f t="shared" si="41"/>
        <v>44.391248695306977</v>
      </c>
      <c r="CW62" s="20">
        <f t="shared" si="13"/>
        <v>383.53696014432609</v>
      </c>
      <c r="CX62" s="59">
        <f t="shared" si="14"/>
        <v>676.8702934776594</v>
      </c>
      <c r="CY62" s="59">
        <f ca="1">AVERAGE(OFFSET($CX$3,0,0,'Données projet'!$E$13+1,1))-AVERAGE(OFFSET($H$3,0,0,'Données projet'!$E$13+1,1))</f>
        <v>198.78436129430389</v>
      </c>
      <c r="CZ62" s="59">
        <f t="shared" si="42"/>
        <v>198.28846462484438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14.095787548917681</v>
      </c>
      <c r="DG62" s="21">
        <f>EXP(-LN(2)/25)*DG61+(1-EXP(-LN(2)/25))/(LN(2)/25)*Calculateur!DB62*Calculateur!DD62*VLOOKUP('Données projet'!$B$13,Paramètres!$A$1:$I$89,3,0)*0.475*44/12</f>
        <v>8.7460763963122261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22.841863945229907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274.57619581652199</v>
      </c>
      <c r="T63" s="59">
        <f t="shared" si="34"/>
        <v>366.15117322598775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278.21846622758881</v>
      </c>
      <c r="AO63" s="59">
        <f t="shared" si="36"/>
        <v>245.37578316242906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7.2728205128205143</v>
      </c>
      <c r="BD63" s="12">
        <f>IF('Données projet'!$A$88&gt;35,BD62+BC63-BL62,IF(A63&lt;'Données projet'!$A$88,$BA$205^A63,IF(A63='Données projet'!$A$88,'Données projet'!$B$88,BD62+BC63-BL62)))</f>
        <v>260.45641025641009</v>
      </c>
      <c r="BE63" s="13">
        <f>BD63*VLOOKUP('Données projet'!$B$11,Paramètres!$A$1:$I$89,3,0)*VLOOKUP('Données projet'!$B$11,Paramètres!$A$1:$I$89,5,0)</f>
        <v>155.75293333333323</v>
      </c>
      <c r="BF63" s="13">
        <f t="shared" si="37"/>
        <v>39.883082948219545</v>
      </c>
      <c r="BG63" s="20">
        <f t="shared" si="7"/>
        <v>340.73272835703773</v>
      </c>
      <c r="BH63" s="59">
        <f t="shared" si="8"/>
        <v>634.06606169037104</v>
      </c>
      <c r="BI63" s="59">
        <f ca="1">AVERAGE(OFFSET($BH$3,0,0,'Données projet'!$E$11+1,1))-AVERAGE(OFFSET($H$3,0,0,'Données projet'!$E$11+1,1))</f>
        <v>187.18641061466138</v>
      </c>
      <c r="BJ63" s="59">
        <f t="shared" si="38"/>
        <v>143.07246221325369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2.3136807463561309</v>
      </c>
      <c r="BQ63" s="21">
        <f>EXP(-LN(2)/25)*BQ62+(1-EXP(-LN(2)/25))/(LN(2)/25)*Calculateur!BL63*Calculateur!BN63*VLOOKUP('Données projet'!$B$11,Paramètres!$A$1:$I$89,3,0)*0.475*44/12</f>
        <v>20.972600512842252</v>
      </c>
      <c r="BR63" s="21">
        <f>EXP(-LN(2)/2)*BR62+(1-EXP(-LN(2)/2))/(LN(2)/2)*BL63*BO63*VLOOKUP('Données projet'!$B$11,Paramètres!$A$1:$I$89,3,0)*0.475*44/12</f>
        <v>2.1184574501161229</v>
      </c>
      <c r="BS63" s="22">
        <f t="shared" si="9"/>
        <v>25.404738709314504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14.270329670329668</v>
      </c>
      <c r="BY63" s="12">
        <f>IF('Données projet'!$A$114&gt;35,BY62+BX63-CG62,IF(A63&lt;'Données projet'!$A$114,$BV$205^A63,IF(A63='Données projet'!$A$114,'Données projet'!$B$114,BY62+BX63-CG62)))</f>
        <v>332.36593406593403</v>
      </c>
      <c r="BZ63" s="13">
        <f>BY63*VLOOKUP('Données projet'!$B$12,Paramètres!$A$1:$I$89,3,0)*VLOOKUP('Données projet'!$B$12,Paramètres!$A$1:$I$89,5,0)</f>
        <v>155.54725714285712</v>
      </c>
      <c r="CA63" s="13">
        <f t="shared" si="39"/>
        <v>39.836543030962723</v>
      </c>
      <c r="CB63" s="20">
        <f t="shared" si="10"/>
        <v>340.29345196940289</v>
      </c>
      <c r="CC63" s="59">
        <f t="shared" si="11"/>
        <v>633.62678530273615</v>
      </c>
      <c r="CD63" s="59">
        <f ca="1">AVERAGE(OFFSET($CC$3,0,0,'Données projet'!$E$12+1,1))-AVERAGE(OFFSET($H$3,0,0,'Données projet'!$E$12+1,1))</f>
        <v>198.17898804494365</v>
      </c>
      <c r="CE63" s="59">
        <f t="shared" si="40"/>
        <v>186.24772922797723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34.230127099475723</v>
      </c>
      <c r="CL63" s="21">
        <f>EXP(-LN(2)/25)*CL62+(1-EXP(-LN(2)/25))/(LN(2)/25)*Calculateur!CG63*Calculateur!CI63*VLOOKUP('Données projet'!$B$12,Paramètres!$A$1:$I$89,3,0)*0.475*44/12</f>
        <v>28.496353157654227</v>
      </c>
      <c r="CM63" s="21">
        <f>EXP(-LN(2)/2)*CM62+(1-EXP(-LN(2)/2))/(LN(2)/2)*CG63*CJ63*VLOOKUP('Données projet'!$B$12,Paramètres!$A$1:$I$89,3,0)*0.475*44/12</f>
        <v>1.5003747469415976</v>
      </c>
      <c r="CN63" s="22">
        <f t="shared" si="12"/>
        <v>64.226855004071552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245</v>
      </c>
      <c r="CR63" s="12">
        <f>VLOOKUP(A63,'Données projet'!$A$139:$I$159,9,0)</f>
        <v>5.2</v>
      </c>
      <c r="CS63" s="12">
        <f t="array" ref="CS63">INDEX(CR:CR,MIN(IF(ISNUMBER(CR63:CR259),ROW(CR63:CR259),"")))</f>
        <v>5.2</v>
      </c>
      <c r="CT63" s="12">
        <f>IF('Données projet'!$A$140&gt;35,CT62+CS63-DB62,IF(A63&lt;'Données projet'!$A$140,$CQ$205^A63,IF(A63='Données projet'!$A$140,'Données projet'!$B$140,CT62+CS63-DB62)))</f>
        <v>244.99999999999983</v>
      </c>
      <c r="CU63" s="17">
        <f>CT63*VLOOKUP('Données projet'!$B$13,Paramètres!$A$1:$I$89,3,0)*VLOOKUP('Données projet'!$B$13,Paramètres!$A$1:$I$89,5,0)</f>
        <v>179.63399999999987</v>
      </c>
      <c r="CV63" s="13">
        <f t="shared" si="41"/>
        <v>45.240748266194686</v>
      </c>
      <c r="CW63" s="20">
        <f t="shared" si="13"/>
        <v>391.65685323028885</v>
      </c>
      <c r="CX63" s="59">
        <f t="shared" si="14"/>
        <v>684.99018656362216</v>
      </c>
      <c r="CY63" s="59">
        <f ca="1">AVERAGE(OFFSET($CX$3,0,0,'Données projet'!$E$13+1,1))-AVERAGE(OFFSET($H$3,0,0,'Données projet'!$E$13+1,1))</f>
        <v>198.78436129430389</v>
      </c>
      <c r="CZ63" s="59">
        <f t="shared" si="42"/>
        <v>198.28846462484438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12</v>
      </c>
      <c r="DC63" s="16">
        <f>IF(ISNA(VLOOKUP(A63,'Données projet'!$A$139:$I$159,5,0)),0%,VLOOKUP(A63,'Données projet'!$A$139:$I$159,5,0)*VLOOKUP('Données projet'!$B$13,Paramètres!$A$1:$I$89,7,0))</f>
        <v>0.3569</v>
      </c>
      <c r="DD63" s="16">
        <f>IF(ISNA(VLOOKUP(A63,'Données projet'!$A$139:$I$159,6,0)),0%,VLOOKUP(A63,'Données projet'!$A$139:$I$159,6,0)*VLOOKUP('Données projet'!$B$13,Paramètres!$A$1:$I$89,7,0))</f>
        <v>3.44E-2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17.290719415266068</v>
      </c>
      <c r="DG63" s="21">
        <f>EXP(-LN(2)/25)*DG62+(1-EXP(-LN(2)/25))/(LN(2)/25)*Calculateur!DB63*Calculateur!DD63*VLOOKUP('Données projet'!$B$13,Paramètres!$A$1:$I$89,3,0)*0.475*44/12</f>
        <v>8.8401842284312533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26.130903643697323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274.57619581652199</v>
      </c>
      <c r="T64" s="59">
        <f t="shared" si="34"/>
        <v>366.15117322598775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278.21846622758881</v>
      </c>
      <c r="AO64" s="59">
        <f t="shared" si="36"/>
        <v>245.37578316242906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7.2728205128205143</v>
      </c>
      <c r="BD64" s="12">
        <f>IF('Données projet'!$A$88&gt;35,BD63+BC64-BL63,IF(A64&lt;'Données projet'!$A$88,$BA$205^A64,IF(A64='Données projet'!$A$88,'Données projet'!$B$88,BD63+BC64-BL63)))</f>
        <v>267.72923076923058</v>
      </c>
      <c r="BE64" s="13">
        <f>BD64*VLOOKUP('Données projet'!$B$11,Paramètres!$A$1:$I$89,3,0)*VLOOKUP('Données projet'!$B$11,Paramètres!$A$1:$I$89,5,0)</f>
        <v>160.10207999999989</v>
      </c>
      <c r="BF64" s="13">
        <f t="shared" si="37"/>
        <v>40.865538980904162</v>
      </c>
      <c r="BG64" s="20">
        <f t="shared" si="7"/>
        <v>350.01860305840779</v>
      </c>
      <c r="BH64" s="59">
        <f t="shared" si="8"/>
        <v>643.35193639174111</v>
      </c>
      <c r="BI64" s="59">
        <f ca="1">AVERAGE(OFFSET($BH$3,0,0,'Données projet'!$E$11+1,1))-AVERAGE(OFFSET($H$3,0,0,'Données projet'!$E$11+1,1))</f>
        <v>187.18641061466138</v>
      </c>
      <c r="BJ64" s="59">
        <f t="shared" si="38"/>
        <v>143.07246221325369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2.2683108781259973</v>
      </c>
      <c r="BQ64" s="21">
        <f>EXP(-LN(2)/25)*BQ63+(1-EXP(-LN(2)/25))/(LN(2)/25)*Calculateur!BL64*Calculateur!BN64*VLOOKUP('Données projet'!$B$11,Paramètres!$A$1:$I$89,3,0)*0.475*44/12</f>
        <v>20.399103648917453</v>
      </c>
      <c r="BR64" s="21">
        <f>EXP(-LN(2)/2)*BR63+(1-EXP(-LN(2)/2))/(LN(2)/2)*BL64*BO64*VLOOKUP('Données projet'!$B$11,Paramètres!$A$1:$I$89,3,0)*0.475*44/12</f>
        <v>1.4979756286322727</v>
      </c>
      <c r="BS64" s="22">
        <f t="shared" si="9"/>
        <v>24.165390155675723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14.270329670329668</v>
      </c>
      <c r="BY64" s="12">
        <f>IF('Données projet'!$A$114&gt;35,BY63+BX64-CG63,IF(A64&lt;'Données projet'!$A$114,$BV$205^A64,IF(A64='Données projet'!$A$114,'Données projet'!$B$114,BY63+BX64-CG63)))</f>
        <v>346.63626373626369</v>
      </c>
      <c r="BZ64" s="13">
        <f>BY64*VLOOKUP('Données projet'!$B$12,Paramètres!$A$1:$I$89,3,0)*VLOOKUP('Données projet'!$B$12,Paramètres!$A$1:$I$89,5,0)</f>
        <v>162.22577142857142</v>
      </c>
      <c r="CA64" s="13">
        <f t="shared" si="39"/>
        <v>41.344139999178246</v>
      </c>
      <c r="CB64" s="20">
        <f t="shared" si="10"/>
        <v>354.55092906999738</v>
      </c>
      <c r="CC64" s="59">
        <f t="shared" si="11"/>
        <v>647.88426240333069</v>
      </c>
      <c r="CD64" s="59">
        <f ca="1">AVERAGE(OFFSET($CC$3,0,0,'Données projet'!$E$12+1,1))-AVERAGE(OFFSET($H$3,0,0,'Données projet'!$E$12+1,1))</f>
        <v>198.17898804494365</v>
      </c>
      <c r="CE64" s="59">
        <f t="shared" si="40"/>
        <v>186.24772922797723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33.558895185370972</v>
      </c>
      <c r="CL64" s="21">
        <f>EXP(-LN(2)/25)*CL63+(1-EXP(-LN(2)/25))/(LN(2)/25)*Calculateur!CG64*Calculateur!CI64*VLOOKUP('Données projet'!$B$12,Paramètres!$A$1:$I$89,3,0)*0.475*44/12</f>
        <v>27.71711888200009</v>
      </c>
      <c r="CM64" s="21">
        <f>EXP(-LN(2)/2)*CM63+(1-EXP(-LN(2)/2))/(LN(2)/2)*CG64*CJ64*VLOOKUP('Données projet'!$B$12,Paramètres!$A$1:$I$89,3,0)*0.475*44/12</f>
        <v>1.060925157883454</v>
      </c>
      <c r="CN64" s="22">
        <f t="shared" si="12"/>
        <v>62.336939225254518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4.4000000000000004</v>
      </c>
      <c r="CT64" s="12">
        <f>IF('Données projet'!$A$140&gt;35,CT63+CS64-DB63,IF(A64&lt;'Données projet'!$A$140,$CQ$205^A64,IF(A64='Données projet'!$A$140,'Données projet'!$B$140,CT63+CS64-DB63)))</f>
        <v>237.39999999999984</v>
      </c>
      <c r="CU64" s="17">
        <f>CT64*VLOOKUP('Données projet'!$B$13,Paramètres!$A$1:$I$89,3,0)*VLOOKUP('Données projet'!$B$13,Paramètres!$A$1:$I$89,5,0)</f>
        <v>174.06167999999988</v>
      </c>
      <c r="CV64" s="13">
        <f t="shared" si="41"/>
        <v>43.998450960214953</v>
      </c>
      <c r="CW64" s="20">
        <f t="shared" si="13"/>
        <v>379.78806142237414</v>
      </c>
      <c r="CX64" s="59">
        <f t="shared" si="14"/>
        <v>673.12139475570746</v>
      </c>
      <c r="CY64" s="59">
        <f ca="1">AVERAGE(OFFSET($CX$3,0,0,'Données projet'!$E$13+1,1))-AVERAGE(OFFSET($H$3,0,0,'Données projet'!$E$13+1,1))</f>
        <v>198.78436129430389</v>
      </c>
      <c r="CZ64" s="59">
        <f t="shared" si="42"/>
        <v>198.28846462484438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16.951658953830183</v>
      </c>
      <c r="DG64" s="21">
        <f>EXP(-LN(2)/25)*DG63+(1-EXP(-LN(2)/25))/(LN(2)/25)*Calculateur!DB64*Calculateur!DD64*VLOOKUP('Données projet'!$B$13,Paramètres!$A$1:$I$89,3,0)*0.475*44/12</f>
        <v>8.5984489258197172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25.5501078796499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274.57619581652199</v>
      </c>
      <c r="T65" s="59">
        <f t="shared" si="34"/>
        <v>366.15117322598775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278.21846622758881</v>
      </c>
      <c r="AO65" s="59">
        <f t="shared" si="36"/>
        <v>245.37578316242906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7.2728205128205143</v>
      </c>
      <c r="BD65" s="12">
        <f>IF('Données projet'!$A$88&gt;35,BD64+BC65-BL64,IF(A65&lt;'Données projet'!$A$88,$BA$205^A65,IF(A65='Données projet'!$A$88,'Données projet'!$B$88,BD64+BC65-BL64)))</f>
        <v>275.00205128205107</v>
      </c>
      <c r="BE65" s="13">
        <f>BD65*VLOOKUP('Données projet'!$B$11,Paramètres!$A$1:$I$89,3,0)*VLOOKUP('Données projet'!$B$11,Paramètres!$A$1:$I$89,5,0)</f>
        <v>164.45122666666654</v>
      </c>
      <c r="BF65" s="13">
        <f t="shared" si="37"/>
        <v>41.844893003586371</v>
      </c>
      <c r="BG65" s="20">
        <f t="shared" si="7"/>
        <v>359.2990750923571</v>
      </c>
      <c r="BH65" s="59">
        <f t="shared" si="8"/>
        <v>652.63240842569041</v>
      </c>
      <c r="BI65" s="59">
        <f ca="1">AVERAGE(OFFSET($BH$3,0,0,'Données projet'!$E$11+1,1))-AVERAGE(OFFSET($H$3,0,0,'Données projet'!$E$11+1,1))</f>
        <v>187.18641061466138</v>
      </c>
      <c r="BJ65" s="59">
        <f t="shared" si="38"/>
        <v>143.07246221325369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2.2238306853389695</v>
      </c>
      <c r="BQ65" s="21">
        <f>EXP(-LN(2)/25)*BQ64+(1-EXP(-LN(2)/25))/(LN(2)/25)*Calculateur!BL65*Calculateur!BN65*VLOOKUP('Données projet'!$B$11,Paramètres!$A$1:$I$89,3,0)*0.475*44/12</f>
        <v>19.841289086895568</v>
      </c>
      <c r="BR65" s="21">
        <f>EXP(-LN(2)/2)*BR64+(1-EXP(-LN(2)/2))/(LN(2)/2)*BL65*BO65*VLOOKUP('Données projet'!$B$11,Paramètres!$A$1:$I$89,3,0)*0.475*44/12</f>
        <v>1.0592287250580614</v>
      </c>
      <c r="BS65" s="22">
        <f t="shared" si="9"/>
        <v>23.124348497292601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14.270329670329668</v>
      </c>
      <c r="BY65" s="12">
        <f>IF('Données projet'!$A$114&gt;35,BY64+BX65-CG64,IF(A65&lt;'Données projet'!$A$114,$BV$205^A65,IF(A65='Données projet'!$A$114,'Données projet'!$B$114,BY64+BX65-CG64)))</f>
        <v>360.90659340659334</v>
      </c>
      <c r="BZ65" s="13">
        <f>BY65*VLOOKUP('Données projet'!$B$12,Paramètres!$A$1:$I$89,3,0)*VLOOKUP('Données projet'!$B$12,Paramètres!$A$1:$I$89,5,0)</f>
        <v>168.90428571428566</v>
      </c>
      <c r="CA65" s="13">
        <f t="shared" si="39"/>
        <v>42.844527757373569</v>
      </c>
      <c r="CB65" s="20">
        <f t="shared" si="10"/>
        <v>368.79585012980647</v>
      </c>
      <c r="CC65" s="59">
        <f t="shared" si="11"/>
        <v>662.12918346313973</v>
      </c>
      <c r="CD65" s="59">
        <f ca="1">AVERAGE(OFFSET($CC$3,0,0,'Données projet'!$E$12+1,1))-AVERAGE(OFFSET($H$3,0,0,'Données projet'!$E$12+1,1))</f>
        <v>198.17898804494365</v>
      </c>
      <c r="CE65" s="59">
        <f t="shared" si="40"/>
        <v>186.24772922797723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32.900825719690772</v>
      </c>
      <c r="CL65" s="21">
        <f>EXP(-LN(2)/25)*CL64+(1-EXP(-LN(2)/25))/(LN(2)/25)*Calculateur!CG65*Calculateur!CI65*VLOOKUP('Données projet'!$B$12,Paramètres!$A$1:$I$89,3,0)*0.475*44/12</f>
        <v>26.959192808591865</v>
      </c>
      <c r="CM65" s="21">
        <f>EXP(-LN(2)/2)*CM64+(1-EXP(-LN(2)/2))/(LN(2)/2)*CG65*CJ65*VLOOKUP('Données projet'!$B$12,Paramètres!$A$1:$I$89,3,0)*0.475*44/12</f>
        <v>0.75018737347079889</v>
      </c>
      <c r="CN65" s="22">
        <f t="shared" si="12"/>
        <v>60.610205901753439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4.4000000000000004</v>
      </c>
      <c r="CT65" s="12">
        <f>IF('Données projet'!$A$140&gt;35,CT64+CS65-DB64,IF(A65&lt;'Données projet'!$A$140,$CQ$205^A65,IF(A65='Données projet'!$A$140,'Données projet'!$B$140,CT64+CS65-DB64)))</f>
        <v>241.79999999999984</v>
      </c>
      <c r="CU65" s="17">
        <f>CT65*VLOOKUP('Données projet'!$B$13,Paramètres!$A$1:$I$89,3,0)*VLOOKUP('Données projet'!$B$13,Paramètres!$A$1:$I$89,5,0)</f>
        <v>177.28775999999988</v>
      </c>
      <c r="CV65" s="13">
        <f t="shared" si="41"/>
        <v>44.718230568721658</v>
      </c>
      <c r="CW65" s="20">
        <f t="shared" si="13"/>
        <v>386.66043357385661</v>
      </c>
      <c r="CX65" s="59">
        <f t="shared" si="14"/>
        <v>679.99376690718987</v>
      </c>
      <c r="CY65" s="59">
        <f ca="1">AVERAGE(OFFSET($CX$3,0,0,'Données projet'!$E$13+1,1))-AVERAGE(OFFSET($H$3,0,0,'Données projet'!$E$13+1,1))</f>
        <v>198.78436129430389</v>
      </c>
      <c r="CZ65" s="59">
        <f t="shared" si="42"/>
        <v>198.28846462484438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16.619247261236595</v>
      </c>
      <c r="DG65" s="21">
        <f>EXP(-LN(2)/25)*DG64+(1-EXP(-LN(2)/25))/(LN(2)/25)*Calculateur!DB65*Calculateur!DD65*VLOOKUP('Données projet'!$B$13,Paramètres!$A$1:$I$89,3,0)*0.475*44/12</f>
        <v>8.3633238877704006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24.982571149006993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274.57619581652199</v>
      </c>
      <c r="T66" s="59">
        <f t="shared" si="34"/>
        <v>366.15117322598775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278.21846622758881</v>
      </c>
      <c r="AO66" s="59">
        <f t="shared" si="36"/>
        <v>245.37578316242906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7.2728205128205143</v>
      </c>
      <c r="BD66" s="12">
        <f>IF('Données projet'!$A$88&gt;35,BD65+BC66-BL65,IF(A66&lt;'Données projet'!$A$88,$BA$205^A66,IF(A66='Données projet'!$A$88,'Données projet'!$B$88,BD65+BC66-BL65)))</f>
        <v>282.27487179487156</v>
      </c>
      <c r="BE66" s="13">
        <f>BD66*VLOOKUP('Données projet'!$B$11,Paramètres!$A$1:$I$89,3,0)*VLOOKUP('Données projet'!$B$11,Paramètres!$A$1:$I$89,5,0)</f>
        <v>168.80037333333323</v>
      </c>
      <c r="BF66" s="13">
        <f t="shared" si="37"/>
        <v>42.821236483210356</v>
      </c>
      <c r="BG66" s="20">
        <f t="shared" si="7"/>
        <v>368.57430376381336</v>
      </c>
      <c r="BH66" s="59">
        <f t="shared" si="8"/>
        <v>661.90763709714668</v>
      </c>
      <c r="BI66" s="59">
        <f ca="1">AVERAGE(OFFSET($BH$3,0,0,'Données projet'!$E$11+1,1))-AVERAGE(OFFSET($H$3,0,0,'Données projet'!$E$11+1,1))</f>
        <v>187.18641061466138</v>
      </c>
      <c r="BJ66" s="59">
        <f t="shared" si="38"/>
        <v>143.07246221325369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2.1802227220022568</v>
      </c>
      <c r="BQ66" s="21">
        <f>EXP(-LN(2)/25)*BQ65+(1-EXP(-LN(2)/25))/(LN(2)/25)*Calculateur!BL66*Calculateur!BN66*VLOOKUP('Données projet'!$B$11,Paramètres!$A$1:$I$89,3,0)*0.475*44/12</f>
        <v>19.298727993406363</v>
      </c>
      <c r="BR66" s="21">
        <f>EXP(-LN(2)/2)*BR65+(1-EXP(-LN(2)/2))/(LN(2)/2)*BL66*BO66*VLOOKUP('Données projet'!$B$11,Paramètres!$A$1:$I$89,3,0)*0.475*44/12</f>
        <v>0.74898781431613637</v>
      </c>
      <c r="BS66" s="22">
        <f t="shared" si="9"/>
        <v>22.227938529724756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375.17692307692306</v>
      </c>
      <c r="BW66" s="12">
        <f>VLOOKUP(A66,'Données projet'!$A$113:$I$133,9,0)</f>
        <v>14.270329670329668</v>
      </c>
      <c r="BX66" s="12">
        <f t="array" ref="BX66">INDEX(BW:BW,MIN(IF(ISNUMBER(BW66:BW262),ROW(BW66:BW262),"")))</f>
        <v>14.270329670329668</v>
      </c>
      <c r="BY66" s="12">
        <f>IF('Données projet'!$A$114&gt;35,BY65+BX66-CG65,IF(A66&lt;'Données projet'!$A$114,$BV$205^A66,IF(A66='Données projet'!$A$114,'Données projet'!$B$114,BY65+BX66-CG65)))</f>
        <v>375.176923076923</v>
      </c>
      <c r="BZ66" s="13">
        <f>BY66*VLOOKUP('Données projet'!$B$12,Paramètres!$A$1:$I$89,3,0)*VLOOKUP('Données projet'!$B$12,Paramètres!$A$1:$I$89,5,0)</f>
        <v>175.58279999999996</v>
      </c>
      <c r="CA66" s="13">
        <f t="shared" si="39"/>
        <v>44.338023977070598</v>
      </c>
      <c r="CB66" s="20">
        <f t="shared" si="10"/>
        <v>383.02876842673123</v>
      </c>
      <c r="CC66" s="59">
        <f t="shared" si="11"/>
        <v>676.36210176006455</v>
      </c>
      <c r="CD66" s="59">
        <f ca="1">AVERAGE(OFFSET($CC$3,0,0,'Données projet'!$E$12+1,1))-AVERAGE(OFFSET($H$3,0,0,'Données projet'!$E$12+1,1))</f>
        <v>198.17898804494365</v>
      </c>
      <c r="CE66" s="59">
        <f t="shared" si="40"/>
        <v>186.24772922797723</v>
      </c>
      <c r="CF66" s="15">
        <f>IF(ISNA(VLOOKUP(A66,'Données projet'!$A$113:$I$133,3,0)),0,VLOOKUP(A66,'Données projet'!$A$113:$I$133,3,0))</f>
        <v>4</v>
      </c>
      <c r="CG66" s="15">
        <f>IF(ISNA(VLOOKUP(A66,'Données projet'!$A$113:$I$133,4,0)),0,VLOOKUP(A66,'Données projet'!$A$113:$I$133,4,0))</f>
        <v>71.123076923076923</v>
      </c>
      <c r="CH66" s="16">
        <f>IF(ISNA(VLOOKUP(A66,'Données projet'!$A$113:$I$133,5,0)),0%,VLOOKUP(A66,'Données projet'!$A$113:$I$133,5,0)*VLOOKUP('Données projet'!$B$12,Paramètres!$A$1:$I$89,7,0))</f>
        <v>0.38500000000000001</v>
      </c>
      <c r="CI66" s="16">
        <f>IF(ISNA(VLOOKUP(A66,'Données projet'!$A$113:$I$133,6,0)),0%,VLOOKUP(A66,'Données projet'!$A$113:$I$133,6,0)*VLOOKUP('Données projet'!$B$12,Paramètres!$A$1:$I$89,7,0))</f>
        <v>9.240000000000001E-2</v>
      </c>
      <c r="CJ66" s="16">
        <f>IF(ISNA(VLOOKUP(A66,'Données projet'!$A$113:$I$133,7,0)),0%,VLOOKUP(A66,'Données projet'!$A$113:$I$133,7,0))</f>
        <v>0.13200000000000001</v>
      </c>
      <c r="CK66" s="21">
        <f>EXP(-LN(2)/35)*CK65+(1-EXP(-LN(2)/35))/(LN(2)/35)*CG66*CH66*VLOOKUP('Données projet'!$B$12,Paramètres!$A$1:$I$89,3,0)*0.475*44/12</f>
        <v>49.255525722471489</v>
      </c>
      <c r="CL66" s="21">
        <f>EXP(-LN(2)/25)*CL65+(1-EXP(-LN(2)/25))/(LN(2)/25)*Calculateur!CG66*Calculateur!CI66*VLOOKUP('Données projet'!$B$12,Paramètres!$A$1:$I$89,3,0)*0.475*44/12</f>
        <v>30.285895506996454</v>
      </c>
      <c r="CM66" s="21">
        <f>EXP(-LN(2)/2)*CM65+(1-EXP(-LN(2)/2))/(LN(2)/2)*CG66*CJ66*VLOOKUP('Données projet'!$B$12,Paramètres!$A$1:$I$89,3,0)*0.475*44/12</f>
        <v>5.5051507187979212</v>
      </c>
      <c r="CN66" s="22">
        <f t="shared" si="12"/>
        <v>85.046571948265864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4.4000000000000004</v>
      </c>
      <c r="CT66" s="12">
        <f>IF('Données projet'!$A$140&gt;35,CT65+CS66-DB65,IF(A66&lt;'Données projet'!$A$140,$CQ$205^A66,IF(A66='Données projet'!$A$140,'Données projet'!$B$140,CT65+CS66-DB65)))</f>
        <v>246.19999999999985</v>
      </c>
      <c r="CU66" s="17">
        <f>CT66*VLOOKUP('Données projet'!$B$13,Paramètres!$A$1:$I$89,3,0)*VLOOKUP('Données projet'!$B$13,Paramètres!$A$1:$I$89,5,0)</f>
        <v>180.5138399999999</v>
      </c>
      <c r="CV66" s="13">
        <f t="shared" si="41"/>
        <v>45.43648712647358</v>
      </c>
      <c r="CW66" s="20">
        <f t="shared" si="13"/>
        <v>393.53015307860801</v>
      </c>
      <c r="CX66" s="59">
        <f t="shared" si="14"/>
        <v>686.86348641194127</v>
      </c>
      <c r="CY66" s="59">
        <f ca="1">AVERAGE(OFFSET($CX$3,0,0,'Données projet'!$E$13+1,1))-AVERAGE(OFFSET($H$3,0,0,'Données projet'!$E$13+1,1))</f>
        <v>198.78436129430389</v>
      </c>
      <c r="CZ66" s="59">
        <f t="shared" si="42"/>
        <v>198.28846462484438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16.293353959183655</v>
      </c>
      <c r="DG66" s="21">
        <f>EXP(-LN(2)/25)*DG65+(1-EXP(-LN(2)/25))/(LN(2)/25)*Calculateur!DB66*Calculateur!DD66*VLOOKUP('Données projet'!$B$13,Paramètres!$A$1:$I$89,3,0)*0.475*44/12</f>
        <v>8.1346283562512305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24.427982315434885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274.57619581652199</v>
      </c>
      <c r="T67" s="59">
        <f t="shared" si="34"/>
        <v>366.15117322598775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278.21846622758881</v>
      </c>
      <c r="AO67" s="59">
        <f t="shared" si="36"/>
        <v>245.37578316242906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7.2728205128205143</v>
      </c>
      <c r="BD67" s="12">
        <f>IF('Données projet'!$A$88&gt;35,BD66+BC67-BL66,IF(A67&lt;'Données projet'!$A$88,$BA$205^A67,IF(A67='Données projet'!$A$88,'Données projet'!$B$88,BD66+BC67-BL66)))</f>
        <v>289.54769230769205</v>
      </c>
      <c r="BE67" s="13">
        <f>BD67*VLOOKUP('Données projet'!$B$11,Paramètres!$A$1:$I$89,3,0)*VLOOKUP('Données projet'!$B$11,Paramètres!$A$1:$I$89,5,0)</f>
        <v>173.14951999999985</v>
      </c>
      <c r="BF67" s="13">
        <f t="shared" si="37"/>
        <v>43.79465590491786</v>
      </c>
      <c r="BG67" s="20">
        <f t="shared" si="7"/>
        <v>377.84443970106491</v>
      </c>
      <c r="BH67" s="59">
        <f t="shared" si="8"/>
        <v>671.17777303439823</v>
      </c>
      <c r="BI67" s="59">
        <f ca="1">AVERAGE(OFFSET($BH$3,0,0,'Données projet'!$E$11+1,1))-AVERAGE(OFFSET($H$3,0,0,'Données projet'!$E$11+1,1))</f>
        <v>187.18641061466138</v>
      </c>
      <c r="BJ67" s="59">
        <f t="shared" si="38"/>
        <v>143.07246221325369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2.1374698842283455</v>
      </c>
      <c r="BQ67" s="21">
        <f>EXP(-LN(2)/25)*BQ66+(1-EXP(-LN(2)/25))/(LN(2)/25)*Calculateur!BL67*Calculateur!BN67*VLOOKUP('Données projet'!$B$11,Paramètres!$A$1:$I$89,3,0)*0.475*44/12</f>
        <v>18.771003261550668</v>
      </c>
      <c r="BR67" s="21">
        <f>EXP(-LN(2)/2)*BR66+(1-EXP(-LN(2)/2))/(LN(2)/2)*BL67*BO67*VLOOKUP('Données projet'!$B$11,Paramètres!$A$1:$I$89,3,0)*0.475*44/12</f>
        <v>0.52961436252903071</v>
      </c>
      <c r="BS67" s="22">
        <f t="shared" si="9"/>
        <v>21.438087508308044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13.737499999999997</v>
      </c>
      <c r="BY67" s="12">
        <f>IF('Données projet'!$A$114&gt;35,BY66+BX67-CG66,IF(A67&lt;'Données projet'!$A$114,$BV$205^A67,IF(A67='Données projet'!$A$114,'Données projet'!$B$114,BY66+BX67-CG66)))</f>
        <v>317.79134615384612</v>
      </c>
      <c r="BZ67" s="13">
        <f>BY67*VLOOKUP('Données projet'!$B$12,Paramètres!$A$1:$I$89,3,0)*VLOOKUP('Données projet'!$B$12,Paramètres!$A$1:$I$89,5,0)</f>
        <v>148.72635</v>
      </c>
      <c r="CA67" s="13">
        <f t="shared" si="39"/>
        <v>38.289000598915827</v>
      </c>
      <c r="CB67" s="20">
        <f t="shared" si="10"/>
        <v>325.71840229311169</v>
      </c>
      <c r="CC67" s="59">
        <f t="shared" si="11"/>
        <v>619.05173562644495</v>
      </c>
      <c r="CD67" s="59">
        <f ca="1">AVERAGE(OFFSET($CC$3,0,0,'Données projet'!$E$12+1,1))-AVERAGE(OFFSET($H$3,0,0,'Données projet'!$E$12+1,1))</f>
        <v>198.17898804494365</v>
      </c>
      <c r="CE67" s="59">
        <f t="shared" si="40"/>
        <v>186.24772922797723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48.289654905958024</v>
      </c>
      <c r="CL67" s="21">
        <f>EXP(-LN(2)/25)*CL66+(1-EXP(-LN(2)/25))/(LN(2)/25)*Calculateur!CG67*Calculateur!CI67*VLOOKUP('Données projet'!$B$12,Paramètres!$A$1:$I$89,3,0)*0.475*44/12</f>
        <v>29.457726101691609</v>
      </c>
      <c r="CM67" s="21">
        <f>EXP(-LN(2)/2)*CM66+(1-EXP(-LN(2)/2))/(LN(2)/2)*CG67*CJ67*VLOOKUP('Données projet'!$B$12,Paramètres!$A$1:$I$89,3,0)*0.475*44/12</f>
        <v>3.8927294047160066</v>
      </c>
      <c r="CN67" s="22">
        <f t="shared" si="12"/>
        <v>81.640110412365644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4.4000000000000004</v>
      </c>
      <c r="CT67" s="12">
        <f>IF('Données projet'!$A$140&gt;35,CT66+CS67-DB66,IF(A67&lt;'Données projet'!$A$140,$CQ$205^A67,IF(A67='Données projet'!$A$140,'Données projet'!$B$140,CT66+CS67-DB66)))</f>
        <v>250.59999999999985</v>
      </c>
      <c r="CU67" s="17">
        <f>CT67*VLOOKUP('Données projet'!$B$13,Paramètres!$A$1:$I$89,3,0)*VLOOKUP('Données projet'!$B$13,Paramètres!$A$1:$I$89,5,0)</f>
        <v>183.7399199999999</v>
      </c>
      <c r="CV67" s="13">
        <f t="shared" si="41"/>
        <v>46.153250992914103</v>
      </c>
      <c r="CW67" s="20">
        <f t="shared" si="13"/>
        <v>400.39727281265851</v>
      </c>
      <c r="CX67" s="59">
        <f t="shared" si="14"/>
        <v>693.73060614599183</v>
      </c>
      <c r="CY67" s="59">
        <f ca="1">AVERAGE(OFFSET($CX$3,0,0,'Données projet'!$E$13+1,1))-AVERAGE(OFFSET($H$3,0,0,'Données projet'!$E$13+1,1))</f>
        <v>198.78436129430389</v>
      </c>
      <c r="CZ67" s="59">
        <f t="shared" si="42"/>
        <v>198.28846462484438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15.973851226008685</v>
      </c>
      <c r="DG67" s="21">
        <f>EXP(-LN(2)/25)*DG66+(1-EXP(-LN(2)/25))/(LN(2)/25)*Calculateur!DB67*Calculateur!DD67*VLOOKUP('Données projet'!$B$13,Paramètres!$A$1:$I$89,3,0)*0.475*44/12</f>
        <v>7.9121865160680276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23.886037742076713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274.57619581652199</v>
      </c>
      <c r="T68" s="59">
        <f t="shared" si="34"/>
        <v>366.15117322598775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57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278.21846622758881</v>
      </c>
      <c r="AO68" s="59">
        <f t="shared" si="36"/>
        <v>245.37578316242906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7.2728205128205143</v>
      </c>
      <c r="BD68" s="12">
        <f>IF('Données projet'!$A$88&gt;35,BD67+BC68-BL67,IF(A68&lt;'Données projet'!$A$88,$BA$205^A68,IF(A68='Données projet'!$A$88,'Données projet'!$B$88,BD67+BC68-BL67)))</f>
        <v>296.82051282051253</v>
      </c>
      <c r="BE68" s="13">
        <f>BD68*VLOOKUP('Données projet'!$B$11,Paramètres!$A$1:$I$89,3,0)*VLOOKUP('Données projet'!$B$11,Paramètres!$A$1:$I$89,5,0)</f>
        <v>177.49866666666654</v>
      </c>
      <c r="BF68" s="13">
        <f t="shared" si="37"/>
        <v>44.765233161606211</v>
      </c>
      <c r="BG68" s="20">
        <f t="shared" ref="BG68:BG131" si="61">(BE68+BF68)*0.475*44/12</f>
        <v>387.10962553424162</v>
      </c>
      <c r="BH68" s="59">
        <f t="shared" ref="BH68:BH131" si="62">BG68+(AY68+AZ68)*44/12</f>
        <v>680.44295886757493</v>
      </c>
      <c r="BI68" s="59">
        <f ca="1">AVERAGE(OFFSET($BH$3,0,0,'Données projet'!$E$11+1,1))-AVERAGE(OFFSET($H$3,0,0,'Données projet'!$E$11+1,1))</f>
        <v>187.18641061466138</v>
      </c>
      <c r="BJ68" s="59">
        <f t="shared" si="38"/>
        <v>143.07246221325369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2.0955554035265247</v>
      </c>
      <c r="BQ68" s="21">
        <f>EXP(-LN(2)/25)*BQ67+(1-EXP(-LN(2)/25))/(LN(2)/25)*Calculateur!BL68*Calculateur!BN68*VLOOKUP('Données projet'!$B$11,Paramètres!$A$1:$I$89,3,0)*0.475*44/12</f>
        <v>18.257709190239403</v>
      </c>
      <c r="BR68" s="21">
        <f>EXP(-LN(2)/2)*BR67+(1-EXP(-LN(2)/2))/(LN(2)/2)*BL68*BO68*VLOOKUP('Données projet'!$B$11,Paramètres!$A$1:$I$89,3,0)*0.475*44/12</f>
        <v>0.37449390715806818</v>
      </c>
      <c r="BS68" s="22">
        <f t="shared" ref="BS68:BS131" si="63">SUM(BP68:BR68)</f>
        <v>20.727758500923997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13.737499999999997</v>
      </c>
      <c r="BY68" s="12">
        <f>IF('Données projet'!$A$114&gt;35,BY67+BX68-CG67,IF(A68&lt;'Données projet'!$A$114,$BV$205^A68,IF(A68='Données projet'!$A$114,'Données projet'!$B$114,BY67+BX68-CG67)))</f>
        <v>331.52884615384613</v>
      </c>
      <c r="BZ68" s="13">
        <f>BY68*VLOOKUP('Données projet'!$B$12,Paramètres!$A$1:$I$89,3,0)*VLOOKUP('Données projet'!$B$12,Paramètres!$A$1:$I$89,5,0)</f>
        <v>155.15549999999999</v>
      </c>
      <c r="CA68" s="13">
        <f t="shared" si="39"/>
        <v>39.74787733410745</v>
      </c>
      <c r="CB68" s="20">
        <f t="shared" ref="CB68:CB131" si="64">(BZ68+CA68)*0.475*44/12</f>
        <v>339.45671552357044</v>
      </c>
      <c r="CC68" s="59">
        <f t="shared" ref="CC68:CC131" si="65">CB68+(BT68+BU68)*44/12</f>
        <v>632.7900488569037</v>
      </c>
      <c r="CD68" s="59">
        <f ca="1">AVERAGE(OFFSET($CC$3,0,0,'Données projet'!$E$12+1,1))-AVERAGE(OFFSET($H$3,0,0,'Données projet'!$E$12+1,1))</f>
        <v>198.17898804494365</v>
      </c>
      <c r="CE68" s="59">
        <f t="shared" si="40"/>
        <v>186.24772922797723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47.342724227033358</v>
      </c>
      <c r="CL68" s="21">
        <f>EXP(-LN(2)/25)*CL67+(1-EXP(-LN(2)/25))/(LN(2)/25)*Calculateur!CG68*Calculateur!CI68*VLOOKUP('Données projet'!$B$12,Paramètres!$A$1:$I$89,3,0)*0.475*44/12</f>
        <v>28.652203032326362</v>
      </c>
      <c r="CM68" s="21">
        <f>EXP(-LN(2)/2)*CM67+(1-EXP(-LN(2)/2))/(LN(2)/2)*CG68*CJ68*VLOOKUP('Données projet'!$B$12,Paramètres!$A$1:$I$89,3,0)*0.475*44/12</f>
        <v>2.752575359398961</v>
      </c>
      <c r="CN68" s="22">
        <f t="shared" ref="CN68:CN131" si="66">SUM(CK68:CM68)</f>
        <v>78.747502618758674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255</v>
      </c>
      <c r="CR68" s="12">
        <f>VLOOKUP(A68,'Données projet'!$A$139:$I$159,9,0)</f>
        <v>4.4000000000000004</v>
      </c>
      <c r="CS68" s="12">
        <f t="array" ref="CS68">INDEX(CR:CR,MIN(IF(ISNUMBER(CR68:CR264),ROW(CR68:CR264),"")))</f>
        <v>4.4000000000000004</v>
      </c>
      <c r="CT68" s="12">
        <f>IF('Données projet'!$A$140&gt;35,CT67+CS68-DB67,IF(A68&lt;'Données projet'!$A$140,$CQ$205^A68,IF(A68='Données projet'!$A$140,'Données projet'!$B$140,CT67+CS68-DB67)))</f>
        <v>254.99999999999986</v>
      </c>
      <c r="CU68" s="17">
        <f>CT68*VLOOKUP('Données projet'!$B$13,Paramètres!$A$1:$I$89,3,0)*VLOOKUP('Données projet'!$B$13,Paramètres!$A$1:$I$89,5,0)</f>
        <v>186.96599999999989</v>
      </c>
      <c r="CV68" s="13">
        <f t="shared" si="41"/>
        <v>46.868551400324606</v>
      </c>
      <c r="CW68" s="20">
        <f t="shared" ref="CW68:CW131" si="67">(CU68+CV68)*0.475*44/12</f>
        <v>407.26184368889852</v>
      </c>
      <c r="CX68" s="59">
        <f t="shared" ref="CX68:CX131" si="68">CW68+(CO68+CP68)*44/12</f>
        <v>700.59517702223184</v>
      </c>
      <c r="CY68" s="59">
        <f ca="1">AVERAGE(OFFSET($CX$3,0,0,'Données projet'!$E$13+1,1))-AVERAGE(OFFSET($H$3,0,0,'Données projet'!$E$13+1,1))</f>
        <v>198.78436129430389</v>
      </c>
      <c r="CZ68" s="59">
        <f t="shared" si="42"/>
        <v>198.28846462484438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11</v>
      </c>
      <c r="DC68" s="16">
        <f>IF(ISNA(VLOOKUP(A68,'Données projet'!$A$139:$I$159,5,0)),0%,VLOOKUP(A68,'Données projet'!$A$139:$I$159,5,0)*VLOOKUP('Données projet'!$B$13,Paramètres!$A$1:$I$89,7,0))</f>
        <v>0.35259999999999997</v>
      </c>
      <c r="DD68" s="16">
        <f>IF(ISNA(VLOOKUP(A68,'Données projet'!$A$139:$I$159,6,0)),0%,VLOOKUP(A68,'Données projet'!$A$139:$I$159,6,0)*VLOOKUP('Données projet'!$B$13,Paramètres!$A$1:$I$89,7,0))</f>
        <v>3.8699999999999998E-2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18.804338826540079</v>
      </c>
      <c r="DG68" s="21">
        <f>EXP(-LN(2)/25)*DG67+(1-EXP(-LN(2)/25))/(LN(2)/25)*Calculateur!DB68*Calculateur!DD68*VLOOKUP('Données projet'!$B$13,Paramètres!$A$1:$I$89,3,0)*0.475*44/12</f>
        <v>8.039511790536956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26.843850617077035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274.57619581652199</v>
      </c>
      <c r="T69" s="59">
        <f t="shared" ref="T69:T132" si="88">$T$3</f>
        <v>366.15117322598775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57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278.21846622758881</v>
      </c>
      <c r="AO69" s="59">
        <f t="shared" ref="AO69:AO132" si="90">$AO$3</f>
        <v>245.37578316242906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7.2728205128205143</v>
      </c>
      <c r="BD69" s="12">
        <f>IF('Données projet'!$A$88&gt;35,BD68+BC69-BL68,IF(A69&lt;'Données projet'!$A$88,$BA$205^A69,IF(A69='Données projet'!$A$88,'Données projet'!$B$88,BD68+BC69-BL68)))</f>
        <v>304.09333333333302</v>
      </c>
      <c r="BE69" s="13">
        <f>BD69*VLOOKUP('Données projet'!$B$11,Paramètres!$A$1:$I$89,3,0)*VLOOKUP('Données projet'!$B$11,Paramètres!$A$1:$I$89,5,0)</f>
        <v>181.84781333333316</v>
      </c>
      <c r="BF69" s="13">
        <f t="shared" ref="BF69:BF132" si="91">EXP(-1.0587+0.8836*LN(BE69)+0.284)</f>
        <v>45.733045904230572</v>
      </c>
      <c r="BG69" s="20">
        <f t="shared" si="61"/>
        <v>396.36999650542356</v>
      </c>
      <c r="BH69" s="59">
        <f t="shared" si="62"/>
        <v>689.70332983875687</v>
      </c>
      <c r="BI69" s="59">
        <f ca="1">AVERAGE(OFFSET($BH$3,0,0,'Données projet'!$E$11+1,1))-AVERAGE(OFFSET($H$3,0,0,'Données projet'!$E$11+1,1))</f>
        <v>187.18641061466138</v>
      </c>
      <c r="BJ69" s="59">
        <f t="shared" ref="BJ69:BJ132" si="92">$BJ$3</f>
        <v>143.07246221325369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2.0544628402259577</v>
      </c>
      <c r="BQ69" s="21">
        <f>EXP(-LN(2)/25)*BQ68+(1-EXP(-LN(2)/25))/(LN(2)/25)*Calculateur!BL69*Calculateur!BN69*VLOOKUP('Données projet'!$B$11,Paramètres!$A$1:$I$89,3,0)*0.475*44/12</f>
        <v>17.758451172301108</v>
      </c>
      <c r="BR69" s="21">
        <f>EXP(-LN(2)/2)*BR68+(1-EXP(-LN(2)/2))/(LN(2)/2)*BL69*BO69*VLOOKUP('Données projet'!$B$11,Paramètres!$A$1:$I$89,3,0)*0.475*44/12</f>
        <v>0.26480718126451536</v>
      </c>
      <c r="BS69" s="22">
        <f t="shared" si="63"/>
        <v>20.077721193791582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13.737499999999997</v>
      </c>
      <c r="BY69" s="12">
        <f>IF('Données projet'!$A$114&gt;35,BY68+BX69-CG68,IF(A69&lt;'Données projet'!$A$114,$BV$205^A69,IF(A69='Données projet'!$A$114,'Données projet'!$B$114,BY68+BX69-CG68)))</f>
        <v>345.26634615384614</v>
      </c>
      <c r="BZ69" s="13">
        <f>BY69*VLOOKUP('Données projet'!$B$12,Paramètres!$A$1:$I$89,3,0)*VLOOKUP('Données projet'!$B$12,Paramètres!$A$1:$I$89,5,0)</f>
        <v>161.58464999999998</v>
      </c>
      <c r="CA69" s="13">
        <f t="shared" ref="CA69:CA132" si="93">EXP(-1.0587+0.8836*LN(BZ69)+0.284)</f>
        <v>41.199732368807574</v>
      </c>
      <c r="CB69" s="20">
        <f t="shared" si="64"/>
        <v>353.18279929233978</v>
      </c>
      <c r="CC69" s="59">
        <f t="shared" si="65"/>
        <v>646.51613262567309</v>
      </c>
      <c r="CD69" s="59">
        <f ca="1">AVERAGE(OFFSET($CC$3,0,0,'Données projet'!$E$12+1,1))-AVERAGE(OFFSET($H$3,0,0,'Données projet'!$E$12+1,1))</f>
        <v>198.17898804494365</v>
      </c>
      <c r="CE69" s="59">
        <f t="shared" ref="CE69:CE132" si="94">$CE$3</f>
        <v>186.24772922797723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46.414362281151725</v>
      </c>
      <c r="CL69" s="21">
        <f>EXP(-LN(2)/25)*CL68+(1-EXP(-LN(2)/25))/(LN(2)/25)*Calculateur!CG69*Calculateur!CI69*VLOOKUP('Données projet'!$B$12,Paramètres!$A$1:$I$89,3,0)*0.475*44/12</f>
        <v>27.868707033653525</v>
      </c>
      <c r="CM69" s="21">
        <f>EXP(-LN(2)/2)*CM68+(1-EXP(-LN(2)/2))/(LN(2)/2)*CG69*CJ69*VLOOKUP('Données projet'!$B$12,Paramètres!$A$1:$I$89,3,0)*0.475*44/12</f>
        <v>1.9463647023580037</v>
      </c>
      <c r="CN69" s="22">
        <f t="shared" si="66"/>
        <v>76.229434017163243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3.8</v>
      </c>
      <c r="CT69" s="12">
        <f>IF('Données projet'!$A$140&gt;35,CT68+CS69-DB68,IF(A69&lt;'Données projet'!$A$140,$CQ$205^A69,IF(A69='Données projet'!$A$140,'Données projet'!$B$140,CT68+CS69-DB68)))</f>
        <v>247.79999999999984</v>
      </c>
      <c r="CU69" s="17">
        <f>CT69*VLOOKUP('Données projet'!$B$13,Paramètres!$A$1:$I$89,3,0)*VLOOKUP('Données projet'!$B$13,Paramètres!$A$1:$I$89,5,0)</f>
        <v>181.68695999999989</v>
      </c>
      <c r="CV69" s="13">
        <f t="shared" ref="CV69:CV132" si="95">EXP(-1.0587+0.8836*LN(CU69)+0.284)</f>
        <v>45.697299679537338</v>
      </c>
      <c r="CW69" s="20">
        <f t="shared" si="67"/>
        <v>396.02758560852732</v>
      </c>
      <c r="CX69" s="59">
        <f t="shared" si="68"/>
        <v>689.36091894186063</v>
      </c>
      <c r="CY69" s="59">
        <f ca="1">AVERAGE(OFFSET($CX$3,0,0,'Données projet'!$E$13+1,1))-AVERAGE(OFFSET($H$3,0,0,'Données projet'!$E$13+1,1))</f>
        <v>198.78436129430389</v>
      </c>
      <c r="CZ69" s="59">
        <f t="shared" ref="CZ69:CZ132" si="96">$CZ$3</f>
        <v>198.28846462484438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18.43559721166579</v>
      </c>
      <c r="DG69" s="21">
        <f>EXP(-LN(2)/25)*DG68+(1-EXP(-LN(2)/25))/(LN(2)/25)*Calculateur!DB69*Calculateur!DD69*VLOOKUP('Données projet'!$B$13,Paramètres!$A$1:$I$89,3,0)*0.475*44/12</f>
        <v>7.8196709178451727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26.255268129510963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274.57619581652199</v>
      </c>
      <c r="T70" s="59">
        <f t="shared" si="88"/>
        <v>366.15117322598775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57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278.21846622758881</v>
      </c>
      <c r="AO70" s="59">
        <f t="shared" si="90"/>
        <v>245.37578316242906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7.2728205128205143</v>
      </c>
      <c r="BD70" s="12">
        <f>IF('Données projet'!$A$88&gt;35,BD69+BC70-BL69,IF(A70&lt;'Données projet'!$A$88,$BA$205^A70,IF(A70='Données projet'!$A$88,'Données projet'!$B$88,BD69+BC70-BL69)))</f>
        <v>311.36615384615351</v>
      </c>
      <c r="BE70" s="13">
        <f>BD70*VLOOKUP('Données projet'!$B$11,Paramètres!$A$1:$I$89,3,0)*VLOOKUP('Données projet'!$B$11,Paramètres!$A$1:$I$89,5,0)</f>
        <v>186.19695999999979</v>
      </c>
      <c r="BF70" s="13">
        <f t="shared" si="91"/>
        <v>46.698167857650702</v>
      </c>
      <c r="BG70" s="20">
        <f t="shared" si="61"/>
        <v>405.62568101874126</v>
      </c>
      <c r="BH70" s="59">
        <f t="shared" si="62"/>
        <v>698.95901435207452</v>
      </c>
      <c r="BI70" s="59">
        <f ca="1">AVERAGE(OFFSET($BH$3,0,0,'Données projet'!$E$11+1,1))-AVERAGE(OFFSET($H$3,0,0,'Données projet'!$E$11+1,1))</f>
        <v>187.18641061466138</v>
      </c>
      <c r="BJ70" s="59">
        <f t="shared" si="92"/>
        <v>143.07246221325369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2.0141760770277259</v>
      </c>
      <c r="BQ70" s="21">
        <f>EXP(-LN(2)/25)*BQ69+(1-EXP(-LN(2)/25))/(LN(2)/25)*Calculateur!BL70*Calculateur!BN70*VLOOKUP('Données projet'!$B$11,Paramètres!$A$1:$I$89,3,0)*0.475*44/12</f>
        <v>17.272845391118175</v>
      </c>
      <c r="BR70" s="21">
        <f>EXP(-LN(2)/2)*BR69+(1-EXP(-LN(2)/2))/(LN(2)/2)*BL70*BO70*VLOOKUP('Données projet'!$B$11,Paramètres!$A$1:$I$89,3,0)*0.475*44/12</f>
        <v>0.18724695357903409</v>
      </c>
      <c r="BS70" s="22">
        <f t="shared" si="63"/>
        <v>19.474268421724936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13.737499999999997</v>
      </c>
      <c r="BY70" s="12">
        <f>IF('Données projet'!$A$114&gt;35,BY69+BX70-CG69,IF(A70&lt;'Données projet'!$A$114,$BV$205^A70,IF(A70='Données projet'!$A$114,'Données projet'!$B$114,BY69+BX70-CG69)))</f>
        <v>359.00384615384615</v>
      </c>
      <c r="BZ70" s="13">
        <f>BY70*VLOOKUP('Données projet'!$B$12,Paramètres!$A$1:$I$89,3,0)*VLOOKUP('Données projet'!$B$12,Paramètres!$A$1:$I$89,5,0)</f>
        <v>168.0138</v>
      </c>
      <c r="CA70" s="13">
        <f t="shared" si="93"/>
        <v>42.644877049412187</v>
      </c>
      <c r="CB70" s="20">
        <f t="shared" si="64"/>
        <v>366.89719586105952</v>
      </c>
      <c r="CC70" s="59">
        <f t="shared" si="65"/>
        <v>660.23052919439283</v>
      </c>
      <c r="CD70" s="59">
        <f ca="1">AVERAGE(OFFSET($CC$3,0,0,'Données projet'!$E$12+1,1))-AVERAGE(OFFSET($H$3,0,0,'Données projet'!$E$12+1,1))</f>
        <v>198.17898804494365</v>
      </c>
      <c r="CE70" s="59">
        <f t="shared" si="94"/>
        <v>186.24772922797723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45.50420494678395</v>
      </c>
      <c r="CL70" s="21">
        <f>EXP(-LN(2)/25)*CL69+(1-EXP(-LN(2)/25))/(LN(2)/25)*Calculateur!CG70*Calculateur!CI70*VLOOKUP('Données projet'!$B$12,Paramètres!$A$1:$I$89,3,0)*0.475*44/12</f>
        <v>27.10663577426666</v>
      </c>
      <c r="CM70" s="21">
        <f>EXP(-LN(2)/2)*CM69+(1-EXP(-LN(2)/2))/(LN(2)/2)*CG70*CJ70*VLOOKUP('Données projet'!$B$12,Paramètres!$A$1:$I$89,3,0)*0.475*44/12</f>
        <v>1.3762876796994807</v>
      </c>
      <c r="CN70" s="22">
        <f t="shared" si="66"/>
        <v>73.987128400750095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3.8</v>
      </c>
      <c r="CT70" s="12">
        <f>IF('Données projet'!$A$140&gt;35,CT69+CS70-DB69,IF(A70&lt;'Données projet'!$A$140,$CQ$205^A70,IF(A70='Données projet'!$A$140,'Données projet'!$B$140,CT69+CS70-DB69)))</f>
        <v>251.59999999999985</v>
      </c>
      <c r="CU70" s="17">
        <f>CT70*VLOOKUP('Données projet'!$B$13,Paramètres!$A$1:$I$89,3,0)*VLOOKUP('Données projet'!$B$13,Paramètres!$A$1:$I$89,5,0)</f>
        <v>184.47311999999988</v>
      </c>
      <c r="CV70" s="13">
        <f t="shared" si="95"/>
        <v>46.315946745200115</v>
      </c>
      <c r="CW70" s="20">
        <f t="shared" si="67"/>
        <v>401.95762458122334</v>
      </c>
      <c r="CX70" s="59">
        <f t="shared" si="68"/>
        <v>695.29095791455666</v>
      </c>
      <c r="CY70" s="59">
        <f ca="1">AVERAGE(OFFSET($CX$3,0,0,'Données projet'!$E$13+1,1))-AVERAGE(OFFSET($H$3,0,0,'Données projet'!$E$13+1,1))</f>
        <v>198.78436129430389</v>
      </c>
      <c r="CZ70" s="59">
        <f t="shared" si="96"/>
        <v>198.28846462484438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18.07408639494901</v>
      </c>
      <c r="DG70" s="21">
        <f>EXP(-LN(2)/25)*DG69+(1-EXP(-LN(2)/25))/(LN(2)/25)*Calculateur!DB70*Calculateur!DD70*VLOOKUP('Données projet'!$B$13,Paramètres!$A$1:$I$89,3,0)*0.475*44/12</f>
        <v>7.6058416053780746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25.679928000327084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274.57619581652199</v>
      </c>
      <c r="T71" s="59">
        <f t="shared" si="88"/>
        <v>366.15117322598775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57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278.21846622758881</v>
      </c>
      <c r="AO71" s="59">
        <f t="shared" si="90"/>
        <v>245.37578316242906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7.2728205128205143</v>
      </c>
      <c r="BD71" s="12">
        <f>IF('Données projet'!$A$88&gt;35,BD70+BC71-BL70,IF(A71&lt;'Données projet'!$A$88,$BA$205^A71,IF(A71='Données projet'!$A$88,'Données projet'!$B$88,BD70+BC71-BL70)))</f>
        <v>318.638974358974</v>
      </c>
      <c r="BE71" s="13">
        <f>BD71*VLOOKUP('Données projet'!$B$11,Paramètres!$A$1:$I$89,3,0)*VLOOKUP('Données projet'!$B$11,Paramètres!$A$1:$I$89,5,0)</f>
        <v>190.54610666666647</v>
      </c>
      <c r="BF71" s="13">
        <f t="shared" si="91"/>
        <v>47.660669106136346</v>
      </c>
      <c r="BG71" s="20">
        <f t="shared" si="61"/>
        <v>414.8768011376315</v>
      </c>
      <c r="BH71" s="59">
        <f t="shared" si="62"/>
        <v>708.21013447096482</v>
      </c>
      <c r="BI71" s="59">
        <f ca="1">AVERAGE(OFFSET($BH$3,0,0,'Données projet'!$E$11+1,1))-AVERAGE(OFFSET($H$3,0,0,'Données projet'!$E$11+1,1))</f>
        <v>187.18641061466138</v>
      </c>
      <c r="BJ71" s="59">
        <f t="shared" si="92"/>
        <v>143.07246221325369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1.9746793126833124</v>
      </c>
      <c r="BQ71" s="21">
        <f>EXP(-LN(2)/25)*BQ70+(1-EXP(-LN(2)/25))/(LN(2)/25)*Calculateur!BL71*Calculateur!BN71*VLOOKUP('Données projet'!$B$11,Paramètres!$A$1:$I$89,3,0)*0.475*44/12</f>
        <v>16.800518525558587</v>
      </c>
      <c r="BR71" s="21">
        <f>EXP(-LN(2)/2)*BR70+(1-EXP(-LN(2)/2))/(LN(2)/2)*BL71*BO71*VLOOKUP('Données projet'!$B$11,Paramètres!$A$1:$I$89,3,0)*0.475*44/12</f>
        <v>0.13240359063225768</v>
      </c>
      <c r="BS71" s="22">
        <f t="shared" si="63"/>
        <v>18.907601428874159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13.737499999999997</v>
      </c>
      <c r="BY71" s="12">
        <f>IF('Données projet'!$A$114&gt;35,BY70+BX71-CG70,IF(A71&lt;'Données projet'!$A$114,$BV$205^A71,IF(A71='Données projet'!$A$114,'Données projet'!$B$114,BY70+BX71-CG70)))</f>
        <v>372.74134615384617</v>
      </c>
      <c r="BZ71" s="13">
        <f>BY71*VLOOKUP('Données projet'!$B$12,Paramètres!$A$1:$I$89,3,0)*VLOOKUP('Données projet'!$B$12,Paramètres!$A$1:$I$89,5,0)</f>
        <v>174.44295000000002</v>
      </c>
      <c r="CA71" s="13">
        <f t="shared" si="93"/>
        <v>44.083597545116064</v>
      </c>
      <c r="CB71" s="20">
        <f t="shared" si="64"/>
        <v>380.60040364107721</v>
      </c>
      <c r="CC71" s="59">
        <f t="shared" si="65"/>
        <v>673.93373697441052</v>
      </c>
      <c r="CD71" s="59">
        <f ca="1">AVERAGE(OFFSET($CC$3,0,0,'Données projet'!$E$12+1,1))-AVERAGE(OFFSET($H$3,0,0,'Données projet'!$E$12+1,1))</f>
        <v>198.17898804494365</v>
      </c>
      <c r="CE71" s="59">
        <f t="shared" si="94"/>
        <v>186.24772922797723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44.611895242601975</v>
      </c>
      <c r="CL71" s="21">
        <f>EXP(-LN(2)/25)*CL70+(1-EXP(-LN(2)/25))/(LN(2)/25)*Calculateur!CG71*Calculateur!CI71*VLOOKUP('Données projet'!$B$12,Paramètres!$A$1:$I$89,3,0)*0.475*44/12</f>
        <v>26.365403393543318</v>
      </c>
      <c r="CM71" s="21">
        <f>EXP(-LN(2)/2)*CM70+(1-EXP(-LN(2)/2))/(LN(2)/2)*CG71*CJ71*VLOOKUP('Données projet'!$B$12,Paramètres!$A$1:$I$89,3,0)*0.475*44/12</f>
        <v>0.97318235117900198</v>
      </c>
      <c r="CN71" s="22">
        <f t="shared" si="66"/>
        <v>71.950480987324298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3.8</v>
      </c>
      <c r="CT71" s="12">
        <f>IF('Données projet'!$A$140&gt;35,CT70+CS71-DB70,IF(A71&lt;'Données projet'!$A$140,$CQ$205^A71,IF(A71='Données projet'!$A$140,'Données projet'!$B$140,CT70+CS71-DB70)))</f>
        <v>255.39999999999986</v>
      </c>
      <c r="CU71" s="17">
        <f>CT71*VLOOKUP('Données projet'!$B$13,Paramètres!$A$1:$I$89,3,0)*VLOOKUP('Données projet'!$B$13,Paramètres!$A$1:$I$89,5,0)</f>
        <v>187.2592799999999</v>
      </c>
      <c r="CV71" s="13">
        <f t="shared" si="95"/>
        <v>46.933507123390406</v>
      </c>
      <c r="CW71" s="20">
        <f t="shared" si="67"/>
        <v>407.88577090657145</v>
      </c>
      <c r="CX71" s="59">
        <f t="shared" si="68"/>
        <v>701.21910423990471</v>
      </c>
      <c r="CY71" s="59">
        <f ca="1">AVERAGE(OFFSET($CX$3,0,0,'Données projet'!$E$13+1,1))-AVERAGE(OFFSET($H$3,0,0,'Données projet'!$E$13+1,1))</f>
        <v>198.78436129430389</v>
      </c>
      <c r="CZ71" s="59">
        <f t="shared" si="96"/>
        <v>198.28846462484438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17.719664584848221</v>
      </c>
      <c r="DG71" s="21">
        <f>EXP(-LN(2)/25)*DG70+(1-EXP(-LN(2)/25))/(LN(2)/25)*Calculateur!DB71*Calculateur!DD71*VLOOKUP('Données projet'!$B$13,Paramètres!$A$1:$I$89,3,0)*0.475*44/12</f>
        <v>7.3978594667051842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25.117524051553406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274.57619581652199</v>
      </c>
      <c r="T72" s="59">
        <f t="shared" si="88"/>
        <v>366.15117322598775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57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278.21846622758881</v>
      </c>
      <c r="AO72" s="59">
        <f t="shared" si="90"/>
        <v>245.37578316242906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7.2728205128205143</v>
      </c>
      <c r="BD72" s="12">
        <f>IF('Données projet'!$A$88&gt;35,BD71+BC72-BL71,IF(A72&lt;'Données projet'!$A$88,$BA$205^A72,IF(A72='Données projet'!$A$88,'Données projet'!$B$88,BD71+BC72-BL71)))</f>
        <v>325.91179487179448</v>
      </c>
      <c r="BE72" s="13">
        <f>BD72*VLOOKUP('Données projet'!$B$11,Paramètres!$A$1:$I$89,3,0)*VLOOKUP('Données projet'!$B$11,Paramètres!$A$1:$I$89,5,0)</f>
        <v>194.89525333333313</v>
      </c>
      <c r="BF72" s="13">
        <f t="shared" si="91"/>
        <v>48.620616352071245</v>
      </c>
      <c r="BG72" s="20">
        <f t="shared" si="61"/>
        <v>424.12347303541259</v>
      </c>
      <c r="BH72" s="59">
        <f t="shared" si="62"/>
        <v>717.4568063687459</v>
      </c>
      <c r="BI72" s="59">
        <f ca="1">AVERAGE(OFFSET($BH$3,0,0,'Données projet'!$E$11+1,1))-AVERAGE(OFFSET($H$3,0,0,'Données projet'!$E$11+1,1))</f>
        <v>187.18641061466138</v>
      </c>
      <c r="BJ72" s="59">
        <f t="shared" si="92"/>
        <v>143.07246221325369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1.9359570557970454</v>
      </c>
      <c r="BQ72" s="21">
        <f>EXP(-LN(2)/25)*BQ71+(1-EXP(-LN(2)/25))/(LN(2)/25)*Calculateur!BL72*Calculateur!BN72*VLOOKUP('Données projet'!$B$11,Paramètres!$A$1:$I$89,3,0)*0.475*44/12</f>
        <v>16.341107462976318</v>
      </c>
      <c r="BR72" s="21">
        <f>EXP(-LN(2)/2)*BR71+(1-EXP(-LN(2)/2))/(LN(2)/2)*BL72*BO72*VLOOKUP('Données projet'!$B$11,Paramètres!$A$1:$I$89,3,0)*0.475*44/12</f>
        <v>9.3623476789517046E-2</v>
      </c>
      <c r="BS72" s="22">
        <f t="shared" si="63"/>
        <v>18.370687995562882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13.737499999999997</v>
      </c>
      <c r="BY72" s="12">
        <f>IF('Données projet'!$A$114&gt;35,BY71+BX72-CG71,IF(A72&lt;'Données projet'!$A$114,$BV$205^A72,IF(A72='Données projet'!$A$114,'Données projet'!$B$114,BY71+BX72-CG71)))</f>
        <v>386.47884615384618</v>
      </c>
      <c r="BZ72" s="13">
        <f>BY72*VLOOKUP('Données projet'!$B$12,Paramètres!$A$1:$I$89,3,0)*VLOOKUP('Données projet'!$B$12,Paramètres!$A$1:$I$89,5,0)</f>
        <v>180.87209999999999</v>
      </c>
      <c r="CA72" s="13">
        <f t="shared" si="93"/>
        <v>45.516157736157588</v>
      </c>
      <c r="CB72" s="20">
        <f t="shared" si="64"/>
        <v>394.29288222380774</v>
      </c>
      <c r="CC72" s="59">
        <f t="shared" si="65"/>
        <v>687.62621555714099</v>
      </c>
      <c r="CD72" s="59">
        <f ca="1">AVERAGE(OFFSET($CC$3,0,0,'Données projet'!$E$12+1,1))-AVERAGE(OFFSET($H$3,0,0,'Données projet'!$E$12+1,1))</f>
        <v>198.17898804494365</v>
      </c>
      <c r="CE72" s="59">
        <f t="shared" si="94"/>
        <v>186.24772922797723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43.737083187463824</v>
      </c>
      <c r="CL72" s="21">
        <f>EXP(-LN(2)/25)*CL71+(1-EXP(-LN(2)/25))/(LN(2)/25)*Calculateur!CG72*Calculateur!CI72*VLOOKUP('Données projet'!$B$12,Paramètres!$A$1:$I$89,3,0)*0.475*44/12</f>
        <v>25.644440051250569</v>
      </c>
      <c r="CM72" s="21">
        <f>EXP(-LN(2)/2)*CM71+(1-EXP(-LN(2)/2))/(LN(2)/2)*CG72*CJ72*VLOOKUP('Données projet'!$B$12,Paramètres!$A$1:$I$89,3,0)*0.475*44/12</f>
        <v>0.68814383984974048</v>
      </c>
      <c r="CN72" s="22">
        <f t="shared" si="66"/>
        <v>70.069667078564137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3.8</v>
      </c>
      <c r="CT72" s="12">
        <f>IF('Données projet'!$A$140&gt;35,CT71+CS72-DB71,IF(A72&lt;'Données projet'!$A$140,$CQ$205^A72,IF(A72='Données projet'!$A$140,'Données projet'!$B$140,CT71+CS72-DB71)))</f>
        <v>259.19999999999987</v>
      </c>
      <c r="CU72" s="17">
        <f>CT72*VLOOKUP('Données projet'!$B$13,Paramètres!$A$1:$I$89,3,0)*VLOOKUP('Données projet'!$B$13,Paramètres!$A$1:$I$89,5,0)</f>
        <v>190.04543999999993</v>
      </c>
      <c r="CV72" s="13">
        <f t="shared" si="95"/>
        <v>47.549998850241536</v>
      </c>
      <c r="CW72" s="20">
        <f t="shared" si="67"/>
        <v>413.81205599750388</v>
      </c>
      <c r="CX72" s="59">
        <f t="shared" si="68"/>
        <v>707.14538933083713</v>
      </c>
      <c r="CY72" s="59">
        <f ca="1">AVERAGE(OFFSET($CX$3,0,0,'Données projet'!$E$13+1,1))-AVERAGE(OFFSET($H$3,0,0,'Données projet'!$E$13+1,1))</f>
        <v>198.78436129430389</v>
      </c>
      <c r="CZ72" s="59">
        <f t="shared" si="96"/>
        <v>198.28846462484438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17.372192770267549</v>
      </c>
      <c r="DG72" s="21">
        <f>EXP(-LN(2)/25)*DG71+(1-EXP(-LN(2)/25))/(LN(2)/25)*Calculateur!DB72*Calculateur!DD72*VLOOKUP('Données projet'!$B$13,Paramètres!$A$1:$I$89,3,0)*0.475*44/12</f>
        <v>7.1955646105516093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24.56775738081916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274.57619581652199</v>
      </c>
      <c r="T73" s="59">
        <f t="shared" si="88"/>
        <v>366.15117322598775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57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278.21846622758881</v>
      </c>
      <c r="AO73" s="59">
        <f t="shared" si="90"/>
        <v>245.37578316242906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333.18461538461537</v>
      </c>
      <c r="BB73" s="12">
        <f>VLOOKUP(A73,'Données projet'!$A$87:$I$107,9,0)</f>
        <v>7.2728205128205143</v>
      </c>
      <c r="BC73" s="12">
        <f t="array" ref="BC73">INDEX(BB:BB,MIN(IF(ISNUMBER(BB73:BB269),ROW(BB73:BB269),"")))</f>
        <v>7.2728205128205143</v>
      </c>
      <c r="BD73" s="12">
        <f>IF('Données projet'!$A$88&gt;35,BD72+BC73-BL72,IF(A73&lt;'Données projet'!$A$88,$BA$205^A73,IF(A73='Données projet'!$A$88,'Données projet'!$B$88,BD72+BC73-BL72)))</f>
        <v>333.18461538461497</v>
      </c>
      <c r="BE73" s="13">
        <f>BD73*VLOOKUP('Données projet'!$B$11,Paramètres!$A$1:$I$89,3,0)*VLOOKUP('Données projet'!$B$11,Paramètres!$A$1:$I$89,5,0)</f>
        <v>199.24439999999976</v>
      </c>
      <c r="BF73" s="13">
        <f t="shared" si="91"/>
        <v>49.578073150914435</v>
      </c>
      <c r="BG73" s="20">
        <f t="shared" si="61"/>
        <v>433.36580740450887</v>
      </c>
      <c r="BH73" s="59">
        <f t="shared" si="62"/>
        <v>726.69914073784219</v>
      </c>
      <c r="BI73" s="59">
        <f ca="1">AVERAGE(OFFSET($BH$3,0,0,'Données projet'!$E$11+1,1))-AVERAGE(OFFSET($H$3,0,0,'Données projet'!$E$11+1,1))</f>
        <v>187.18641061466138</v>
      </c>
      <c r="BJ73" s="59">
        <f t="shared" si="92"/>
        <v>143.07246221325369</v>
      </c>
      <c r="BK73" s="15">
        <f>IF(ISNA(VLOOKUP(A73,'Données projet'!$A$87:$I$107,3,0)),0,VLOOKUP(A73,'Données projet'!$A$87:$I$107,3,0))</f>
        <v>3</v>
      </c>
      <c r="BL73" s="15">
        <f>IF(ISNA(VLOOKUP(A73,'Données projet'!$A$87:$I$107,4,0)),0,VLOOKUP(A73,'Données projet'!$A$87:$I$107,4,0))</f>
        <v>62.976923076923079</v>
      </c>
      <c r="BM73" s="16">
        <f>IF(ISNA(VLOOKUP(A73,'Données projet'!$A$87:$I$107,5,0)),0%,VLOOKUP(A73,'Données projet'!$A$87:$I$107,5,0)*VLOOKUP('Données projet'!$B$11,Paramètres!$A$1:$I$89,7,0))</f>
        <v>0.10350000000000001</v>
      </c>
      <c r="BN73" s="16">
        <f>IF(ISNA(VLOOKUP(A73,'Données projet'!$A$87:$I$107,6,0)),0%,VLOOKUP(A73,'Données projet'!$A$87:$I$107,6,0)*VLOOKUP('Données projet'!$B$11,Paramètres!$A$1:$I$89,7,0))</f>
        <v>0.23850000000000002</v>
      </c>
      <c r="BO73" s="16">
        <f>IF(ISNA(VLOOKUP(A73,'Données projet'!$A$87:$I$107,7,0)),0%,VLOOKUP(A73,'Données projet'!$A$87:$I$107,7,0))</f>
        <v>0.34</v>
      </c>
      <c r="BP73" s="21">
        <f>EXP(-LN(2)/35)*BP72+(1-EXP(-LN(2)/35))/(LN(2)/35)*BL73*BM73*VLOOKUP('Données projet'!$B$11,Paramètres!$A$1:$I$89,3,0)*0.475*44/12</f>
        <v>7.068717778691096</v>
      </c>
      <c r="BQ73" s="21">
        <f>EXP(-LN(2)/25)*BQ72+(1-EXP(-LN(2)/25))/(LN(2)/25)*Calculateur!BL73*Calculateur!BN73*VLOOKUP('Données projet'!$B$11,Paramètres!$A$1:$I$89,3,0)*0.475*44/12</f>
        <v>27.762490376001388</v>
      </c>
      <c r="BR73" s="21">
        <f>EXP(-LN(2)/2)*BR72+(1-EXP(-LN(2)/2))/(LN(2)/2)*BL73*BO73*VLOOKUP('Données projet'!$B$11,Paramètres!$A$1:$I$89,3,0)*0.475*44/12</f>
        <v>14.563834017560243</v>
      </c>
      <c r="BS73" s="22">
        <f t="shared" si="63"/>
        <v>49.39504217225273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13.737499999999997</v>
      </c>
      <c r="BY73" s="12">
        <f>IF('Données projet'!$A$114&gt;35,BY72+BX73-CG72,IF(A73&lt;'Données projet'!$A$114,$BV$205^A73,IF(A73='Données projet'!$A$114,'Données projet'!$B$114,BY72+BX73-CG72)))</f>
        <v>400.21634615384619</v>
      </c>
      <c r="BZ73" s="13">
        <f>BY73*VLOOKUP('Données projet'!$B$12,Paramètres!$A$1:$I$89,3,0)*VLOOKUP('Données projet'!$B$12,Paramètres!$A$1:$I$89,5,0)</f>
        <v>187.30125000000001</v>
      </c>
      <c r="CA73" s="13">
        <f t="shared" si="93"/>
        <v>46.942801679870392</v>
      </c>
      <c r="CB73" s="20">
        <f t="shared" si="64"/>
        <v>407.97505667577428</v>
      </c>
      <c r="CC73" s="59">
        <f t="shared" si="65"/>
        <v>701.3083900091076</v>
      </c>
      <c r="CD73" s="59">
        <f ca="1">AVERAGE(OFFSET($CC$3,0,0,'Données projet'!$E$12+1,1))-AVERAGE(OFFSET($H$3,0,0,'Données projet'!$E$12+1,1))</f>
        <v>198.17898804494365</v>
      </c>
      <c r="CE73" s="59">
        <f t="shared" si="94"/>
        <v>186.24772922797723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42.879425663144268</v>
      </c>
      <c r="CL73" s="21">
        <f>EXP(-LN(2)/25)*CL72+(1-EXP(-LN(2)/25))/(LN(2)/25)*Calculateur!CG73*Calculateur!CI73*VLOOKUP('Données projet'!$B$12,Paramètres!$A$1:$I$89,3,0)*0.475*44/12</f>
        <v>24.943191489466631</v>
      </c>
      <c r="CM73" s="21">
        <f>EXP(-LN(2)/2)*CM72+(1-EXP(-LN(2)/2))/(LN(2)/2)*CG73*CJ73*VLOOKUP('Données projet'!$B$12,Paramètres!$A$1:$I$89,3,0)*0.475*44/12</f>
        <v>0.4865911755895011</v>
      </c>
      <c r="CN73" s="22">
        <f t="shared" si="66"/>
        <v>68.309208328200398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3.8</v>
      </c>
      <c r="CS73" s="12">
        <f t="array" ref="CS73">INDEX(CR:CR,MIN(IF(ISNUMBER(CR73:CR269),ROW(CR73:CR269),"")))</f>
        <v>3.8</v>
      </c>
      <c r="CT73" s="12">
        <f>IF('Données projet'!$A$140&gt;35,CT72+CS73-DB72,IF(A73&lt;'Données projet'!$A$140,$CQ$205^A73,IF(A73='Données projet'!$A$140,'Données projet'!$B$140,CT72+CS73-DB72)))</f>
        <v>262.99999999999989</v>
      </c>
      <c r="CU73" s="17">
        <f>CT73*VLOOKUP('Données projet'!$B$13,Paramètres!$A$1:$I$89,3,0)*VLOOKUP('Données projet'!$B$13,Paramètres!$A$1:$I$89,5,0)</f>
        <v>192.83159999999992</v>
      </c>
      <c r="CV73" s="13">
        <f t="shared" si="95"/>
        <v>48.165439402688776</v>
      </c>
      <c r="CW73" s="20">
        <f t="shared" si="67"/>
        <v>419.73651029301612</v>
      </c>
      <c r="CX73" s="59">
        <f t="shared" si="68"/>
        <v>713.06984362634944</v>
      </c>
      <c r="CY73" s="59">
        <f ca="1">AVERAGE(OFFSET($CX$3,0,0,'Données projet'!$E$13+1,1))-AVERAGE(OFFSET($H$3,0,0,'Données projet'!$E$13+1,1))</f>
        <v>198.78436129430389</v>
      </c>
      <c r="CZ73" s="59">
        <f t="shared" si="96"/>
        <v>198.28846462484438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10</v>
      </c>
      <c r="DC73" s="16">
        <f>IF(ISNA(VLOOKUP(A73,'Données projet'!$A$139:$I$159,5,0)),0%,VLOOKUP(A73,'Données projet'!$A$139:$I$159,5,0)*VLOOKUP('Données projet'!$B$13,Paramètres!$A$1:$I$89,7,0))</f>
        <v>0.38700000000000001</v>
      </c>
      <c r="DD73" s="16">
        <f>IF(ISNA(VLOOKUP(A73,'Données projet'!$A$139:$I$159,6,0)),0%,VLOOKUP(A73,'Données projet'!$A$139:$I$159,6,0)*VLOOKUP('Données projet'!$B$13,Paramètres!$A$1:$I$89,7,0))</f>
        <v>4.3000000000000003E-2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20.168289180432595</v>
      </c>
      <c r="DG73" s="21">
        <f>EXP(-LN(2)/25)*DG72+(1-EXP(-LN(2)/25))/(LN(2)/25)*Calculateur!DB73*Calculateur!DD73*VLOOKUP('Données projet'!$B$13,Paramètres!$A$1:$I$89,3,0)*0.475*44/12</f>
        <v>7.3459575086198132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27.514246689052406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274.57619581652199</v>
      </c>
      <c r="T74" s="59">
        <f t="shared" si="88"/>
        <v>366.15117322598775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57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278.21846622758881</v>
      </c>
      <c r="AO74" s="59">
        <f t="shared" si="90"/>
        <v>245.37578316242906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6.5023076923076868</v>
      </c>
      <c r="BD74" s="12">
        <f>IF('Données projet'!$A$88&gt;35,BD73+BC74-BL73,IF(A74&lt;'Données projet'!$A$88,$BA$205^A74,IF(A74='Données projet'!$A$88,'Données projet'!$B$88,BD73+BC74-BL73)))</f>
        <v>276.70999999999958</v>
      </c>
      <c r="BE74" s="13">
        <f>BD74*VLOOKUP('Données projet'!$B$11,Paramètres!$A$1:$I$89,3,0)*VLOOKUP('Données projet'!$B$11,Paramètres!$A$1:$I$89,5,0)</f>
        <v>165.47257999999977</v>
      </c>
      <c r="BF74" s="13">
        <f t="shared" si="91"/>
        <v>42.074444651551055</v>
      </c>
      <c r="BG74" s="20">
        <f t="shared" si="61"/>
        <v>361.477734601451</v>
      </c>
      <c r="BH74" s="59">
        <f t="shared" si="62"/>
        <v>654.81106793478432</v>
      </c>
      <c r="BI74" s="59">
        <f ca="1">AVERAGE(OFFSET($BH$3,0,0,'Données projet'!$E$11+1,1))-AVERAGE(OFFSET($H$3,0,0,'Données projet'!$E$11+1,1))</f>
        <v>187.18641061466138</v>
      </c>
      <c r="BJ74" s="59">
        <f t="shared" si="92"/>
        <v>143.07246221325369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6.9301045345430845</v>
      </c>
      <c r="BQ74" s="21">
        <f>EXP(-LN(2)/25)*BQ73+(1-EXP(-LN(2)/25))/(LN(2)/25)*Calculateur!BL74*Calculateur!BN74*VLOOKUP('Données projet'!$B$11,Paramètres!$A$1:$I$89,3,0)*0.475*44/12</f>
        <v>27.003323616703714</v>
      </c>
      <c r="BR74" s="21">
        <f>EXP(-LN(2)/2)*BR73+(1-EXP(-LN(2)/2))/(LN(2)/2)*BL74*BO74*VLOOKUP('Données projet'!$B$11,Paramètres!$A$1:$I$89,3,0)*0.475*44/12</f>
        <v>10.298185793892168</v>
      </c>
      <c r="BS74" s="22">
        <f t="shared" si="63"/>
        <v>44.231613945138967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413.95384615384614</v>
      </c>
      <c r="BW74" s="12">
        <f>VLOOKUP(A74,'Données projet'!$A$113:$I$133,9,0)</f>
        <v>13.737499999999997</v>
      </c>
      <c r="BX74" s="12">
        <f t="array" ref="BX74">INDEX(BW:BW,MIN(IF(ISNUMBER(BW74:BW270),ROW(BW74:BW270),"")))</f>
        <v>13.737499999999997</v>
      </c>
      <c r="BY74" s="12">
        <f>IF('Données projet'!$A$114&gt;35,BY73+BX74-CG73,IF(A74&lt;'Données projet'!$A$114,$BV$205^A74,IF(A74='Données projet'!$A$114,'Données projet'!$B$114,BY73+BX74-CG73)))</f>
        <v>413.9538461538462</v>
      </c>
      <c r="BZ74" s="13">
        <f>BY74*VLOOKUP('Données projet'!$B$12,Paramètres!$A$1:$I$89,3,0)*VLOOKUP('Données projet'!$B$12,Paramètres!$A$1:$I$89,5,0)</f>
        <v>193.73040000000003</v>
      </c>
      <c r="CA74" s="13">
        <f t="shared" si="93"/>
        <v>48.363755728631737</v>
      </c>
      <c r="CB74" s="20">
        <f t="shared" si="64"/>
        <v>421.647321227367</v>
      </c>
      <c r="CC74" s="59">
        <f t="shared" si="65"/>
        <v>714.98065456070026</v>
      </c>
      <c r="CD74" s="59">
        <f ca="1">AVERAGE(OFFSET($CC$3,0,0,'Données projet'!$E$12+1,1))-AVERAGE(OFFSET($H$3,0,0,'Données projet'!$E$12+1,1))</f>
        <v>198.17898804494365</v>
      </c>
      <c r="CE74" s="59">
        <f t="shared" si="94"/>
        <v>186.24772922797723</v>
      </c>
      <c r="CF74" s="15">
        <f>IF(ISNA(VLOOKUP(A74,'Données projet'!$A$113:$I$133,3,0)),0,VLOOKUP(A74,'Données projet'!$A$113:$I$133,3,0))</f>
        <v>5</v>
      </c>
      <c r="CG74" s="15">
        <f>IF(ISNA(VLOOKUP(A74,'Données projet'!$A$113:$I$133,4,0)),0,VLOOKUP(A74,'Données projet'!$A$113:$I$133,4,0))</f>
        <v>80.399999999999991</v>
      </c>
      <c r="CH74" s="16">
        <f>IF(ISNA(VLOOKUP(A74,'Données projet'!$A$113:$I$133,5,0)),0%,VLOOKUP(A74,'Données projet'!$A$113:$I$133,5,0)*VLOOKUP('Données projet'!$B$12,Paramètres!$A$1:$I$89,7,0))</f>
        <v>0.38500000000000001</v>
      </c>
      <c r="CI74" s="16">
        <f>IF(ISNA(VLOOKUP(A74,'Données projet'!$A$113:$I$133,6,0)),0%,VLOOKUP(A74,'Données projet'!$A$113:$I$133,6,0)*VLOOKUP('Données projet'!$B$12,Paramètres!$A$1:$I$89,7,0))</f>
        <v>9.240000000000001E-2</v>
      </c>
      <c r="CJ74" s="16">
        <f>IF(ISNA(VLOOKUP(A74,'Données projet'!$A$113:$I$133,7,0)),0%,VLOOKUP(A74,'Données projet'!$A$113:$I$133,7,0))</f>
        <v>0.13200000000000001</v>
      </c>
      <c r="CK74" s="21">
        <f>EXP(-LN(2)/35)*CK73+(1-EXP(-LN(2)/35))/(LN(2)/35)*CG74*CH74*VLOOKUP('Données projet'!$B$12,Paramètres!$A$1:$I$89,3,0)*0.475*44/12</f>
        <v>61.255825119677326</v>
      </c>
      <c r="CL74" s="21">
        <f>EXP(-LN(2)/25)*CL73+(1-EXP(-LN(2)/25))/(LN(2)/25)*Calculateur!CG74*Calculateur!CI74*VLOOKUP('Données projet'!$B$12,Paramètres!$A$1:$I$89,3,0)*0.475*44/12</f>
        <v>28.85509618606541</v>
      </c>
      <c r="CM74" s="21">
        <f>EXP(-LN(2)/2)*CM73+(1-EXP(-LN(2)/2))/(LN(2)/2)*CG74*CJ74*VLOOKUP('Données projet'!$B$12,Paramètres!$A$1:$I$89,3,0)*0.475*44/12</f>
        <v>5.9676324258492643</v>
      </c>
      <c r="CN74" s="22">
        <f t="shared" si="66"/>
        <v>96.078553731591995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3.4</v>
      </c>
      <c r="CT74" s="12">
        <f>IF('Données projet'!$A$140&gt;35,CT73+CS74-DB73,IF(A74&lt;'Données projet'!$A$140,$CQ$205^A74,IF(A74='Données projet'!$A$140,'Données projet'!$B$140,CT73+CS74-DB73)))</f>
        <v>256.39999999999986</v>
      </c>
      <c r="CU74" s="17">
        <f>CT74*VLOOKUP('Données projet'!$B$13,Paramètres!$A$1:$I$89,3,0)*VLOOKUP('Données projet'!$B$13,Paramètres!$A$1:$I$89,5,0)</f>
        <v>187.99247999999989</v>
      </c>
      <c r="CV74" s="13">
        <f t="shared" si="95"/>
        <v>47.095844674053957</v>
      </c>
      <c r="CW74" s="20">
        <f t="shared" si="67"/>
        <v>409.44549880731046</v>
      </c>
      <c r="CX74" s="59">
        <f t="shared" si="68"/>
        <v>702.77883214064377</v>
      </c>
      <c r="CY74" s="59">
        <f ca="1">AVERAGE(OFFSET($CX$3,0,0,'Données projet'!$E$13+1,1))-AVERAGE(OFFSET($H$3,0,0,'Données projet'!$E$13+1,1))</f>
        <v>198.78436129430389</v>
      </c>
      <c r="CZ74" s="59">
        <f t="shared" si="96"/>
        <v>198.28846462484438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19.772801331046047</v>
      </c>
      <c r="DG74" s="21">
        <f>EXP(-LN(2)/25)*DG73+(1-EXP(-LN(2)/25))/(LN(2)/25)*Calculateur!DB74*Calculateur!DD74*VLOOKUP('Données projet'!$B$13,Paramètres!$A$1:$I$89,3,0)*0.475*44/12</f>
        <v>7.1450819142394888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26.917883245285537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274.57619581652199</v>
      </c>
      <c r="T75" s="59">
        <f t="shared" si="88"/>
        <v>366.15117322598775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57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278.21846622758881</v>
      </c>
      <c r="AO75" s="59">
        <f t="shared" si="90"/>
        <v>245.37578316242906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6.5023076923076868</v>
      </c>
      <c r="BD75" s="12">
        <f>IF('Données projet'!$A$88&gt;35,BD74+BC75-BL74,IF(A75&lt;'Données projet'!$A$88,$BA$205^A75,IF(A75='Données projet'!$A$88,'Données projet'!$B$88,BD74+BC75-BL74)))</f>
        <v>283.21230769230726</v>
      </c>
      <c r="BE75" s="13">
        <f>BD75*VLOOKUP('Données projet'!$B$11,Paramètres!$A$1:$I$89,3,0)*VLOOKUP('Données projet'!$B$11,Paramètres!$A$1:$I$89,5,0)</f>
        <v>169.36095999999978</v>
      </c>
      <c r="BF75" s="13">
        <f t="shared" si="91"/>
        <v>42.94686852729604</v>
      </c>
      <c r="BG75" s="20">
        <f t="shared" si="61"/>
        <v>369.76946801837352</v>
      </c>
      <c r="BH75" s="59">
        <f t="shared" si="62"/>
        <v>663.10280135170683</v>
      </c>
      <c r="BI75" s="59">
        <f ca="1">AVERAGE(OFFSET($BH$3,0,0,'Données projet'!$E$11+1,1))-AVERAGE(OFFSET($H$3,0,0,'Données projet'!$E$11+1,1))</f>
        <v>187.18641061466138</v>
      </c>
      <c r="BJ75" s="59">
        <f t="shared" si="92"/>
        <v>143.07246221325369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6.7942094115670848</v>
      </c>
      <c r="BQ75" s="21">
        <f>EXP(-LN(2)/25)*BQ74+(1-EXP(-LN(2)/25))/(LN(2)/25)*Calculateur!BL75*Calculateur!BN75*VLOOKUP('Données projet'!$B$11,Paramètres!$A$1:$I$89,3,0)*0.475*44/12</f>
        <v>26.26491631236188</v>
      </c>
      <c r="BR75" s="21">
        <f>EXP(-LN(2)/2)*BR74+(1-EXP(-LN(2)/2))/(LN(2)/2)*BL75*BO75*VLOOKUP('Données projet'!$B$11,Paramètres!$A$1:$I$89,3,0)*0.475*44/12</f>
        <v>7.2819170087801224</v>
      </c>
      <c r="BS75" s="22">
        <f t="shared" si="63"/>
        <v>40.341042732709084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12.913461538461533</v>
      </c>
      <c r="BY75" s="12">
        <f>IF('Données projet'!$A$114&gt;35,BY74+BX75-CG74,IF(A75&lt;'Données projet'!$A$114,$BV$205^A75,IF(A75='Données projet'!$A$114,'Données projet'!$B$114,BY74+BX75-CG74)))</f>
        <v>346.46730769230777</v>
      </c>
      <c r="BZ75" s="13">
        <f>BY75*VLOOKUP('Données projet'!$B$12,Paramètres!$A$1:$I$89,3,0)*VLOOKUP('Données projet'!$B$12,Paramètres!$A$1:$I$89,5,0)</f>
        <v>162.14670000000004</v>
      </c>
      <c r="CA75" s="13">
        <f t="shared" si="93"/>
        <v>41.326333369414826</v>
      </c>
      <c r="CB75" s="20">
        <f t="shared" si="64"/>
        <v>354.38219978506419</v>
      </c>
      <c r="CC75" s="59">
        <f t="shared" si="65"/>
        <v>647.7155331183975</v>
      </c>
      <c r="CD75" s="59">
        <f ca="1">AVERAGE(OFFSET($CC$3,0,0,'Données projet'!$E$12+1,1))-AVERAGE(OFFSET($H$3,0,0,'Données projet'!$E$12+1,1))</f>
        <v>198.17898804494365</v>
      </c>
      <c r="CE75" s="59">
        <f t="shared" si="94"/>
        <v>186.24772922797723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60.05463575144455</v>
      </c>
      <c r="CL75" s="21">
        <f>EXP(-LN(2)/25)*CL74+(1-EXP(-LN(2)/25))/(LN(2)/25)*Calculateur!CG75*Calculateur!CI75*VLOOKUP('Données projet'!$B$12,Paramètres!$A$1:$I$89,3,0)*0.475*44/12</f>
        <v>28.066052063433894</v>
      </c>
      <c r="CM75" s="21">
        <f>EXP(-LN(2)/2)*CM74+(1-EXP(-LN(2)/2))/(LN(2)/2)*CG75*CJ75*VLOOKUP('Données projet'!$B$12,Paramètres!$A$1:$I$89,3,0)*0.475*44/12</f>
        <v>4.2197533559467422</v>
      </c>
      <c r="CN75" s="22">
        <f t="shared" si="66"/>
        <v>92.340441170825173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3.4</v>
      </c>
      <c r="CT75" s="12">
        <f>IF('Données projet'!$A$140&gt;35,CT74+CS75-DB74,IF(A75&lt;'Données projet'!$A$140,$CQ$205^A75,IF(A75='Données projet'!$A$140,'Données projet'!$B$140,CT74+CS75-DB74)))</f>
        <v>259.79999999999984</v>
      </c>
      <c r="CU75" s="17">
        <f>CT75*VLOOKUP('Données projet'!$B$13,Paramètres!$A$1:$I$89,3,0)*VLOOKUP('Données projet'!$B$13,Paramètres!$A$1:$I$89,5,0)</f>
        <v>190.4853599999999</v>
      </c>
      <c r="CV75" s="13">
        <f t="shared" si="95"/>
        <v>47.647243117546552</v>
      </c>
      <c r="CW75" s="20">
        <f t="shared" si="67"/>
        <v>414.74761709639341</v>
      </c>
      <c r="CX75" s="59">
        <f t="shared" si="68"/>
        <v>708.08095042972673</v>
      </c>
      <c r="CY75" s="59">
        <f ca="1">AVERAGE(OFFSET($CX$3,0,0,'Données projet'!$E$13+1,1))-AVERAGE(OFFSET($H$3,0,0,'Données projet'!$E$13+1,1))</f>
        <v>198.78436129430389</v>
      </c>
      <c r="CZ75" s="59">
        <f t="shared" si="96"/>
        <v>198.28846462484438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19.385068757162198</v>
      </c>
      <c r="DG75" s="21">
        <f>EXP(-LN(2)/25)*DG74+(1-EXP(-LN(2)/25))/(LN(2)/25)*Calculateur!DB75*Calculateur!DD75*VLOOKUP('Données projet'!$B$13,Paramètres!$A$1:$I$89,3,0)*0.475*44/12</f>
        <v>6.9496992735510821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26.334768030713281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274.57619581652199</v>
      </c>
      <c r="T76" s="59">
        <f t="shared" si="88"/>
        <v>366.15117322598775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57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278.21846622758881</v>
      </c>
      <c r="AO76" s="59">
        <f t="shared" si="90"/>
        <v>245.37578316242906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6.5023076923076868</v>
      </c>
      <c r="BD76" s="12">
        <f>IF('Données projet'!$A$88&gt;35,BD75+BC76-BL75,IF(A76&lt;'Données projet'!$A$88,$BA$205^A76,IF(A76='Données projet'!$A$88,'Données projet'!$B$88,BD75+BC76-BL75)))</f>
        <v>289.71461538461494</v>
      </c>
      <c r="BE76" s="13">
        <f>BD76*VLOOKUP('Données projet'!$B$11,Paramètres!$A$1:$I$89,3,0)*VLOOKUP('Données projet'!$B$11,Paramètres!$A$1:$I$89,5,0)</f>
        <v>173.24933999999973</v>
      </c>
      <c r="BF76" s="13">
        <f t="shared" si="91"/>
        <v>43.816963796782268</v>
      </c>
      <c r="BG76" s="20">
        <f t="shared" si="61"/>
        <v>378.05714577939528</v>
      </c>
      <c r="BH76" s="59">
        <f t="shared" si="62"/>
        <v>671.3904791127286</v>
      </c>
      <c r="BI76" s="59">
        <f ca="1">AVERAGE(OFFSET($BH$3,0,0,'Données projet'!$E$11+1,1))-AVERAGE(OFFSET($H$3,0,0,'Données projet'!$E$11+1,1))</f>
        <v>187.18641061466138</v>
      </c>
      <c r="BJ76" s="59">
        <f t="shared" si="92"/>
        <v>143.07246221325369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6.6609791090648036</v>
      </c>
      <c r="BQ76" s="21">
        <f>EXP(-LN(2)/25)*BQ75+(1-EXP(-LN(2)/25))/(LN(2)/25)*Calculateur!BL76*Calculateur!BN76*VLOOKUP('Données projet'!$B$11,Paramètres!$A$1:$I$89,3,0)*0.475*44/12</f>
        <v>25.546700794588425</v>
      </c>
      <c r="BR76" s="21">
        <f>EXP(-LN(2)/2)*BR75+(1-EXP(-LN(2)/2))/(LN(2)/2)*BL76*BO76*VLOOKUP('Données projet'!$B$11,Paramètres!$A$1:$I$89,3,0)*0.475*44/12</f>
        <v>5.149092896946085</v>
      </c>
      <c r="BS76" s="22">
        <f t="shared" si="63"/>
        <v>37.356772800599316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12.913461538461533</v>
      </c>
      <c r="BY76" s="12">
        <f>IF('Données projet'!$A$114&gt;35,BY75+BX76-CG75,IF(A76&lt;'Données projet'!$A$114,$BV$205^A76,IF(A76='Données projet'!$A$114,'Données projet'!$B$114,BY75+BX76-CG75)))</f>
        <v>359.38076923076932</v>
      </c>
      <c r="BZ76" s="13">
        <f>BY76*VLOOKUP('Données projet'!$B$12,Paramètres!$A$1:$I$89,3,0)*VLOOKUP('Données projet'!$B$12,Paramètres!$A$1:$I$89,5,0)</f>
        <v>168.19020000000003</v>
      </c>
      <c r="CA76" s="13">
        <f t="shared" si="93"/>
        <v>42.684436447240749</v>
      </c>
      <c r="CB76" s="20">
        <f t="shared" si="64"/>
        <v>367.27332514561107</v>
      </c>
      <c r="CC76" s="59">
        <f t="shared" si="65"/>
        <v>660.60665847894438</v>
      </c>
      <c r="CD76" s="59">
        <f ca="1">AVERAGE(OFFSET($CC$3,0,0,'Données projet'!$E$12+1,1))-AVERAGE(OFFSET($H$3,0,0,'Données projet'!$E$12+1,1))</f>
        <v>198.17898804494365</v>
      </c>
      <c r="CE76" s="59">
        <f t="shared" si="94"/>
        <v>186.24772922797723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58.877000974069645</v>
      </c>
      <c r="CL76" s="21">
        <f>EXP(-LN(2)/25)*CL75+(1-EXP(-LN(2)/25))/(LN(2)/25)*Calculateur!CG76*Calculateur!CI76*VLOOKUP('Données projet'!$B$12,Paramètres!$A$1:$I$89,3,0)*0.475*44/12</f>
        <v>27.298584393829763</v>
      </c>
      <c r="CM76" s="21">
        <f>EXP(-LN(2)/2)*CM75+(1-EXP(-LN(2)/2))/(LN(2)/2)*CG76*CJ76*VLOOKUP('Données projet'!$B$12,Paramètres!$A$1:$I$89,3,0)*0.475*44/12</f>
        <v>2.9838162129246326</v>
      </c>
      <c r="CN76" s="22">
        <f t="shared" si="66"/>
        <v>89.159401580824039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3.4</v>
      </c>
      <c r="CT76" s="12">
        <f>IF('Données projet'!$A$140&gt;35,CT75+CS76-DB75,IF(A76&lt;'Données projet'!$A$140,$CQ$205^A76,IF(A76='Données projet'!$A$140,'Données projet'!$B$140,CT75+CS76-DB75)))</f>
        <v>263.19999999999982</v>
      </c>
      <c r="CU76" s="17">
        <f>CT76*VLOOKUP('Données projet'!$B$13,Paramètres!$A$1:$I$89,3,0)*VLOOKUP('Données projet'!$B$13,Paramètres!$A$1:$I$89,5,0)</f>
        <v>192.97823999999986</v>
      </c>
      <c r="CV76" s="13">
        <f t="shared" si="95"/>
        <v>48.197802215761001</v>
      </c>
      <c r="CW76" s="20">
        <f t="shared" si="67"/>
        <v>420.04827352578349</v>
      </c>
      <c r="CX76" s="59">
        <f t="shared" si="68"/>
        <v>713.3816068591168</v>
      </c>
      <c r="CY76" s="59">
        <f ca="1">AVERAGE(OFFSET($CX$3,0,0,'Données projet'!$E$13+1,1))-AVERAGE(OFFSET($H$3,0,0,'Données projet'!$E$13+1,1))</f>
        <v>198.78436129430389</v>
      </c>
      <c r="CZ76" s="59">
        <f t="shared" si="96"/>
        <v>198.28846462484438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19.004939382558693</v>
      </c>
      <c r="DG76" s="21">
        <f>EXP(-LN(2)/25)*DG75+(1-EXP(-LN(2)/25))/(LN(2)/25)*Calculateur!DB76*Calculateur!DD76*VLOOKUP('Données projet'!$B$13,Paramètres!$A$1:$I$89,3,0)*0.475*44/12</f>
        <v>6.7596593814470269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25.764598764005719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274.57619581652199</v>
      </c>
      <c r="T77" s="59">
        <f t="shared" si="88"/>
        <v>366.15117322598775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57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278.21846622758881</v>
      </c>
      <c r="AO77" s="59">
        <f t="shared" si="90"/>
        <v>245.37578316242906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6.5023076923076868</v>
      </c>
      <c r="BD77" s="12">
        <f>IF('Données projet'!$A$88&gt;35,BD76+BC77-BL76,IF(A77&lt;'Données projet'!$A$88,$BA$205^A77,IF(A77='Données projet'!$A$88,'Données projet'!$B$88,BD76+BC77-BL76)))</f>
        <v>296.21692307692263</v>
      </c>
      <c r="BE77" s="13">
        <f>BD77*VLOOKUP('Données projet'!$B$11,Paramètres!$A$1:$I$89,3,0)*VLOOKUP('Données projet'!$B$11,Paramètres!$A$1:$I$89,5,0)</f>
        <v>177.13771999999975</v>
      </c>
      <c r="BF77" s="13">
        <f t="shared" si="91"/>
        <v>44.684788740005665</v>
      </c>
      <c r="BG77" s="20">
        <f t="shared" si="61"/>
        <v>386.34086938884275</v>
      </c>
      <c r="BH77" s="59">
        <f t="shared" si="62"/>
        <v>679.67420272217601</v>
      </c>
      <c r="BI77" s="59">
        <f ca="1">AVERAGE(OFFSET($BH$3,0,0,'Données projet'!$E$11+1,1))-AVERAGE(OFFSET($H$3,0,0,'Données projet'!$E$11+1,1))</f>
        <v>187.18641061466138</v>
      </c>
      <c r="BJ77" s="59">
        <f t="shared" si="92"/>
        <v>143.07246221325369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6.5303613715321314</v>
      </c>
      <c r="BQ77" s="21">
        <f>EXP(-LN(2)/25)*BQ76+(1-EXP(-LN(2)/25))/(LN(2)/25)*Calculateur!BL77*Calculateur!BN77*VLOOKUP('Données projet'!$B$11,Paramètres!$A$1:$I$89,3,0)*0.475*44/12</f>
        <v>24.848124917917797</v>
      </c>
      <c r="BR77" s="21">
        <f>EXP(-LN(2)/2)*BR76+(1-EXP(-LN(2)/2))/(LN(2)/2)*BL77*BO77*VLOOKUP('Données projet'!$B$11,Paramètres!$A$1:$I$89,3,0)*0.475*44/12</f>
        <v>3.6409585043900616</v>
      </c>
      <c r="BS77" s="22">
        <f t="shared" si="63"/>
        <v>35.019444793839988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12.913461538461533</v>
      </c>
      <c r="BY77" s="12">
        <f>IF('Données projet'!$A$114&gt;35,BY76+BX77-CG76,IF(A77&lt;'Données projet'!$A$114,$BV$205^A77,IF(A77='Données projet'!$A$114,'Données projet'!$B$114,BY76+BX77-CG76)))</f>
        <v>372.29423076923086</v>
      </c>
      <c r="BZ77" s="13">
        <f>BY77*VLOOKUP('Données projet'!$B$12,Paramètres!$A$1:$I$89,3,0)*VLOOKUP('Données projet'!$B$12,Paramètres!$A$1:$I$89,5,0)</f>
        <v>174.23370000000006</v>
      </c>
      <c r="CA77" s="13">
        <f t="shared" si="93"/>
        <v>44.036869769028705</v>
      </c>
      <c r="CB77" s="20">
        <f t="shared" si="64"/>
        <v>380.15457568105836</v>
      </c>
      <c r="CC77" s="59">
        <f t="shared" si="65"/>
        <v>673.48790901439168</v>
      </c>
      <c r="CD77" s="59">
        <f ca="1">AVERAGE(OFFSET($CC$3,0,0,'Données projet'!$E$12+1,1))-AVERAGE(OFFSET($H$3,0,0,'Données projet'!$E$12+1,1))</f>
        <v>198.17898804494365</v>
      </c>
      <c r="CE77" s="59">
        <f t="shared" si="94"/>
        <v>186.24772922797723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57.722458896392773</v>
      </c>
      <c r="CL77" s="21">
        <f>EXP(-LN(2)/25)*CL76+(1-EXP(-LN(2)/25))/(LN(2)/25)*Calculateur!CG77*Calculateur!CI77*VLOOKUP('Données projet'!$B$12,Paramètres!$A$1:$I$89,3,0)*0.475*44/12</f>
        <v>26.552103168010326</v>
      </c>
      <c r="CM77" s="21">
        <f>EXP(-LN(2)/2)*CM76+(1-EXP(-LN(2)/2))/(LN(2)/2)*CG77*CJ77*VLOOKUP('Données projet'!$B$12,Paramètres!$A$1:$I$89,3,0)*0.475*44/12</f>
        <v>2.1098766779733711</v>
      </c>
      <c r="CN77" s="22">
        <f t="shared" si="66"/>
        <v>86.384438742376474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3.4</v>
      </c>
      <c r="CT77" s="12">
        <f>IF('Données projet'!$A$140&gt;35,CT76+CS77-DB76,IF(A77&lt;'Données projet'!$A$140,$CQ$205^A77,IF(A77='Données projet'!$A$140,'Données projet'!$B$140,CT76+CS77-DB76)))</f>
        <v>266.5999999999998</v>
      </c>
      <c r="CU77" s="17">
        <f>CT77*VLOOKUP('Données projet'!$B$13,Paramètres!$A$1:$I$89,3,0)*VLOOKUP('Données projet'!$B$13,Paramètres!$A$1:$I$89,5,0)</f>
        <v>195.47111999999984</v>
      </c>
      <c r="CV77" s="13">
        <f t="shared" si="95"/>
        <v>48.747534064963503</v>
      </c>
      <c r="CW77" s="20">
        <f t="shared" si="67"/>
        <v>425.34748916314447</v>
      </c>
      <c r="CX77" s="59">
        <f t="shared" si="68"/>
        <v>718.68082249647773</v>
      </c>
      <c r="CY77" s="59">
        <f ca="1">AVERAGE(OFFSET($CX$3,0,0,'Données projet'!$E$13+1,1))-AVERAGE(OFFSET($H$3,0,0,'Données projet'!$E$13+1,1))</f>
        <v>198.78436129430389</v>
      </c>
      <c r="CZ77" s="59">
        <f t="shared" si="96"/>
        <v>198.28846462484438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18.63226411313514</v>
      </c>
      <c r="DG77" s="21">
        <f>EXP(-LN(2)/25)*DG76+(1-EXP(-LN(2)/25))/(LN(2)/25)*Calculateur!DB77*Calculateur!DD77*VLOOKUP('Données projet'!$B$13,Paramètres!$A$1:$I$89,3,0)*0.475*44/12</f>
        <v>6.5748161401863205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25.207080253321461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274.57619581652199</v>
      </c>
      <c r="T78" s="59">
        <f t="shared" si="88"/>
        <v>366.15117322598775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57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278.21846622758881</v>
      </c>
      <c r="AO78" s="59">
        <f t="shared" si="90"/>
        <v>245.37578316242906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6.5023076923076868</v>
      </c>
      <c r="BD78" s="12">
        <f>IF('Données projet'!$A$88&gt;35,BD77+BC78-BL77,IF(A78&lt;'Données projet'!$A$88,$BA$205^A78,IF(A78='Données projet'!$A$88,'Données projet'!$B$88,BD77+BC78-BL77)))</f>
        <v>302.71923076923031</v>
      </c>
      <c r="BE78" s="13">
        <f>BD78*VLOOKUP('Données projet'!$B$11,Paramètres!$A$1:$I$89,3,0)*VLOOKUP('Données projet'!$B$11,Paramètres!$A$1:$I$89,5,0)</f>
        <v>181.02609999999973</v>
      </c>
      <c r="BF78" s="13">
        <f t="shared" si="91"/>
        <v>45.550398932225129</v>
      </c>
      <c r="BG78" s="20">
        <f t="shared" si="61"/>
        <v>394.62073564029157</v>
      </c>
      <c r="BH78" s="59">
        <f t="shared" si="62"/>
        <v>687.95406897362489</v>
      </c>
      <c r="BI78" s="59">
        <f ca="1">AVERAGE(OFFSET($BH$3,0,0,'Données projet'!$E$11+1,1))-AVERAGE(OFFSET($H$3,0,0,'Données projet'!$E$11+1,1))</f>
        <v>187.18641061466138</v>
      </c>
      <c r="BJ78" s="59">
        <f t="shared" si="92"/>
        <v>143.07246221325369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6.4023049681635218</v>
      </c>
      <c r="BQ78" s="21">
        <f>EXP(-LN(2)/25)*BQ77+(1-EXP(-LN(2)/25))/(LN(2)/25)*Calculateur!BL78*Calculateur!BN78*VLOOKUP('Données projet'!$B$11,Paramètres!$A$1:$I$89,3,0)*0.475*44/12</f>
        <v>24.168651635331237</v>
      </c>
      <c r="BR78" s="21">
        <f>EXP(-LN(2)/2)*BR77+(1-EXP(-LN(2)/2))/(LN(2)/2)*BL78*BO78*VLOOKUP('Données projet'!$B$11,Paramètres!$A$1:$I$89,3,0)*0.475*44/12</f>
        <v>2.5745464484730429</v>
      </c>
      <c r="BS78" s="22">
        <f t="shared" si="63"/>
        <v>33.1455030519678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12.913461538461533</v>
      </c>
      <c r="BY78" s="12">
        <f>IF('Données projet'!$A$114&gt;35,BY77+BX78-CG77,IF(A78&lt;'Données projet'!$A$114,$BV$205^A78,IF(A78='Données projet'!$A$114,'Données projet'!$B$114,BY77+BX78-CG77)))</f>
        <v>385.20769230769241</v>
      </c>
      <c r="BZ78" s="13">
        <f>BY78*VLOOKUP('Données projet'!$B$12,Paramètres!$A$1:$I$89,3,0)*VLOOKUP('Données projet'!$B$12,Paramètres!$A$1:$I$89,5,0)</f>
        <v>180.27720000000005</v>
      </c>
      <c r="CA78" s="13">
        <f t="shared" si="93"/>
        <v>45.383852535093837</v>
      </c>
      <c r="CB78" s="20">
        <f t="shared" si="64"/>
        <v>393.02633316528846</v>
      </c>
      <c r="CC78" s="59">
        <f t="shared" si="65"/>
        <v>686.35966649862178</v>
      </c>
      <c r="CD78" s="59">
        <f ca="1">AVERAGE(OFFSET($CC$3,0,0,'Données projet'!$E$12+1,1))-AVERAGE(OFFSET($H$3,0,0,'Données projet'!$E$12+1,1))</f>
        <v>198.17898804494365</v>
      </c>
      <c r="CE78" s="59">
        <f t="shared" si="94"/>
        <v>186.24772922797723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56.590556684658011</v>
      </c>
      <c r="CL78" s="21">
        <f>EXP(-LN(2)/25)*CL77+(1-EXP(-LN(2)/25))/(LN(2)/25)*Calculateur!CG78*Calculateur!CI78*VLOOKUP('Données projet'!$B$12,Paramètres!$A$1:$I$89,3,0)*0.475*44/12</f>
        <v>25.826034510566664</v>
      </c>
      <c r="CM78" s="21">
        <f>EXP(-LN(2)/2)*CM77+(1-EXP(-LN(2)/2))/(LN(2)/2)*CG78*CJ78*VLOOKUP('Données projet'!$B$12,Paramètres!$A$1:$I$89,3,0)*0.475*44/12</f>
        <v>1.4919081064623163</v>
      </c>
      <c r="CN78" s="22">
        <f t="shared" si="66"/>
        <v>83.908499301686987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270</v>
      </c>
      <c r="CR78" s="12">
        <f>VLOOKUP(A78,'Données projet'!$A$139:$I$159,9,0)</f>
        <v>3.4</v>
      </c>
      <c r="CS78" s="12">
        <f t="array" ref="CS78">INDEX(CR:CR,MIN(IF(ISNUMBER(CR78:CR274),ROW(CR78:CR274),"")))</f>
        <v>3.4</v>
      </c>
      <c r="CT78" s="12">
        <f>IF('Données projet'!$A$140&gt;35,CT77+CS78-DB77,IF(A78&lt;'Données projet'!$A$140,$CQ$205^A78,IF(A78='Données projet'!$A$140,'Données projet'!$B$140,CT77+CS78-DB77)))</f>
        <v>269.99999999999977</v>
      </c>
      <c r="CU78" s="17">
        <f>CT78*VLOOKUP('Données projet'!$B$13,Paramètres!$A$1:$I$89,3,0)*VLOOKUP('Données projet'!$B$13,Paramètres!$A$1:$I$89,5,0)</f>
        <v>197.96399999999983</v>
      </c>
      <c r="CV78" s="13">
        <f t="shared" si="95"/>
        <v>49.296450435147719</v>
      </c>
      <c r="CW78" s="20">
        <f t="shared" si="67"/>
        <v>430.64528450788202</v>
      </c>
      <c r="CX78" s="59">
        <f t="shared" si="68"/>
        <v>723.97861784121528</v>
      </c>
      <c r="CY78" s="59">
        <f ca="1">AVERAGE(OFFSET($CX$3,0,0,'Données projet'!$E$13+1,1))-AVERAGE(OFFSET($H$3,0,0,'Données projet'!$E$13+1,1))</f>
        <v>198.78436129430389</v>
      </c>
      <c r="CZ78" s="59">
        <f t="shared" si="96"/>
        <v>198.28846462484438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9</v>
      </c>
      <c r="DC78" s="16">
        <f>IF(ISNA(VLOOKUP(A78,'Données projet'!$A$139:$I$159,5,0)),0%,VLOOKUP(A78,'Données projet'!$A$139:$I$159,5,0)*VLOOKUP('Données projet'!$B$13,Paramètres!$A$1:$I$89,7,0))</f>
        <v>0.38269999999999998</v>
      </c>
      <c r="DD78" s="16">
        <f>IF(ISNA(VLOOKUP(A78,'Données projet'!$A$139:$I$159,6,0)),0%,VLOOKUP(A78,'Données projet'!$A$139:$I$159,6,0)*VLOOKUP('Données projet'!$B$13,Paramètres!$A$1:$I$89,7,0))</f>
        <v>4.7300000000000002E-2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21.05860829625033</v>
      </c>
      <c r="DG78" s="21">
        <f>EXP(-LN(2)/25)*DG77+(1-EXP(-LN(2)/25))/(LN(2)/25)*Calculateur!DB78*Calculateur!DD78*VLOOKUP('Données projet'!$B$13,Paramètres!$A$1:$I$89,3,0)*0.475*44/12</f>
        <v>6.7387118779129862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27.797320174163318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274.57619581652199</v>
      </c>
      <c r="T79" s="59">
        <f t="shared" si="88"/>
        <v>366.15117322598775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57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278.21846622758881</v>
      </c>
      <c r="AO79" s="59">
        <f t="shared" si="90"/>
        <v>245.37578316242906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6.5023076923076868</v>
      </c>
      <c r="BD79" s="12">
        <f>IF('Données projet'!$A$88&gt;35,BD78+BC79-BL78,IF(A79&lt;'Données projet'!$A$88,$BA$205^A79,IF(A79='Données projet'!$A$88,'Données projet'!$B$88,BD78+BC79-BL78)))</f>
        <v>309.22153846153799</v>
      </c>
      <c r="BE79" s="13">
        <f>BD79*VLOOKUP('Données projet'!$B$11,Paramètres!$A$1:$I$89,3,0)*VLOOKUP('Données projet'!$B$11,Paramètres!$A$1:$I$89,5,0)</f>
        <v>184.91447999999974</v>
      </c>
      <c r="BF79" s="13">
        <f t="shared" si="91"/>
        <v>46.413847424845372</v>
      </c>
      <c r="BG79" s="20">
        <f t="shared" si="61"/>
        <v>402.89683693160515</v>
      </c>
      <c r="BH79" s="59">
        <f t="shared" si="62"/>
        <v>696.23017026493847</v>
      </c>
      <c r="BI79" s="59">
        <f ca="1">AVERAGE(OFFSET($BH$3,0,0,'Données projet'!$E$11+1,1))-AVERAGE(OFFSET($H$3,0,0,'Données projet'!$E$11+1,1))</f>
        <v>187.18641061466138</v>
      </c>
      <c r="BJ79" s="59">
        <f t="shared" si="92"/>
        <v>143.07246221325369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6.2767596727582768</v>
      </c>
      <c r="BQ79" s="21">
        <f>EXP(-LN(2)/25)*BQ78+(1-EXP(-LN(2)/25))/(LN(2)/25)*Calculateur!BL79*Calculateur!BN79*VLOOKUP('Données projet'!$B$11,Paramètres!$A$1:$I$89,3,0)*0.475*44/12</f>
        <v>23.507758585388952</v>
      </c>
      <c r="BR79" s="21">
        <f>EXP(-LN(2)/2)*BR78+(1-EXP(-LN(2)/2))/(LN(2)/2)*BL79*BO79*VLOOKUP('Données projet'!$B$11,Paramètres!$A$1:$I$89,3,0)*0.475*44/12</f>
        <v>1.820479252195031</v>
      </c>
      <c r="BS79" s="22">
        <f t="shared" si="63"/>
        <v>31.604997510342262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12.913461538461533</v>
      </c>
      <c r="BY79" s="12">
        <f>IF('Données projet'!$A$114&gt;35,BY78+BX79-CG78,IF(A79&lt;'Données projet'!$A$114,$BV$205^A79,IF(A79='Données projet'!$A$114,'Données projet'!$B$114,BY78+BX79-CG78)))</f>
        <v>398.12115384615396</v>
      </c>
      <c r="BZ79" s="13">
        <f>BY79*VLOOKUP('Données projet'!$B$12,Paramètres!$A$1:$I$89,3,0)*VLOOKUP('Données projet'!$B$12,Paramètres!$A$1:$I$89,5,0)</f>
        <v>186.32070000000004</v>
      </c>
      <c r="CA79" s="13">
        <f t="shared" si="93"/>
        <v>46.725588415193215</v>
      </c>
      <c r="CB79" s="20">
        <f t="shared" si="64"/>
        <v>405.88895232312825</v>
      </c>
      <c r="CC79" s="59">
        <f t="shared" si="65"/>
        <v>699.22228565646151</v>
      </c>
      <c r="CD79" s="59">
        <f ca="1">AVERAGE(OFFSET($CC$3,0,0,'Données projet'!$E$12+1,1))-AVERAGE(OFFSET($H$3,0,0,'Données projet'!$E$12+1,1))</f>
        <v>198.17898804494365</v>
      </c>
      <c r="CE79" s="59">
        <f t="shared" si="94"/>
        <v>186.24772922797723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55.480850384903192</v>
      </c>
      <c r="CL79" s="21">
        <f>EXP(-LN(2)/25)*CL78+(1-EXP(-LN(2)/25))/(LN(2)/25)*Calculateur!CG79*Calculateur!CI79*VLOOKUP('Données projet'!$B$12,Paramètres!$A$1:$I$89,3,0)*0.475*44/12</f>
        <v>25.119820238743092</v>
      </c>
      <c r="CM79" s="21">
        <f>EXP(-LN(2)/2)*CM78+(1-EXP(-LN(2)/2))/(LN(2)/2)*CG79*CJ79*VLOOKUP('Données projet'!$B$12,Paramètres!$A$1:$I$89,3,0)*0.475*44/12</f>
        <v>1.0549383389866855</v>
      </c>
      <c r="CN79" s="22">
        <f t="shared" si="66"/>
        <v>81.655608962632968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2.8</v>
      </c>
      <c r="CT79" s="12">
        <f>IF('Données projet'!$A$140&gt;35,CT78+CS79-DB78,IF(A79&lt;'Données projet'!$A$140,$CQ$205^A79,IF(A79='Données projet'!$A$140,'Données projet'!$B$140,CT78+CS79-DB78)))</f>
        <v>263.79999999999978</v>
      </c>
      <c r="CU79" s="17">
        <f>CT79*VLOOKUP('Données projet'!$B$13,Paramètres!$A$1:$I$89,3,0)*VLOOKUP('Données projet'!$B$13,Paramètres!$A$1:$I$89,5,0)</f>
        <v>193.41815999999983</v>
      </c>
      <c r="CV79" s="13">
        <f t="shared" si="95"/>
        <v>48.29487349052124</v>
      </c>
      <c r="CW79" s="20">
        <f t="shared" si="67"/>
        <v>420.98353332932419</v>
      </c>
      <c r="CX79" s="59">
        <f t="shared" si="68"/>
        <v>714.3168666626575</v>
      </c>
      <c r="CY79" s="59">
        <f ca="1">AVERAGE(OFFSET($CX$3,0,0,'Données projet'!$E$13+1,1))-AVERAGE(OFFSET($H$3,0,0,'Données projet'!$E$13+1,1))</f>
        <v>198.78436129430389</v>
      </c>
      <c r="CZ79" s="59">
        <f t="shared" si="96"/>
        <v>198.28846462484438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20.645661832043636</v>
      </c>
      <c r="DG79" s="21">
        <f>EXP(-LN(2)/25)*DG78+(1-EXP(-LN(2)/25))/(LN(2)/25)*Calculateur!DB79*Calculateur!DD79*VLOOKUP('Données projet'!$B$13,Paramètres!$A$1:$I$89,3,0)*0.475*44/12</f>
        <v>6.5544414472379993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27.200103279281635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274.57619581652199</v>
      </c>
      <c r="T80" s="59">
        <f t="shared" si="88"/>
        <v>366.15117322598775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57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278.21846622758881</v>
      </c>
      <c r="AO80" s="59">
        <f t="shared" si="90"/>
        <v>245.37578316242906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6.5023076923076868</v>
      </c>
      <c r="BD80" s="12">
        <f>IF('Données projet'!$A$88&gt;35,BD79+BC80-BL79,IF(A80&lt;'Données projet'!$A$88,$BA$205^A80,IF(A80='Données projet'!$A$88,'Données projet'!$B$88,BD79+BC80-BL79)))</f>
        <v>315.72384615384567</v>
      </c>
      <c r="BE80" s="13">
        <f>BD80*VLOOKUP('Données projet'!$B$11,Paramètres!$A$1:$I$89,3,0)*VLOOKUP('Données projet'!$B$11,Paramètres!$A$1:$I$89,5,0)</f>
        <v>188.80285999999973</v>
      </c>
      <c r="BF80" s="13">
        <f t="shared" si="91"/>
        <v>47.275184910655632</v>
      </c>
      <c r="BG80" s="20">
        <f t="shared" si="61"/>
        <v>411.16926155272472</v>
      </c>
      <c r="BH80" s="59">
        <f t="shared" si="62"/>
        <v>704.50259488605798</v>
      </c>
      <c r="BI80" s="59">
        <f ca="1">AVERAGE(OFFSET($BH$3,0,0,'Données projet'!$E$11+1,1))-AVERAGE(OFFSET($H$3,0,0,'Données projet'!$E$11+1,1))</f>
        <v>187.18641061466138</v>
      </c>
      <c r="BJ80" s="59">
        <f t="shared" si="92"/>
        <v>143.07246221325369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6.1536762440208594</v>
      </c>
      <c r="BQ80" s="21">
        <f>EXP(-LN(2)/25)*BQ79+(1-EXP(-LN(2)/25))/(LN(2)/25)*Calculateur!BL80*Calculateur!BN80*VLOOKUP('Données projet'!$B$11,Paramètres!$A$1:$I$89,3,0)*0.475*44/12</f>
        <v>22.864937690652194</v>
      </c>
      <c r="BR80" s="21">
        <f>EXP(-LN(2)/2)*BR79+(1-EXP(-LN(2)/2))/(LN(2)/2)*BL80*BO80*VLOOKUP('Données projet'!$B$11,Paramètres!$A$1:$I$89,3,0)*0.475*44/12</f>
        <v>1.2872732242365215</v>
      </c>
      <c r="BS80" s="22">
        <f t="shared" si="63"/>
        <v>30.305887158909577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12.913461538461533</v>
      </c>
      <c r="BY80" s="12">
        <f>IF('Données projet'!$A$114&gt;35,BY79+BX80-CG79,IF(A80&lt;'Données projet'!$A$114,$BV$205^A80,IF(A80='Données projet'!$A$114,'Données projet'!$B$114,BY79+BX80-CG79)))</f>
        <v>411.03461538461551</v>
      </c>
      <c r="BZ80" s="13">
        <f>BY80*VLOOKUP('Données projet'!$B$12,Paramètres!$A$1:$I$89,3,0)*VLOOKUP('Données projet'!$B$12,Paramètres!$A$1:$I$89,5,0)</f>
        <v>192.36420000000004</v>
      </c>
      <c r="CA80" s="13">
        <f t="shared" si="93"/>
        <v>48.062267116572606</v>
      </c>
      <c r="CB80" s="20">
        <f t="shared" si="64"/>
        <v>418.74276356136397</v>
      </c>
      <c r="CC80" s="59">
        <f t="shared" si="65"/>
        <v>712.07609689469723</v>
      </c>
      <c r="CD80" s="59">
        <f ca="1">AVERAGE(OFFSET($CC$3,0,0,'Données projet'!$E$12+1,1))-AVERAGE(OFFSET($H$3,0,0,'Données projet'!$E$12+1,1))</f>
        <v>198.17898804494365</v>
      </c>
      <c r="CE80" s="59">
        <f t="shared" si="94"/>
        <v>186.24772922797723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54.392904748832557</v>
      </c>
      <c r="CL80" s="21">
        <f>EXP(-LN(2)/25)*CL79+(1-EXP(-LN(2)/25))/(LN(2)/25)*Calculateur!CG80*Calculateur!CI80*VLOOKUP('Données projet'!$B$12,Paramètres!$A$1:$I$89,3,0)*0.475*44/12</f>
        <v>24.432917433320728</v>
      </c>
      <c r="CM80" s="21">
        <f>EXP(-LN(2)/2)*CM79+(1-EXP(-LN(2)/2))/(LN(2)/2)*CG80*CJ80*VLOOKUP('Données projet'!$B$12,Paramètres!$A$1:$I$89,3,0)*0.475*44/12</f>
        <v>0.74595405323115815</v>
      </c>
      <c r="CN80" s="22">
        <f t="shared" si="66"/>
        <v>79.571776235384448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2.8</v>
      </c>
      <c r="CT80" s="12">
        <f>IF('Données projet'!$A$140&gt;35,CT79+CS80-DB79,IF(A80&lt;'Données projet'!$A$140,$CQ$205^A80,IF(A80='Données projet'!$A$140,'Données projet'!$B$140,CT79+CS80-DB79)))</f>
        <v>266.5999999999998</v>
      </c>
      <c r="CU80" s="17">
        <f>CT80*VLOOKUP('Données projet'!$B$13,Paramètres!$A$1:$I$89,3,0)*VLOOKUP('Données projet'!$B$13,Paramètres!$A$1:$I$89,5,0)</f>
        <v>195.47111999999984</v>
      </c>
      <c r="CV80" s="13">
        <f t="shared" si="95"/>
        <v>48.747534064963503</v>
      </c>
      <c r="CW80" s="20">
        <f t="shared" si="67"/>
        <v>425.34748916314447</v>
      </c>
      <c r="CX80" s="59">
        <f t="shared" si="68"/>
        <v>718.68082249647773</v>
      </c>
      <c r="CY80" s="59">
        <f ca="1">AVERAGE(OFFSET($CX$3,0,0,'Données projet'!$E$13+1,1))-AVERAGE(OFFSET($H$3,0,0,'Données projet'!$E$13+1,1))</f>
        <v>198.78436129430389</v>
      </c>
      <c r="CZ80" s="59">
        <f t="shared" si="96"/>
        <v>198.28846462484438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20.240812996127563</v>
      </c>
      <c r="DG80" s="21">
        <f>EXP(-LN(2)/25)*DG79+(1-EXP(-LN(2)/25))/(LN(2)/25)*Calculateur!DB80*Calculateur!DD80*VLOOKUP('Données projet'!$B$13,Paramètres!$A$1:$I$89,3,0)*0.475*44/12</f>
        <v>6.375209901180181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26.616022897307744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274.57619581652199</v>
      </c>
      <c r="T81" s="59">
        <f t="shared" si="88"/>
        <v>366.15117322598775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57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278.21846622758881</v>
      </c>
      <c r="AO81" s="59">
        <f t="shared" si="90"/>
        <v>245.37578316242906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6.5023076923076868</v>
      </c>
      <c r="BD81" s="12">
        <f>IF('Données projet'!$A$88&gt;35,BD80+BC81-BL80,IF(A81&lt;'Données projet'!$A$88,$BA$205^A81,IF(A81='Données projet'!$A$88,'Données projet'!$B$88,BD80+BC81-BL80)))</f>
        <v>322.22615384615335</v>
      </c>
      <c r="BE81" s="13">
        <f>BD81*VLOOKUP('Données projet'!$B$11,Paramètres!$A$1:$I$89,3,0)*VLOOKUP('Données projet'!$B$11,Paramètres!$A$1:$I$89,5,0)</f>
        <v>192.69123999999974</v>
      </c>
      <c r="BF81" s="13">
        <f t="shared" si="91"/>
        <v>48.134459875071869</v>
      </c>
      <c r="BG81" s="20">
        <f t="shared" si="61"/>
        <v>419.43809394908311</v>
      </c>
      <c r="BH81" s="59">
        <f t="shared" si="62"/>
        <v>712.77142728241643</v>
      </c>
      <c r="BI81" s="59">
        <f ca="1">AVERAGE(OFFSET($BH$3,0,0,'Données projet'!$E$11+1,1))-AVERAGE(OFFSET($H$3,0,0,'Données projet'!$E$11+1,1))</f>
        <v>187.18641061466138</v>
      </c>
      <c r="BJ81" s="59">
        <f t="shared" si="92"/>
        <v>143.07246221325369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6.0330064062475044</v>
      </c>
      <c r="BQ81" s="21">
        <f>EXP(-LN(2)/25)*BQ80+(1-EXP(-LN(2)/25))/(LN(2)/25)*Calculateur!BL81*Calculateur!BN81*VLOOKUP('Données projet'!$B$11,Paramètres!$A$1:$I$89,3,0)*0.475*44/12</f>
        <v>22.239694767086494</v>
      </c>
      <c r="BR81" s="21">
        <f>EXP(-LN(2)/2)*BR80+(1-EXP(-LN(2)/2))/(LN(2)/2)*BL81*BO81*VLOOKUP('Données projet'!$B$11,Paramètres!$A$1:$I$89,3,0)*0.475*44/12</f>
        <v>0.91023962609751552</v>
      </c>
      <c r="BS81" s="22">
        <f t="shared" si="63"/>
        <v>29.182940799431513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12.913461538461533</v>
      </c>
      <c r="BY81" s="12">
        <f>IF('Données projet'!$A$114&gt;35,BY80+BX81-CG80,IF(A81&lt;'Données projet'!$A$114,$BV$205^A81,IF(A81='Données projet'!$A$114,'Données projet'!$B$114,BY80+BX81-CG80)))</f>
        <v>423.94807692307705</v>
      </c>
      <c r="BZ81" s="13">
        <f>BY81*VLOOKUP('Données projet'!$B$12,Paramètres!$A$1:$I$89,3,0)*VLOOKUP('Données projet'!$B$12,Paramètres!$A$1:$I$89,5,0)</f>
        <v>198.40770000000006</v>
      </c>
      <c r="CA81" s="13">
        <f t="shared" si="93"/>
        <v>49.394065749424826</v>
      </c>
      <c r="CB81" s="20">
        <f t="shared" si="64"/>
        <v>431.58807534691499</v>
      </c>
      <c r="CC81" s="59">
        <f t="shared" si="65"/>
        <v>724.92140868024831</v>
      </c>
      <c r="CD81" s="59">
        <f ca="1">AVERAGE(OFFSET($CC$3,0,0,'Données projet'!$E$12+1,1))-AVERAGE(OFFSET($H$3,0,0,'Données projet'!$E$12+1,1))</f>
        <v>198.17898804494365</v>
      </c>
      <c r="CE81" s="59">
        <f t="shared" si="94"/>
        <v>186.24772922797723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53.326293063103947</v>
      </c>
      <c r="CL81" s="21">
        <f>EXP(-LN(2)/25)*CL80+(1-EXP(-LN(2)/25))/(LN(2)/25)*Calculateur!CG81*Calculateur!CI81*VLOOKUP('Données projet'!$B$12,Paramètres!$A$1:$I$89,3,0)*0.475*44/12</f>
        <v>23.764798021235286</v>
      </c>
      <c r="CM81" s="21">
        <f>EXP(-LN(2)/2)*CM80+(1-EXP(-LN(2)/2))/(LN(2)/2)*CG81*CJ81*VLOOKUP('Données projet'!$B$12,Paramètres!$A$1:$I$89,3,0)*0.475*44/12</f>
        <v>0.52746916949334277</v>
      </c>
      <c r="CN81" s="22">
        <f t="shared" si="66"/>
        <v>77.618560253832584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2.8</v>
      </c>
      <c r="CT81" s="12">
        <f>IF('Données projet'!$A$140&gt;35,CT80+CS81-DB80,IF(A81&lt;'Données projet'!$A$140,$CQ$205^A81,IF(A81='Données projet'!$A$140,'Données projet'!$B$140,CT80+CS81-DB80)))</f>
        <v>269.39999999999981</v>
      </c>
      <c r="CU81" s="17">
        <f>CT81*VLOOKUP('Données projet'!$B$13,Paramètres!$A$1:$I$89,3,0)*VLOOKUP('Données projet'!$B$13,Paramètres!$A$1:$I$89,5,0)</f>
        <v>197.52407999999986</v>
      </c>
      <c r="CV81" s="13">
        <f t="shared" si="95"/>
        <v>49.199641586671113</v>
      </c>
      <c r="CW81" s="20">
        <f t="shared" si="67"/>
        <v>429.71048176345192</v>
      </c>
      <c r="CX81" s="59">
        <f t="shared" si="68"/>
        <v>723.04381509678524</v>
      </c>
      <c r="CY81" s="59">
        <f ca="1">AVERAGE(OFFSET($CX$3,0,0,'Données projet'!$E$13+1,1))-AVERAGE(OFFSET($H$3,0,0,'Données projet'!$E$13+1,1))</f>
        <v>198.78436129430389</v>
      </c>
      <c r="CZ81" s="59">
        <f t="shared" si="96"/>
        <v>198.28846462484438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19.843902998950394</v>
      </c>
      <c r="DG81" s="21">
        <f>EXP(-LN(2)/25)*DG80+(1-EXP(-LN(2)/25))/(LN(2)/25)*Calculateur!DB81*Calculateur!DD81*VLOOKUP('Données projet'!$B$13,Paramètres!$A$1:$I$89,3,0)*0.475*44/12</f>
        <v>6.200879451174691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26.044782450125084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274.57619581652199</v>
      </c>
      <c r="T82" s="59">
        <f t="shared" si="88"/>
        <v>366.15117322598775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57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278.21846622758881</v>
      </c>
      <c r="AO82" s="59">
        <f t="shared" si="90"/>
        <v>245.37578316242906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6.5023076923076868</v>
      </c>
      <c r="BD82" s="12">
        <f>IF('Données projet'!$A$88&gt;35,BD81+BC82-BL81,IF(A82&lt;'Données projet'!$A$88,$BA$205^A82,IF(A82='Données projet'!$A$88,'Données projet'!$B$88,BD81+BC82-BL81)))</f>
        <v>328.72846153846103</v>
      </c>
      <c r="BE82" s="13">
        <f>BD82*VLOOKUP('Données projet'!$B$11,Paramètres!$A$1:$I$89,3,0)*VLOOKUP('Données projet'!$B$11,Paramètres!$A$1:$I$89,5,0)</f>
        <v>196.57961999999972</v>
      </c>
      <c r="BF82" s="13">
        <f t="shared" si="91"/>
        <v>48.991718734826463</v>
      </c>
      <c r="BG82" s="20">
        <f t="shared" si="61"/>
        <v>427.70341496315558</v>
      </c>
      <c r="BH82" s="59">
        <f t="shared" si="62"/>
        <v>721.03674829648889</v>
      </c>
      <c r="BI82" s="59">
        <f ca="1">AVERAGE(OFFSET($BH$3,0,0,'Données projet'!$E$11+1,1))-AVERAGE(OFFSET($H$3,0,0,'Données projet'!$E$11+1,1))</f>
        <v>187.18641061466138</v>
      </c>
      <c r="BJ82" s="59">
        <f t="shared" si="92"/>
        <v>143.07246221325369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5.9147028303915512</v>
      </c>
      <c r="BQ82" s="21">
        <f>EXP(-LN(2)/25)*BQ81+(1-EXP(-LN(2)/25))/(LN(2)/25)*Calculateur!BL82*Calculateur!BN82*VLOOKUP('Données projet'!$B$11,Paramètres!$A$1:$I$89,3,0)*0.475*44/12</f>
        <v>21.631549144145797</v>
      </c>
      <c r="BR82" s="21">
        <f>EXP(-LN(2)/2)*BR81+(1-EXP(-LN(2)/2))/(LN(2)/2)*BL82*BO82*VLOOKUP('Données projet'!$B$11,Paramètres!$A$1:$I$89,3,0)*0.475*44/12</f>
        <v>0.64363661211826073</v>
      </c>
      <c r="BS82" s="22">
        <f t="shared" si="63"/>
        <v>28.189888586655609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>
        <f>VLOOKUP(A82,'Données projet'!$A$113:$I$133,2,0)</f>
        <v>436.86153846153843</v>
      </c>
      <c r="BW82" s="12">
        <f>VLOOKUP(A82,'Données projet'!$A$113:$I$133,9,0)</f>
        <v>12.913461538461533</v>
      </c>
      <c r="BX82" s="12">
        <f t="array" ref="BX82">INDEX(BW:BW,MIN(IF(ISNUMBER(BW82:BW278),ROW(BW82:BW278),"")))</f>
        <v>12.913461538461533</v>
      </c>
      <c r="BY82" s="12">
        <f>IF('Données projet'!$A$114&gt;35,BY81+BX82-CG81,IF(A82&lt;'Données projet'!$A$114,$BV$205^A82,IF(A82='Données projet'!$A$114,'Données projet'!$B$114,BY81+BX82-CG81)))</f>
        <v>436.8615384615386</v>
      </c>
      <c r="BZ82" s="13">
        <f>BY82*VLOOKUP('Données projet'!$B$12,Paramètres!$A$1:$I$89,3,0)*VLOOKUP('Données projet'!$B$12,Paramètres!$A$1:$I$89,5,0)</f>
        <v>204.45120000000009</v>
      </c>
      <c r="CA82" s="13">
        <f t="shared" si="93"/>
        <v>50.721150021305952</v>
      </c>
      <c r="CB82" s="20">
        <f t="shared" si="64"/>
        <v>444.42517628710794</v>
      </c>
      <c r="CC82" s="59">
        <f t="shared" si="65"/>
        <v>737.75850962044126</v>
      </c>
      <c r="CD82" s="59">
        <f ca="1">AVERAGE(OFFSET($CC$3,0,0,'Données projet'!$E$12+1,1))-AVERAGE(OFFSET($H$3,0,0,'Données projet'!$E$12+1,1))</f>
        <v>198.17898804494365</v>
      </c>
      <c r="CE82" s="59">
        <f t="shared" si="94"/>
        <v>186.24772922797723</v>
      </c>
      <c r="CF82" s="15">
        <f>IF(ISNA(VLOOKUP(A82,'Données projet'!$A$113:$I$133,3,0)),0,VLOOKUP(A82,'Données projet'!$A$113:$I$133,3,0))</f>
        <v>6</v>
      </c>
      <c r="CG82" s="15">
        <f>IF(ISNA(VLOOKUP(A82,'Données projet'!$A$113:$I$133,4,0)),0,VLOOKUP(A82,'Données projet'!$A$113:$I$133,4,0))</f>
        <v>77.338461538461544</v>
      </c>
      <c r="CH82" s="16">
        <f>IF(ISNA(VLOOKUP(A82,'Données projet'!$A$113:$I$133,5,0)),0%,VLOOKUP(A82,'Données projet'!$A$113:$I$133,5,0)*VLOOKUP('Données projet'!$B$12,Paramètres!$A$1:$I$89,7,0))</f>
        <v>0.38500000000000001</v>
      </c>
      <c r="CI82" s="16">
        <f>IF(ISNA(VLOOKUP(A82,'Données projet'!$A$113:$I$133,6,0)),0%,VLOOKUP(A82,'Données projet'!$A$113:$I$133,6,0)*VLOOKUP('Données projet'!$B$12,Paramètres!$A$1:$I$89,7,0))</f>
        <v>9.240000000000001E-2</v>
      </c>
      <c r="CJ82" s="16">
        <f>IF(ISNA(VLOOKUP(A82,'Données projet'!$A$113:$I$133,7,0)),0%,VLOOKUP(A82,'Données projet'!$A$113:$I$133,7,0))</f>
        <v>0.13200000000000001</v>
      </c>
      <c r="CK82" s="21">
        <f>EXP(-LN(2)/35)*CK81+(1-EXP(-LN(2)/35))/(LN(2)/35)*CG82*CH82*VLOOKUP('Données projet'!$B$12,Paramètres!$A$1:$I$89,3,0)*0.475*44/12</f>
        <v>70.766065724458542</v>
      </c>
      <c r="CL82" s="21">
        <f>EXP(-LN(2)/25)*CL81+(1-EXP(-LN(2)/25))/(LN(2)/25)*Calculateur!CG82*Calculateur!CI82*VLOOKUP('Données projet'!$B$12,Paramètres!$A$1:$I$89,3,0)*0.475*44/12</f>
        <v>27.533992627657781</v>
      </c>
      <c r="CM82" s="21">
        <f>EXP(-LN(2)/2)*CM81+(1-EXP(-LN(2)/2))/(LN(2)/2)*CG82*CJ82*VLOOKUP('Données projet'!$B$12,Paramètres!$A$1:$I$89,3,0)*0.475*44/12</f>
        <v>5.7823988910017112</v>
      </c>
      <c r="CN82" s="22">
        <f t="shared" si="66"/>
        <v>104.08245724311803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2.8</v>
      </c>
      <c r="CT82" s="12">
        <f>IF('Données projet'!$A$140&gt;35,CT81+CS82-DB81,IF(A82&lt;'Données projet'!$A$140,$CQ$205^A82,IF(A82='Données projet'!$A$140,'Données projet'!$B$140,CT81+CS82-DB81)))</f>
        <v>272.19999999999982</v>
      </c>
      <c r="CU82" s="17">
        <f>CT82*VLOOKUP('Données projet'!$B$13,Paramètres!$A$1:$I$89,3,0)*VLOOKUP('Données projet'!$B$13,Paramètres!$A$1:$I$89,5,0)</f>
        <v>199.57703999999987</v>
      </c>
      <c r="CV82" s="13">
        <f t="shared" si="95"/>
        <v>49.651202469214105</v>
      </c>
      <c r="CW82" s="20">
        <f t="shared" si="67"/>
        <v>434.07252230054763</v>
      </c>
      <c r="CX82" s="59">
        <f t="shared" si="68"/>
        <v>727.40585563388095</v>
      </c>
      <c r="CY82" s="59">
        <f ca="1">AVERAGE(OFFSET($CX$3,0,0,'Données projet'!$E$13+1,1))-AVERAGE(OFFSET($H$3,0,0,'Données projet'!$E$13+1,1))</f>
        <v>198.78436129430389</v>
      </c>
      <c r="CZ82" s="59">
        <f t="shared" si="96"/>
        <v>198.28846462484438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19.454776164726677</v>
      </c>
      <c r="DG82" s="21">
        <f>EXP(-LN(2)/25)*DG81+(1-EXP(-LN(2)/25))/(LN(2)/25)*Calculateur!DB82*Calculateur!DD82*VLOOKUP('Données projet'!$B$13,Paramètres!$A$1:$I$89,3,0)*0.475*44/12</f>
        <v>6.0313160764922413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25.48609224121892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274.57619581652199</v>
      </c>
      <c r="T83" s="59">
        <f t="shared" si="88"/>
        <v>366.15117322598775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57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278.21846622758881</v>
      </c>
      <c r="AO83" s="59">
        <f t="shared" si="90"/>
        <v>245.37578316242906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335.23076923076917</v>
      </c>
      <c r="BB83" s="12">
        <f>VLOOKUP(A83,'Données projet'!$A$87:$I$107,9,0)</f>
        <v>6.5023076923076868</v>
      </c>
      <c r="BC83" s="12">
        <f t="array" ref="BC83">INDEX(BB:BB,MIN(IF(ISNUMBER(BB83:BB279),ROW(BB83:BB279),"")))</f>
        <v>6.5023076923076868</v>
      </c>
      <c r="BD83" s="12">
        <f>IF('Données projet'!$A$88&gt;35,BD82+BC83-BL82,IF(A83&lt;'Données projet'!$A$88,$BA$205^A83,IF(A83='Données projet'!$A$88,'Données projet'!$B$88,BD82+BC83-BL82)))</f>
        <v>335.23076923076871</v>
      </c>
      <c r="BE83" s="13">
        <f>BD83*VLOOKUP('Données projet'!$B$11,Paramètres!$A$1:$I$89,3,0)*VLOOKUP('Données projet'!$B$11,Paramètres!$A$1:$I$89,5,0)</f>
        <v>200.46799999999973</v>
      </c>
      <c r="BF83" s="13">
        <f t="shared" si="91"/>
        <v>49.847005965374279</v>
      </c>
      <c r="BG83" s="20">
        <f t="shared" si="61"/>
        <v>435.96530205635969</v>
      </c>
      <c r="BH83" s="59">
        <f t="shared" si="62"/>
        <v>729.298635389693</v>
      </c>
      <c r="BI83" s="59">
        <f ca="1">AVERAGE(OFFSET($BH$3,0,0,'Données projet'!$E$11+1,1))-AVERAGE(OFFSET($H$3,0,0,'Données projet'!$E$11+1,1))</f>
        <v>187.18641061466138</v>
      </c>
      <c r="BJ83" s="59">
        <f t="shared" si="92"/>
        <v>143.07246221325369</v>
      </c>
      <c r="BK83" s="15">
        <f>IF(ISNA(VLOOKUP(A83,'Données projet'!$A$87:$I$107,3,0)),0,VLOOKUP(A83,'Données projet'!$A$87:$I$107,3,0))</f>
        <v>4</v>
      </c>
      <c r="BL83" s="21">
        <f>IF(ISNA(VLOOKUP(A83,'Données projet'!$A$87:$I$107,4,0)),0,VLOOKUP(A83,'Données projet'!$A$87:$I$107,4,0))</f>
        <v>56.992307692307691</v>
      </c>
      <c r="BM83" s="16">
        <f>IF(ISNA(VLOOKUP(A83,'Données projet'!$A$87:$I$107,5,0)),0%,VLOOKUP(A83,'Données projet'!$A$87:$I$107,5,0)*VLOOKUP('Données projet'!$B$11,Paramètres!$A$1:$I$89,7,0))</f>
        <v>0.19800000000000001</v>
      </c>
      <c r="BN83" s="16">
        <f>IF(ISNA(VLOOKUP(A83,'Données projet'!$A$87:$I$107,6,0)),0%,VLOOKUP(A83,'Données projet'!$A$87:$I$107,6,0)*VLOOKUP('Données projet'!$B$11,Paramètres!$A$1:$I$89,7,0))</f>
        <v>0.14850000000000002</v>
      </c>
      <c r="BO83" s="16">
        <f>IF(ISNA(VLOOKUP(A83,'Données projet'!$A$87:$I$107,7,0)),0%,VLOOKUP(A83,'Données projet'!$A$87:$I$107,7,0))</f>
        <v>0.23</v>
      </c>
      <c r="BP83" s="21">
        <f>EXP(-LN(2)/35)*BP82+(1-EXP(-LN(2)/35))/(LN(2)/35)*BL83*BM83*VLOOKUP('Données projet'!$B$11,Paramètres!$A$1:$I$89,3,0)*0.475*44/12</f>
        <v>14.750531534160272</v>
      </c>
      <c r="BQ83" s="21">
        <f>EXP(-LN(2)/25)*BQ82+(1-EXP(-LN(2)/25))/(LN(2)/25)*Calculateur!BL83*Calculateur!BN83*VLOOKUP('Données projet'!$B$11,Paramètres!$A$1:$I$89,3,0)*0.475*44/12</f>
        <v>27.727457586940393</v>
      </c>
      <c r="BR83" s="21">
        <f>EXP(-LN(2)/2)*BR82+(1-EXP(-LN(2)/2))/(LN(2)/2)*BL83*BO83*VLOOKUP('Données projet'!$B$11,Paramètres!$A$1:$I$89,3,0)*0.475*44/12</f>
        <v>9.3303740327800089</v>
      </c>
      <c r="BS83" s="22">
        <f t="shared" si="63"/>
        <v>51.80836315388067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12.124038461538468</v>
      </c>
      <c r="BY83" s="12">
        <f>IF('Données projet'!$A$114&gt;35,BY82+BX83-CG82,IF(A83&lt;'Données projet'!$A$114,$BV$205^A83,IF(A83='Données projet'!$A$114,'Données projet'!$B$114,BY82+BX83-CG82)))</f>
        <v>371.64711538461552</v>
      </c>
      <c r="BZ83" s="13">
        <f>BY83*VLOOKUP('Données projet'!$B$12,Paramètres!$A$1:$I$89,3,0)*VLOOKUP('Données projet'!$B$12,Paramètres!$A$1:$I$89,5,0)</f>
        <v>173.93085000000008</v>
      </c>
      <c r="CA83" s="13">
        <f t="shared" si="93"/>
        <v>43.969228534222836</v>
      </c>
      <c r="CB83" s="20">
        <f t="shared" si="64"/>
        <v>379.50930344710491</v>
      </c>
      <c r="CC83" s="59">
        <f t="shared" si="65"/>
        <v>672.84263678043817</v>
      </c>
      <c r="CD83" s="59">
        <f ca="1">AVERAGE(OFFSET($CC$3,0,0,'Données projet'!$E$12+1,1))-AVERAGE(OFFSET($H$3,0,0,'Données projet'!$E$12+1,1))</f>
        <v>198.17898804494365</v>
      </c>
      <c r="CE83" s="59">
        <f t="shared" si="94"/>
        <v>186.24772922797723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69.378386338640013</v>
      </c>
      <c r="CL83" s="21">
        <f>EXP(-LN(2)/25)*CL82+(1-EXP(-LN(2)/25))/(LN(2)/25)*Calculateur!CG83*Calculateur!CI83*VLOOKUP('Données projet'!$B$12,Paramètres!$A$1:$I$89,3,0)*0.475*44/12</f>
        <v>26.781074151304736</v>
      </c>
      <c r="CM83" s="21">
        <f>EXP(-LN(2)/2)*CM82+(1-EXP(-LN(2)/2))/(LN(2)/2)*CG83*CJ83*VLOOKUP('Données projet'!$B$12,Paramètres!$A$1:$I$89,3,0)*0.475*44/12</f>
        <v>4.0887734673528824</v>
      </c>
      <c r="CN83" s="22">
        <f t="shared" si="66"/>
        <v>100.24823395729763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275</v>
      </c>
      <c r="CR83" s="12">
        <f>VLOOKUP(A83,'Données projet'!$A$139:$I$159,9,0)</f>
        <v>2.8</v>
      </c>
      <c r="CS83" s="12">
        <f t="array" ref="CS83">INDEX(CR:CR,MIN(IF(ISNUMBER(CR83:CR279),ROW(CR83:CR279),"")))</f>
        <v>2.8</v>
      </c>
      <c r="CT83" s="12">
        <f>IF('Données projet'!$A$140&gt;35,CT82+CS83-DB82,IF(A83&lt;'Données projet'!$A$140,$CQ$205^A83,IF(A83='Données projet'!$A$140,'Données projet'!$B$140,CT82+CS83-DB82)))</f>
        <v>274.99999999999983</v>
      </c>
      <c r="CU83" s="17">
        <f>CT83*VLOOKUP('Données projet'!$B$13,Paramètres!$A$1:$I$89,3,0)*VLOOKUP('Données projet'!$B$13,Paramètres!$A$1:$I$89,5,0)</f>
        <v>201.62999999999988</v>
      </c>
      <c r="CV83" s="13">
        <f t="shared" si="95"/>
        <v>50.102222986612503</v>
      </c>
      <c r="CW83" s="20">
        <f t="shared" si="67"/>
        <v>438.43362170168325</v>
      </c>
      <c r="CX83" s="59">
        <f t="shared" si="68"/>
        <v>731.76695503501651</v>
      </c>
      <c r="CY83" s="59">
        <f ca="1">AVERAGE(OFFSET($CX$3,0,0,'Données projet'!$E$13+1,1))-AVERAGE(OFFSET($H$3,0,0,'Données projet'!$E$13+1,1))</f>
        <v>198.78436129430389</v>
      </c>
      <c r="CZ83" s="59">
        <f t="shared" si="96"/>
        <v>198.28846462484438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8</v>
      </c>
      <c r="DC83" s="16">
        <f>IF(ISNA(VLOOKUP(A83,'Données projet'!$A$139:$I$159,5,0)),0%,VLOOKUP(A83,'Données projet'!$A$139:$I$159,5,0)*VLOOKUP('Données projet'!$B$13,Paramètres!$A$1:$I$89,7,0))</f>
        <v>0.37840000000000001</v>
      </c>
      <c r="DD83" s="16">
        <f>IF(ISNA(VLOOKUP(A83,'Données projet'!$A$139:$I$159,6,0)),0%,VLOOKUP(A83,'Données projet'!$A$139:$I$159,6,0)*VLOOKUP('Données projet'!$B$13,Paramètres!$A$1:$I$89,7,0))</f>
        <v>5.5899999999999998E-2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21.526918957196674</v>
      </c>
      <c r="DG83" s="21">
        <f>EXP(-LN(2)/25)*DG82+(1-EXP(-LN(2)/25))/(LN(2)/25)*Calculateur!DB83*Calculateur!DD83*VLOOKUP('Données projet'!$B$13,Paramètres!$A$1:$I$89,3,0)*0.475*44/12</f>
        <v>6.227431651579149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27.754350608775823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274.57619581652199</v>
      </c>
      <c r="T84" s="59">
        <f t="shared" si="88"/>
        <v>366.15117322598775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57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278.21846622758881</v>
      </c>
      <c r="AO84" s="59">
        <f t="shared" si="90"/>
        <v>245.37578316242906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6.3000000000000034</v>
      </c>
      <c r="BD84" s="12">
        <f>IF('Données projet'!$A$88&gt;35,BD83+BC84-BL83,IF(A84&lt;'Données projet'!$A$88,$BA$205^A84,IF(A84='Données projet'!$A$88,'Données projet'!$B$88,BD83+BC84-BL83)))</f>
        <v>284.53846153846104</v>
      </c>
      <c r="BE84" s="13">
        <f>BD84*VLOOKUP('Données projet'!$B$11,Paramètres!$A$1:$I$89,3,0)*VLOOKUP('Données projet'!$B$11,Paramètres!$A$1:$I$89,5,0)</f>
        <v>170.15399999999971</v>
      </c>
      <c r="BF84" s="13">
        <f t="shared" si="91"/>
        <v>43.124512644574928</v>
      </c>
      <c r="BG84" s="20">
        <f t="shared" si="61"/>
        <v>371.46007618930088</v>
      </c>
      <c r="BH84" s="59">
        <f t="shared" si="62"/>
        <v>664.79340952263419</v>
      </c>
      <c r="BI84" s="59">
        <f ca="1">AVERAGE(OFFSET($BH$3,0,0,'Données projet'!$E$11+1,1))-AVERAGE(OFFSET($H$3,0,0,'Données projet'!$E$11+1,1))</f>
        <v>187.18641061466138</v>
      </c>
      <c r="BJ84" s="59">
        <f t="shared" si="92"/>
        <v>143.07246221325369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14.461282607711251</v>
      </c>
      <c r="BQ84" s="21">
        <f>EXP(-LN(2)/25)*BQ83+(1-EXP(-LN(2)/25))/(LN(2)/25)*Calculateur!BL84*Calculateur!BN84*VLOOKUP('Données projet'!$B$11,Paramètres!$A$1:$I$89,3,0)*0.475*44/12</f>
        <v>26.969248801101884</v>
      </c>
      <c r="BR84" s="21">
        <f>EXP(-LN(2)/2)*BR83+(1-EXP(-LN(2)/2))/(LN(2)/2)*BL84*BO84*VLOOKUP('Données projet'!$B$11,Paramètres!$A$1:$I$89,3,0)*0.475*44/12</f>
        <v>6.5975707495856195</v>
      </c>
      <c r="BS84" s="22">
        <f t="shared" si="63"/>
        <v>48.02810215839876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12.124038461538468</v>
      </c>
      <c r="BY84" s="12">
        <f>IF('Données projet'!$A$114&gt;35,BY83+BX84-CG83,IF(A84&lt;'Données projet'!$A$114,$BV$205^A84,IF(A84='Données projet'!$A$114,'Données projet'!$B$114,BY83+BX84-CG83)))</f>
        <v>383.77115384615399</v>
      </c>
      <c r="BZ84" s="13">
        <f>BY84*VLOOKUP('Données projet'!$B$12,Paramètres!$A$1:$I$89,3,0)*VLOOKUP('Données projet'!$B$12,Paramètres!$A$1:$I$89,5,0)</f>
        <v>179.60490000000007</v>
      </c>
      <c r="CA84" s="13">
        <f t="shared" si="93"/>
        <v>45.234272457213635</v>
      </c>
      <c r="CB84" s="20">
        <f t="shared" si="64"/>
        <v>391.59489202964716</v>
      </c>
      <c r="CC84" s="59">
        <f t="shared" si="65"/>
        <v>684.92822536298047</v>
      </c>
      <c r="CD84" s="59">
        <f ca="1">AVERAGE(OFFSET($CC$3,0,0,'Données projet'!$E$12+1,1))-AVERAGE(OFFSET($H$3,0,0,'Données projet'!$E$12+1,1))</f>
        <v>198.17898804494365</v>
      </c>
      <c r="CE84" s="59">
        <f t="shared" si="94"/>
        <v>186.24772922797723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68.017918499176531</v>
      </c>
      <c r="CL84" s="21">
        <f>EXP(-LN(2)/25)*CL83+(1-EXP(-LN(2)/25))/(LN(2)/25)*Calculateur!CG84*Calculateur!CI84*VLOOKUP('Données projet'!$B$12,Paramètres!$A$1:$I$89,3,0)*0.475*44/12</f>
        <v>26.048744270281826</v>
      </c>
      <c r="CM84" s="21">
        <f>EXP(-LN(2)/2)*CM83+(1-EXP(-LN(2)/2))/(LN(2)/2)*CG84*CJ84*VLOOKUP('Données projet'!$B$12,Paramètres!$A$1:$I$89,3,0)*0.475*44/12</f>
        <v>2.8911994455008561</v>
      </c>
      <c r="CN84" s="22">
        <f t="shared" si="66"/>
        <v>96.957862214959221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266.99999999999983</v>
      </c>
      <c r="CU84" s="17">
        <f>CT84*VLOOKUP('Données projet'!$B$13,Paramètres!$A$1:$I$89,3,0)*VLOOKUP('Données projet'!$B$13,Paramètres!$A$1:$I$89,5,0)</f>
        <v>195.76439999999985</v>
      </c>
      <c r="CV84" s="13">
        <f t="shared" si="95"/>
        <v>48.812154563023455</v>
      </c>
      <c r="CW84" s="20">
        <f t="shared" si="67"/>
        <v>425.9708325305989</v>
      </c>
      <c r="CX84" s="59">
        <f t="shared" si="68"/>
        <v>719.30416586393221</v>
      </c>
      <c r="CY84" s="59">
        <f ca="1">AVERAGE(OFFSET($CX$3,0,0,'Données projet'!$E$13+1,1))-AVERAGE(OFFSET($H$3,0,0,'Données projet'!$E$13+1,1))</f>
        <v>198.78436129430389</v>
      </c>
      <c r="CZ84" s="59">
        <f t="shared" si="96"/>
        <v>198.28846462484438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21.104789206570118</v>
      </c>
      <c r="DG84" s="21">
        <f>EXP(-LN(2)/25)*DG83+(1-EXP(-LN(2)/25))/(LN(2)/25)*Calculateur!DB84*Calculateur!DD84*VLOOKUP('Données projet'!$B$13,Paramètres!$A$1:$I$89,3,0)*0.475*44/12</f>
        <v>6.0571422055803197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27.161931412150437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274.57619581652199</v>
      </c>
      <c r="T85" s="59">
        <f t="shared" si="88"/>
        <v>366.15117322598775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57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278.21846622758881</v>
      </c>
      <c r="AO85" s="59">
        <f t="shared" si="90"/>
        <v>245.37578316242906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6.3000000000000034</v>
      </c>
      <c r="BD85" s="12">
        <f>IF('Données projet'!$A$88&gt;35,BD84+BC85-BL84,IF(A85&lt;'Données projet'!$A$88,$BA$205^A85,IF(A85='Données projet'!$A$88,'Données projet'!$B$88,BD84+BC85-BL84)))</f>
        <v>290.83846153846105</v>
      </c>
      <c r="BE85" s="13">
        <f>BD85*VLOOKUP('Données projet'!$B$11,Paramètres!$A$1:$I$89,3,0)*VLOOKUP('Données projet'!$B$11,Paramètres!$A$1:$I$89,5,0)</f>
        <v>173.92139999999969</v>
      </c>
      <c r="BF85" s="13">
        <f t="shared" si="91"/>
        <v>43.967117666032202</v>
      </c>
      <c r="BG85" s="20">
        <f t="shared" si="61"/>
        <v>379.48916826833891</v>
      </c>
      <c r="BH85" s="59">
        <f t="shared" si="62"/>
        <v>672.82250160167223</v>
      </c>
      <c r="BI85" s="59">
        <f ca="1">AVERAGE(OFFSET($BH$3,0,0,'Données projet'!$E$11+1,1))-AVERAGE(OFFSET($H$3,0,0,'Données projet'!$E$11+1,1))</f>
        <v>187.18641061466138</v>
      </c>
      <c r="BJ85" s="59">
        <f t="shared" si="92"/>
        <v>143.07246221325369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14.177705676285472</v>
      </c>
      <c r="BQ85" s="21">
        <f>EXP(-LN(2)/25)*BQ84+(1-EXP(-LN(2)/25))/(LN(2)/25)*Calculateur!BL85*Calculateur!BN85*VLOOKUP('Données projet'!$B$11,Paramètres!$A$1:$I$89,3,0)*0.475*44/12</f>
        <v>26.231773274384597</v>
      </c>
      <c r="BR85" s="21">
        <f>EXP(-LN(2)/2)*BR84+(1-EXP(-LN(2)/2))/(LN(2)/2)*BL85*BO85*VLOOKUP('Données projet'!$B$11,Paramètres!$A$1:$I$89,3,0)*0.475*44/12</f>
        <v>4.6651870163900053</v>
      </c>
      <c r="BS85" s="22">
        <f t="shared" si="63"/>
        <v>45.074665967060078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12.124038461538468</v>
      </c>
      <c r="BY85" s="12">
        <f>IF('Données projet'!$A$114&gt;35,BY84+BX85-CG84,IF(A85&lt;'Données projet'!$A$114,$BV$205^A85,IF(A85='Données projet'!$A$114,'Données projet'!$B$114,BY84+BX85-CG84)))</f>
        <v>395.89519230769247</v>
      </c>
      <c r="BZ85" s="13">
        <f>BY85*VLOOKUP('Données projet'!$B$12,Paramètres!$A$1:$I$89,3,0)*VLOOKUP('Données projet'!$B$12,Paramètres!$A$1:$I$89,5,0)</f>
        <v>185.27895000000009</v>
      </c>
      <c r="CA85" s="13">
        <f t="shared" si="93"/>
        <v>46.494672172616063</v>
      </c>
      <c r="CB85" s="20">
        <f t="shared" si="64"/>
        <v>403.67239195063979</v>
      </c>
      <c r="CC85" s="59">
        <f t="shared" si="65"/>
        <v>697.00572528397311</v>
      </c>
      <c r="CD85" s="59">
        <f ca="1">AVERAGE(OFFSET($CC$3,0,0,'Données projet'!$E$12+1,1))-AVERAGE(OFFSET($H$3,0,0,'Données projet'!$E$12+1,1))</f>
        <v>198.17898804494365</v>
      </c>
      <c r="CE85" s="59">
        <f t="shared" si="94"/>
        <v>186.24772922797723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66.684128604241479</v>
      </c>
      <c r="CL85" s="21">
        <f>EXP(-LN(2)/25)*CL84+(1-EXP(-LN(2)/25))/(LN(2)/25)*Calculateur!CG85*Calculateur!CI85*VLOOKUP('Données projet'!$B$12,Paramètres!$A$1:$I$89,3,0)*0.475*44/12</f>
        <v>25.336439988367044</v>
      </c>
      <c r="CM85" s="21">
        <f>EXP(-LN(2)/2)*CM84+(1-EXP(-LN(2)/2))/(LN(2)/2)*CG85*CJ85*VLOOKUP('Données projet'!$B$12,Paramètres!$A$1:$I$89,3,0)*0.475*44/12</f>
        <v>2.0443867336764416</v>
      </c>
      <c r="CN85" s="22">
        <f t="shared" si="66"/>
        <v>94.064955326284974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266.99999999999983</v>
      </c>
      <c r="CU85" s="17">
        <f>CT85*VLOOKUP('Données projet'!$B$13,Paramètres!$A$1:$I$89,3,0)*VLOOKUP('Données projet'!$B$13,Paramètres!$A$1:$I$89,5,0)</f>
        <v>195.76439999999985</v>
      </c>
      <c r="CV85" s="13">
        <f t="shared" si="95"/>
        <v>48.812154563023455</v>
      </c>
      <c r="CW85" s="20">
        <f t="shared" si="67"/>
        <v>425.9708325305989</v>
      </c>
      <c r="CX85" s="59">
        <f t="shared" si="68"/>
        <v>719.30416586393221</v>
      </c>
      <c r="CY85" s="59">
        <f ca="1">AVERAGE(OFFSET($CX$3,0,0,'Données projet'!$E$13+1,1))-AVERAGE(OFFSET($H$3,0,0,'Données projet'!$E$13+1,1))</f>
        <v>198.78436129430389</v>
      </c>
      <c r="CZ85" s="59">
        <f t="shared" si="96"/>
        <v>198.28846462484438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20.690937162879624</v>
      </c>
      <c r="DG85" s="21">
        <f>EXP(-LN(2)/25)*DG84+(1-EXP(-LN(2)/25))/(LN(2)/25)*Calculateur!DB85*Calculateur!DD85*VLOOKUP('Données projet'!$B$13,Paramètres!$A$1:$I$89,3,0)*0.475*44/12</f>
        <v>5.8915093334374609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26.582446496317086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274.57619581652199</v>
      </c>
      <c r="T86" s="59">
        <f t="shared" si="88"/>
        <v>366.15117322598775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57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278.21846622758881</v>
      </c>
      <c r="AO86" s="59">
        <f t="shared" si="90"/>
        <v>245.37578316242906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6.3000000000000034</v>
      </c>
      <c r="BD86" s="12">
        <f>IF('Données projet'!$A$88&gt;35,BD85+BC86-BL85,IF(A86&lt;'Données projet'!$A$88,$BA$205^A86,IF(A86='Données projet'!$A$88,'Données projet'!$B$88,BD85+BC86-BL85)))</f>
        <v>297.13846153846106</v>
      </c>
      <c r="BE86" s="13">
        <f>BD86*VLOOKUP('Données projet'!$B$11,Paramètres!$A$1:$I$89,3,0)*VLOOKUP('Données projet'!$B$11,Paramètres!$A$1:$I$89,5,0)</f>
        <v>177.68879999999973</v>
      </c>
      <c r="BF86" s="13">
        <f t="shared" si="91"/>
        <v>44.807600644223591</v>
      </c>
      <c r="BG86" s="20">
        <f t="shared" si="61"/>
        <v>387.51456445535558</v>
      </c>
      <c r="BH86" s="59">
        <f t="shared" si="62"/>
        <v>680.8478977886889</v>
      </c>
      <c r="BI86" s="59">
        <f ca="1">AVERAGE(OFFSET($BH$3,0,0,'Données projet'!$E$11+1,1))-AVERAGE(OFFSET($H$3,0,0,'Données projet'!$E$11+1,1))</f>
        <v>187.18641061466138</v>
      </c>
      <c r="BJ86" s="59">
        <f t="shared" si="92"/>
        <v>143.07246221325369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13.899689515520102</v>
      </c>
      <c r="BQ86" s="21">
        <f>EXP(-LN(2)/25)*BQ85+(1-EXP(-LN(2)/25))/(LN(2)/25)*Calculateur!BL86*Calculateur!BN86*VLOOKUP('Données projet'!$B$11,Paramètres!$A$1:$I$89,3,0)*0.475*44/12</f>
        <v>25.514464054727547</v>
      </c>
      <c r="BR86" s="21">
        <f>EXP(-LN(2)/2)*BR85+(1-EXP(-LN(2)/2))/(LN(2)/2)*BL86*BO86*VLOOKUP('Données projet'!$B$11,Paramètres!$A$1:$I$89,3,0)*0.475*44/12</f>
        <v>3.2987853747928102</v>
      </c>
      <c r="BS86" s="22">
        <f t="shared" si="63"/>
        <v>42.712938945040456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12.124038461538468</v>
      </c>
      <c r="BY86" s="12">
        <f>IF('Données projet'!$A$114&gt;35,BY85+BX86-CG85,IF(A86&lt;'Données projet'!$A$114,$BV$205^A86,IF(A86='Données projet'!$A$114,'Données projet'!$B$114,BY85+BX86-CG85)))</f>
        <v>408.01923076923094</v>
      </c>
      <c r="BZ86" s="13">
        <f>BY86*VLOOKUP('Données projet'!$B$12,Paramètres!$A$1:$I$89,3,0)*VLOOKUP('Données projet'!$B$12,Paramètres!$A$1:$I$89,5,0)</f>
        <v>190.95300000000006</v>
      </c>
      <c r="CA86" s="13">
        <f t="shared" si="93"/>
        <v>47.750586229034354</v>
      </c>
      <c r="CB86" s="20">
        <f t="shared" si="64"/>
        <v>415.7420793489016</v>
      </c>
      <c r="CC86" s="59">
        <f t="shared" si="65"/>
        <v>709.07541268223486</v>
      </c>
      <c r="CD86" s="59">
        <f ca="1">AVERAGE(OFFSET($CC$3,0,0,'Données projet'!$E$12+1,1))-AVERAGE(OFFSET($H$3,0,0,'Données projet'!$E$12+1,1))</f>
        <v>198.17898804494365</v>
      </c>
      <c r="CE86" s="59">
        <f t="shared" si="94"/>
        <v>186.24772922797723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65.376493515614598</v>
      </c>
      <c r="CL86" s="21">
        <f>EXP(-LN(2)/25)*CL85+(1-EXP(-LN(2)/25))/(LN(2)/25)*Calculateur!CG86*Calculateur!CI86*VLOOKUP('Données projet'!$B$12,Paramètres!$A$1:$I$89,3,0)*0.475*44/12</f>
        <v>24.643613704499675</v>
      </c>
      <c r="CM86" s="21">
        <f>EXP(-LN(2)/2)*CM85+(1-EXP(-LN(2)/2))/(LN(2)/2)*CG86*CJ86*VLOOKUP('Données projet'!$B$12,Paramètres!$A$1:$I$89,3,0)*0.475*44/12</f>
        <v>1.4455997227504283</v>
      </c>
      <c r="CN86" s="22">
        <f t="shared" si="66"/>
        <v>91.465706942864699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266.99999999999983</v>
      </c>
      <c r="CU86" s="17">
        <f>CT86*VLOOKUP('Données projet'!$B$13,Paramètres!$A$1:$I$89,3,0)*VLOOKUP('Données projet'!$B$13,Paramètres!$A$1:$I$89,5,0)</f>
        <v>195.76439999999985</v>
      </c>
      <c r="CV86" s="13">
        <f t="shared" si="95"/>
        <v>48.812154563023455</v>
      </c>
      <c r="CW86" s="20">
        <f t="shared" si="67"/>
        <v>425.9708325305989</v>
      </c>
      <c r="CX86" s="59">
        <f t="shared" si="68"/>
        <v>719.30416586393221</v>
      </c>
      <c r="CY86" s="59">
        <f ca="1">AVERAGE(OFFSET($CX$3,0,0,'Données projet'!$E$13+1,1))-AVERAGE(OFFSET($H$3,0,0,'Données projet'!$E$13+1,1))</f>
        <v>198.78436129430389</v>
      </c>
      <c r="CZ86" s="59">
        <f t="shared" si="96"/>
        <v>198.28846462484438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20.285200505341081</v>
      </c>
      <c r="DG86" s="21">
        <f>EXP(-LN(2)/25)*DG85+(1-EXP(-LN(2)/25))/(LN(2)/25)*Calculateur!DB86*Calculateur!DD86*VLOOKUP('Données projet'!$B$13,Paramètres!$A$1:$I$89,3,0)*0.475*44/12</f>
        <v>5.7304057008936029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26.015606206234683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274.57619581652199</v>
      </c>
      <c r="T87" s="59">
        <f t="shared" si="88"/>
        <v>366.15117322598775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57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278.21846622758881</v>
      </c>
      <c r="AO87" s="59">
        <f t="shared" si="90"/>
        <v>245.37578316242906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6.3000000000000034</v>
      </c>
      <c r="BD87" s="12">
        <f>IF('Données projet'!$A$88&gt;35,BD86+BC87-BL86,IF(A87&lt;'Données projet'!$A$88,$BA$205^A87,IF(A87='Données projet'!$A$88,'Données projet'!$B$88,BD86+BC87-BL86)))</f>
        <v>303.43846153846107</v>
      </c>
      <c r="BE87" s="13">
        <f>BD87*VLOOKUP('Données projet'!$B$11,Paramètres!$A$1:$I$89,3,0)*VLOOKUP('Données projet'!$B$11,Paramètres!$A$1:$I$89,5,0)</f>
        <v>181.45619999999974</v>
      </c>
      <c r="BF87" s="13">
        <f t="shared" si="91"/>
        <v>45.646011753949928</v>
      </c>
      <c r="BG87" s="20">
        <f t="shared" si="61"/>
        <v>395.53635213812896</v>
      </c>
      <c r="BH87" s="59">
        <f t="shared" si="62"/>
        <v>688.86968547146228</v>
      </c>
      <c r="BI87" s="59">
        <f ca="1">AVERAGE(OFFSET($BH$3,0,0,'Données projet'!$E$11+1,1))-AVERAGE(OFFSET($H$3,0,0,'Données projet'!$E$11+1,1))</f>
        <v>187.18641061466138</v>
      </c>
      <c r="BJ87" s="59">
        <f t="shared" si="92"/>
        <v>143.07246221325369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13.627125082094226</v>
      </c>
      <c r="BQ87" s="21">
        <f>EXP(-LN(2)/25)*BQ86+(1-EXP(-LN(2)/25))/(LN(2)/25)*Calculateur!BL87*Calculateur!BN87*VLOOKUP('Données projet'!$B$11,Paramètres!$A$1:$I$89,3,0)*0.475*44/12</f>
        <v>24.816769693403671</v>
      </c>
      <c r="BR87" s="21">
        <f>EXP(-LN(2)/2)*BR86+(1-EXP(-LN(2)/2))/(LN(2)/2)*BL87*BO87*VLOOKUP('Données projet'!$B$11,Paramètres!$A$1:$I$89,3,0)*0.475*44/12</f>
        <v>2.3325935081950031</v>
      </c>
      <c r="BS87" s="22">
        <f t="shared" si="63"/>
        <v>40.776488283692899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12.124038461538468</v>
      </c>
      <c r="BY87" s="12">
        <f>IF('Données projet'!$A$114&gt;35,BY86+BX87-CG86,IF(A87&lt;'Données projet'!$A$114,$BV$205^A87,IF(A87='Données projet'!$A$114,'Données projet'!$B$114,BY86+BX87-CG86)))</f>
        <v>420.14326923076942</v>
      </c>
      <c r="BZ87" s="13">
        <f>BY87*VLOOKUP('Données projet'!$B$12,Paramètres!$A$1:$I$89,3,0)*VLOOKUP('Données projet'!$B$12,Paramètres!$A$1:$I$89,5,0)</f>
        <v>196.62705000000008</v>
      </c>
      <c r="CA87" s="13">
        <f t="shared" si="93"/>
        <v>49.002163217129386</v>
      </c>
      <c r="CB87" s="20">
        <f t="shared" si="64"/>
        <v>427.80421301983375</v>
      </c>
      <c r="CC87" s="59">
        <f t="shared" si="65"/>
        <v>721.13754635316707</v>
      </c>
      <c r="CD87" s="59">
        <f ca="1">AVERAGE(OFFSET($CC$3,0,0,'Données projet'!$E$12+1,1))-AVERAGE(OFFSET($H$3,0,0,'Données projet'!$E$12+1,1))</f>
        <v>198.17898804494365</v>
      </c>
      <c r="CE87" s="59">
        <f t="shared" si="94"/>
        <v>186.24772922797723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64.09450035349704</v>
      </c>
      <c r="CL87" s="21">
        <f>EXP(-LN(2)/25)*CL86+(1-EXP(-LN(2)/25))/(LN(2)/25)*Calculateur!CG87*Calculateur!CI87*VLOOKUP('Données projet'!$B$12,Paramètres!$A$1:$I$89,3,0)*0.475*44/12</f>
        <v>23.969732791798812</v>
      </c>
      <c r="CM87" s="21">
        <f>EXP(-LN(2)/2)*CM86+(1-EXP(-LN(2)/2))/(LN(2)/2)*CG87*CJ87*VLOOKUP('Données projet'!$B$12,Paramètres!$A$1:$I$89,3,0)*0.475*44/12</f>
        <v>1.0221933668382208</v>
      </c>
      <c r="CN87" s="22">
        <f t="shared" si="66"/>
        <v>89.086426512134068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266.99999999999983</v>
      </c>
      <c r="CU87" s="17">
        <f>CT87*VLOOKUP('Données projet'!$B$13,Paramètres!$A$1:$I$89,3,0)*VLOOKUP('Données projet'!$B$13,Paramètres!$A$1:$I$89,5,0)</f>
        <v>195.76439999999985</v>
      </c>
      <c r="CV87" s="13">
        <f t="shared" si="95"/>
        <v>48.812154563023455</v>
      </c>
      <c r="CW87" s="20">
        <f t="shared" si="67"/>
        <v>425.9708325305989</v>
      </c>
      <c r="CX87" s="59">
        <f t="shared" si="68"/>
        <v>719.30416586393221</v>
      </c>
      <c r="CY87" s="59">
        <f ca="1">AVERAGE(OFFSET($CX$3,0,0,'Données projet'!$E$13+1,1))-AVERAGE(OFFSET($H$3,0,0,'Données projet'!$E$13+1,1))</f>
        <v>198.78436129430389</v>
      </c>
      <c r="CZ87" s="59">
        <f t="shared" si="96"/>
        <v>198.28846462484438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19.887420096181941</v>
      </c>
      <c r="DG87" s="21">
        <f>EXP(-LN(2)/25)*DG86+(1-EXP(-LN(2)/25))/(LN(2)/25)*Calculateur!DB87*Calculateur!DD87*VLOOKUP('Données projet'!$B$13,Paramètres!$A$1:$I$89,3,0)*0.475*44/12</f>
        <v>5.5737074556537287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25.46112755183567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274.57619581652199</v>
      </c>
      <c r="T88" s="59">
        <f t="shared" si="88"/>
        <v>366.15117322598775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57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278.21846622758881</v>
      </c>
      <c r="AO88" s="59">
        <f t="shared" si="90"/>
        <v>245.37578316242906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6.3000000000000034</v>
      </c>
      <c r="BD88" s="12">
        <f>IF('Données projet'!$A$88&gt;35,BD87+BC88-BL87,IF(A88&lt;'Données projet'!$A$88,$BA$205^A88,IF(A88='Données projet'!$A$88,'Données projet'!$B$88,BD87+BC88-BL87)))</f>
        <v>309.73846153846108</v>
      </c>
      <c r="BE88" s="13">
        <f>BD88*VLOOKUP('Données projet'!$B$11,Paramètres!$A$1:$I$89,3,0)*VLOOKUP('Données projet'!$B$11,Paramètres!$A$1:$I$89,5,0)</f>
        <v>185.22359999999972</v>
      </c>
      <c r="BF88" s="13">
        <f t="shared" si="91"/>
        <v>46.482398967479604</v>
      </c>
      <c r="BG88" s="20">
        <f t="shared" si="61"/>
        <v>403.55461486835981</v>
      </c>
      <c r="BH88" s="59">
        <f t="shared" si="62"/>
        <v>696.88794820169312</v>
      </c>
      <c r="BI88" s="59">
        <f ca="1">AVERAGE(OFFSET($BH$3,0,0,'Données projet'!$E$11+1,1))-AVERAGE(OFFSET($H$3,0,0,'Données projet'!$E$11+1,1))</f>
        <v>187.18641061466138</v>
      </c>
      <c r="BJ88" s="59">
        <f t="shared" si="92"/>
        <v>143.07246221325369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13.359905470959944</v>
      </c>
      <c r="BQ88" s="21">
        <f>EXP(-LN(2)/25)*BQ87+(1-EXP(-LN(2)/25))/(LN(2)/25)*Calculateur!BL88*Calculateur!BN88*VLOOKUP('Données projet'!$B$11,Paramètres!$A$1:$I$89,3,0)*0.475*44/12</f>
        <v>24.138153821080348</v>
      </c>
      <c r="BR88" s="21">
        <f>EXP(-LN(2)/2)*BR87+(1-EXP(-LN(2)/2))/(LN(2)/2)*BL88*BO88*VLOOKUP('Données projet'!$B$11,Paramètres!$A$1:$I$89,3,0)*0.475*44/12</f>
        <v>1.6493926873964053</v>
      </c>
      <c r="BS88" s="22">
        <f t="shared" si="63"/>
        <v>39.147451979436703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12.124038461538468</v>
      </c>
      <c r="BY88" s="12">
        <f>IF('Données projet'!$A$114&gt;35,BY87+BX88-CG87,IF(A88&lt;'Données projet'!$A$114,$BV$205^A88,IF(A88='Données projet'!$A$114,'Données projet'!$B$114,BY87+BX88-CG87)))</f>
        <v>432.2673076923079</v>
      </c>
      <c r="BZ88" s="13">
        <f>BY88*VLOOKUP('Données projet'!$B$12,Paramètres!$A$1:$I$89,3,0)*VLOOKUP('Données projet'!$B$12,Paramètres!$A$1:$I$89,5,0)</f>
        <v>202.3011000000001</v>
      </c>
      <c r="CA88" s="13">
        <f t="shared" si="93"/>
        <v>50.249542664134772</v>
      </c>
      <c r="CB88" s="20">
        <f t="shared" si="64"/>
        <v>439.85903597336824</v>
      </c>
      <c r="CC88" s="59">
        <f t="shared" si="65"/>
        <v>733.19236930670149</v>
      </c>
      <c r="CD88" s="59">
        <f ca="1">AVERAGE(OFFSET($CC$3,0,0,'Données projet'!$E$12+1,1))-AVERAGE(OFFSET($H$3,0,0,'Données projet'!$E$12+1,1))</f>
        <v>198.17898804494365</v>
      </c>
      <c r="CE88" s="59">
        <f t="shared" si="94"/>
        <v>186.24772922797723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62.837646295349991</v>
      </c>
      <c r="CL88" s="21">
        <f>EXP(-LN(2)/25)*CL87+(1-EXP(-LN(2)/25))/(LN(2)/25)*Calculateur!CG88*Calculateur!CI88*VLOOKUP('Données projet'!$B$12,Paramètres!$A$1:$I$89,3,0)*0.475*44/12</f>
        <v>23.314279188093611</v>
      </c>
      <c r="CM88" s="21">
        <f>EXP(-LN(2)/2)*CM87+(1-EXP(-LN(2)/2))/(LN(2)/2)*CG88*CJ88*VLOOKUP('Données projet'!$B$12,Paramètres!$A$1:$I$89,3,0)*0.475*44/12</f>
        <v>0.72279986137521413</v>
      </c>
      <c r="CN88" s="22">
        <f t="shared" si="66"/>
        <v>86.874725344818813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266.99999999999983</v>
      </c>
      <c r="CU88" s="17">
        <f>CT88*VLOOKUP('Données projet'!$B$13,Paramètres!$A$1:$I$89,3,0)*VLOOKUP('Données projet'!$B$13,Paramètres!$A$1:$I$89,5,0)</f>
        <v>195.76439999999985</v>
      </c>
      <c r="CV88" s="13">
        <f t="shared" si="95"/>
        <v>48.812154563023455</v>
      </c>
      <c r="CW88" s="20">
        <f t="shared" si="67"/>
        <v>425.9708325305989</v>
      </c>
      <c r="CX88" s="59">
        <f t="shared" si="68"/>
        <v>719.30416586393221</v>
      </c>
      <c r="CY88" s="59">
        <f ca="1">AVERAGE(OFFSET($CX$3,0,0,'Données projet'!$E$13+1,1))-AVERAGE(OFFSET($H$3,0,0,'Données projet'!$E$13+1,1))</f>
        <v>198.78436129430389</v>
      </c>
      <c r="CZ88" s="59">
        <f t="shared" si="96"/>
        <v>198.28846462484438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19.49743991822432</v>
      </c>
      <c r="DG88" s="21">
        <f>EXP(-LN(2)/25)*DG87+(1-EXP(-LN(2)/25))/(LN(2)/25)*Calculateur!DB88*Calculateur!DD88*VLOOKUP('Données projet'!$B$13,Paramètres!$A$1:$I$89,3,0)*0.475*44/12</f>
        <v>5.421294132170341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24.918734050394661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274.57619581652199</v>
      </c>
      <c r="T89" s="59">
        <f t="shared" si="88"/>
        <v>366.15117322598775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57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278.21846622758881</v>
      </c>
      <c r="AO89" s="59">
        <f t="shared" si="90"/>
        <v>245.37578316242906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6.3000000000000034</v>
      </c>
      <c r="BD89" s="12">
        <f>IF('Données projet'!$A$88&gt;35,BD88+BC89-BL88,IF(A89&lt;'Données projet'!$A$88,$BA$205^A89,IF(A89='Données projet'!$A$88,'Données projet'!$B$88,BD88+BC89-BL88)))</f>
        <v>316.03846153846109</v>
      </c>
      <c r="BE89" s="13">
        <f>BD89*VLOOKUP('Données projet'!$B$11,Paramètres!$A$1:$I$89,3,0)*VLOOKUP('Données projet'!$B$11,Paramètres!$A$1:$I$89,5,0)</f>
        <v>188.99099999999976</v>
      </c>
      <c r="BF89" s="13">
        <f t="shared" si="91"/>
        <v>47.316808194033214</v>
      </c>
      <c r="BG89" s="20">
        <f t="shared" si="61"/>
        <v>411.56943260460747</v>
      </c>
      <c r="BH89" s="59">
        <f t="shared" si="62"/>
        <v>704.90276593794079</v>
      </c>
      <c r="BI89" s="59">
        <f ca="1">AVERAGE(OFFSET($BH$3,0,0,'Données projet'!$E$11+1,1))-AVERAGE(OFFSET($H$3,0,0,'Données projet'!$E$11+1,1))</f>
        <v>187.18641061466138</v>
      </c>
      <c r="BJ89" s="59">
        <f t="shared" si="92"/>
        <v>143.07246221325369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13.097925873412136</v>
      </c>
      <c r="BQ89" s="21">
        <f>EXP(-LN(2)/25)*BQ88+(1-EXP(-LN(2)/25))/(LN(2)/25)*Calculateur!BL89*Calculateur!BN89*VLOOKUP('Données projet'!$B$11,Paramètres!$A$1:$I$89,3,0)*0.475*44/12</f>
        <v>23.478094735472563</v>
      </c>
      <c r="BR89" s="21">
        <f>EXP(-LN(2)/2)*BR88+(1-EXP(-LN(2)/2))/(LN(2)/2)*BL89*BO89*VLOOKUP('Données projet'!$B$11,Paramètres!$A$1:$I$89,3,0)*0.475*44/12</f>
        <v>1.1662967540975016</v>
      </c>
      <c r="BS89" s="22">
        <f t="shared" si="63"/>
        <v>37.742317362982199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12.124038461538468</v>
      </c>
      <c r="BY89" s="12">
        <f>IF('Données projet'!$A$114&gt;35,BY88+BX89-CG88,IF(A89&lt;'Données projet'!$A$114,$BV$205^A89,IF(A89='Données projet'!$A$114,'Données projet'!$B$114,BY88+BX89-CG88)))</f>
        <v>444.39134615384637</v>
      </c>
      <c r="BZ89" s="13">
        <f>BY89*VLOOKUP('Données projet'!$B$12,Paramètres!$A$1:$I$89,3,0)*VLOOKUP('Données projet'!$B$12,Paramètres!$A$1:$I$89,5,0)</f>
        <v>207.9751500000001</v>
      </c>
      <c r="CA89" s="13">
        <f t="shared" si="93"/>
        <v>51.492855825196166</v>
      </c>
      <c r="CB89" s="20">
        <f t="shared" si="64"/>
        <v>451.90677681221678</v>
      </c>
      <c r="CC89" s="59">
        <f t="shared" si="65"/>
        <v>745.24011014555003</v>
      </c>
      <c r="CD89" s="59">
        <f ca="1">AVERAGE(OFFSET($CC$3,0,0,'Données projet'!$E$12+1,1))-AVERAGE(OFFSET($H$3,0,0,'Données projet'!$E$12+1,1))</f>
        <v>198.17898804494365</v>
      </c>
      <c r="CE89" s="59">
        <f t="shared" si="94"/>
        <v>186.24772922797723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61.605438378677924</v>
      </c>
      <c r="CL89" s="21">
        <f>EXP(-LN(2)/25)*CL88+(1-EXP(-LN(2)/25))/(LN(2)/25)*Calculateur!CG89*Calculateur!CI89*VLOOKUP('Données projet'!$B$12,Paramètres!$A$1:$I$89,3,0)*0.475*44/12</f>
        <v>22.676748997650535</v>
      </c>
      <c r="CM89" s="21">
        <f>EXP(-LN(2)/2)*CM88+(1-EXP(-LN(2)/2))/(LN(2)/2)*CG89*CJ89*VLOOKUP('Données projet'!$B$12,Paramètres!$A$1:$I$89,3,0)*0.475*44/12</f>
        <v>0.51109668341911041</v>
      </c>
      <c r="CN89" s="22">
        <f t="shared" si="66"/>
        <v>84.793284059747577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266.99999999999983</v>
      </c>
      <c r="CU89" s="17">
        <f>CT89*VLOOKUP('Données projet'!$B$13,Paramètres!$A$1:$I$89,3,0)*VLOOKUP('Données projet'!$B$13,Paramètres!$A$1:$I$89,5,0)</f>
        <v>195.76439999999985</v>
      </c>
      <c r="CV89" s="13">
        <f t="shared" si="95"/>
        <v>48.812154563023455</v>
      </c>
      <c r="CW89" s="20">
        <f t="shared" si="67"/>
        <v>425.9708325305989</v>
      </c>
      <c r="CX89" s="59">
        <f t="shared" si="68"/>
        <v>719.30416586393221</v>
      </c>
      <c r="CY89" s="59">
        <f ca="1">AVERAGE(OFFSET($CX$3,0,0,'Données projet'!$E$13+1,1))-AVERAGE(OFFSET($H$3,0,0,'Données projet'!$E$13+1,1))</f>
        <v>198.78436129430389</v>
      </c>
      <c r="CZ89" s="59">
        <f t="shared" si="96"/>
        <v>198.28846462484438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19.115107013692029</v>
      </c>
      <c r="DG89" s="21">
        <f>EXP(-LN(2)/25)*DG88+(1-EXP(-LN(2)/25))/(LN(2)/25)*Calculateur!DB89*Calculateur!DD89*VLOOKUP('Données projet'!$B$13,Paramètres!$A$1:$I$89,3,0)*0.475*44/12</f>
        <v>5.2730485590326754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24.388155572724706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274.57619581652199</v>
      </c>
      <c r="T90" s="59">
        <f t="shared" si="88"/>
        <v>366.15117322598775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57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278.21846622758881</v>
      </c>
      <c r="AO90" s="59">
        <f t="shared" si="90"/>
        <v>245.37578316242906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6.3000000000000034</v>
      </c>
      <c r="BD90" s="12">
        <f>IF('Données projet'!$A$88&gt;35,BD89+BC90-BL89,IF(A90&lt;'Données projet'!$A$88,$BA$205^A90,IF(A90='Données projet'!$A$88,'Données projet'!$B$88,BD89+BC90-BL89)))</f>
        <v>322.3384615384611</v>
      </c>
      <c r="BE90" s="13">
        <f>BD90*VLOOKUP('Données projet'!$B$11,Paramètres!$A$1:$I$89,3,0)*VLOOKUP('Données projet'!$B$11,Paramètres!$A$1:$I$89,5,0)</f>
        <v>192.75839999999974</v>
      </c>
      <c r="BF90" s="13">
        <f t="shared" si="91"/>
        <v>48.149283407832236</v>
      </c>
      <c r="BG90" s="20">
        <f t="shared" si="61"/>
        <v>419.58088193530733</v>
      </c>
      <c r="BH90" s="59">
        <f t="shared" si="62"/>
        <v>712.91421526864065</v>
      </c>
      <c r="BI90" s="59">
        <f ca="1">AVERAGE(OFFSET($BH$3,0,0,'Données projet'!$E$11+1,1))-AVERAGE(OFFSET($H$3,0,0,'Données projet'!$E$11+1,1))</f>
        <v>187.18641061466138</v>
      </c>
      <c r="BJ90" s="59">
        <f t="shared" si="92"/>
        <v>143.07246221325369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12.841083535980463</v>
      </c>
      <c r="BQ90" s="21">
        <f>EXP(-LN(2)/25)*BQ89+(1-EXP(-LN(2)/25))/(LN(2)/25)*Calculateur!BL90*Calculateur!BN90*VLOOKUP('Données projet'!$B$11,Paramètres!$A$1:$I$89,3,0)*0.475*44/12</f>
        <v>22.836085000271723</v>
      </c>
      <c r="BR90" s="21">
        <f>EXP(-LN(2)/2)*BR89+(1-EXP(-LN(2)/2))/(LN(2)/2)*BL90*BO90*VLOOKUP('Données projet'!$B$11,Paramètres!$A$1:$I$89,3,0)*0.475*44/12</f>
        <v>0.82469634369820266</v>
      </c>
      <c r="BS90" s="22">
        <f t="shared" si="63"/>
        <v>36.501864879950382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>
        <f>VLOOKUP(A90,'Données projet'!$A$113:$I$133,2,0)</f>
        <v>456.51538461538462</v>
      </c>
      <c r="BW90" s="12">
        <f>VLOOKUP(A90,'Données projet'!$A$113:$I$133,9,0)</f>
        <v>12.124038461538468</v>
      </c>
      <c r="BX90" s="12">
        <f t="array" ref="BX90">INDEX(BW:BW,MIN(IF(ISNUMBER(BW90:BW286),ROW(BW90:BW286),"")))</f>
        <v>12.124038461538468</v>
      </c>
      <c r="BY90" s="12">
        <f>IF('Données projet'!$A$114&gt;35,BY89+BX90-CG89,IF(A90&lt;'Données projet'!$A$114,$BV$205^A90,IF(A90='Données projet'!$A$114,'Données projet'!$B$114,BY89+BX90-CG89)))</f>
        <v>456.51538461538485</v>
      </c>
      <c r="BZ90" s="13">
        <f>BY90*VLOOKUP('Données projet'!$B$12,Paramètres!$A$1:$I$89,3,0)*VLOOKUP('Données projet'!$B$12,Paramètres!$A$1:$I$89,5,0)</f>
        <v>213.64920000000012</v>
      </c>
      <c r="CA90" s="13">
        <f t="shared" si="93"/>
        <v>52.732226385923781</v>
      </c>
      <c r="CB90" s="20">
        <f t="shared" si="64"/>
        <v>463.94765095548405</v>
      </c>
      <c r="CC90" s="59">
        <f t="shared" si="65"/>
        <v>757.28098428881731</v>
      </c>
      <c r="CD90" s="59">
        <f ca="1">AVERAGE(OFFSET($CC$3,0,0,'Données projet'!$E$12+1,1))-AVERAGE(OFFSET($H$3,0,0,'Données projet'!$E$12+1,1))</f>
        <v>198.17898804494365</v>
      </c>
      <c r="CE90" s="59">
        <f t="shared" si="94"/>
        <v>186.24772922797723</v>
      </c>
      <c r="CF90" s="15">
        <f>IF(ISNA(VLOOKUP(A90,'Données projet'!$A$113:$I$133,3,0)),0,VLOOKUP(A90,'Données projet'!$A$113:$I$133,3,0))</f>
        <v>7</v>
      </c>
      <c r="CG90" s="15">
        <f>IF(ISNA(VLOOKUP(A90,'Données projet'!$A$113:$I$133,4,0)),0,VLOOKUP(A90,'Données projet'!$A$113:$I$133,4,0))</f>
        <v>77.330769230769235</v>
      </c>
      <c r="CH90" s="16">
        <f>IF(ISNA(VLOOKUP(A90,'Données projet'!$A$113:$I$133,5,0)),0%,VLOOKUP(A90,'Données projet'!$A$113:$I$133,5,0)*VLOOKUP('Données projet'!$B$12,Paramètres!$A$1:$I$89,7,0))</f>
        <v>0.38500000000000001</v>
      </c>
      <c r="CI90" s="16">
        <f>IF(ISNA(VLOOKUP(A90,'Données projet'!$A$113:$I$133,6,0)),0%,VLOOKUP(A90,'Données projet'!$A$113:$I$133,6,0)*VLOOKUP('Données projet'!$B$12,Paramètres!$A$1:$I$89,7,0))</f>
        <v>9.240000000000001E-2</v>
      </c>
      <c r="CJ90" s="16">
        <f>IF(ISNA(VLOOKUP(A90,'Données projet'!$A$113:$I$133,7,0)),0%,VLOOKUP(A90,'Données projet'!$A$113:$I$133,7,0))</f>
        <v>0.13200000000000001</v>
      </c>
      <c r="CK90" s="21">
        <f>EXP(-LN(2)/35)*CK89+(1-EXP(-LN(2)/35))/(LN(2)/35)*CG90*CH90*VLOOKUP('Données projet'!$B$12,Paramètres!$A$1:$I$89,3,0)*0.475*44/12</f>
        <v>78.881023431838884</v>
      </c>
      <c r="CL90" s="21">
        <f>EXP(-LN(2)/25)*CL89+(1-EXP(-LN(2)/25))/(LN(2)/25)*Calculateur!CG90*Calculateur!CI90*VLOOKUP('Données projet'!$B$12,Paramètres!$A$1:$I$89,3,0)*0.475*44/12</f>
        <v>26.475256830882337</v>
      </c>
      <c r="CM90" s="21">
        <f>EXP(-LN(2)/2)*CM89+(1-EXP(-LN(2)/2))/(LN(2)/2)*CG90*CJ90*VLOOKUP('Données projet'!$B$12,Paramètres!$A$1:$I$89,3,0)*0.475*44/12</f>
        <v>5.770283758285955</v>
      </c>
      <c r="CN90" s="22">
        <f t="shared" si="66"/>
        <v>111.12656402100717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266.99999999999983</v>
      </c>
      <c r="CU90" s="17">
        <f>CT90*VLOOKUP('Données projet'!$B$13,Paramètres!$A$1:$I$89,3,0)*VLOOKUP('Données projet'!$B$13,Paramètres!$A$1:$I$89,5,0)</f>
        <v>195.76439999999985</v>
      </c>
      <c r="CV90" s="13">
        <f t="shared" si="95"/>
        <v>48.812154563023455</v>
      </c>
      <c r="CW90" s="20">
        <f t="shared" si="67"/>
        <v>425.9708325305989</v>
      </c>
      <c r="CX90" s="59">
        <f t="shared" si="68"/>
        <v>719.30416586393221</v>
      </c>
      <c r="CY90" s="59">
        <f ca="1">AVERAGE(OFFSET($CX$3,0,0,'Données projet'!$E$13+1,1))-AVERAGE(OFFSET($H$3,0,0,'Données projet'!$E$13+1,1))</f>
        <v>198.78436129430389</v>
      </c>
      <c r="CZ90" s="59">
        <f t="shared" si="96"/>
        <v>198.28846462484438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18.740271424217571</v>
      </c>
      <c r="DG90" s="21">
        <f>EXP(-LN(2)/25)*DG89+(1-EXP(-LN(2)/25))/(LN(2)/25)*Calculateur!DB90*Calculateur!DD90*VLOOKUP('Données projet'!$B$13,Paramètres!$A$1:$I$89,3,0)*0.475*44/12</f>
        <v>5.1288567688883546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23.869128193105926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274.57619581652199</v>
      </c>
      <c r="T91" s="59">
        <f t="shared" si="88"/>
        <v>366.15117322598775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57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278.21846622758881</v>
      </c>
      <c r="AO91" s="59">
        <f t="shared" si="90"/>
        <v>245.37578316242906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6.3000000000000034</v>
      </c>
      <c r="BD91" s="12">
        <f>IF('Données projet'!$A$88&gt;35,BD90+BC91-BL90,IF(A91&lt;'Données projet'!$A$88,$BA$205^A91,IF(A91='Données projet'!$A$88,'Données projet'!$B$88,BD90+BC91-BL90)))</f>
        <v>328.63846153846112</v>
      </c>
      <c r="BE91" s="13">
        <f>BD91*VLOOKUP('Données projet'!$B$11,Paramètres!$A$1:$I$89,3,0)*VLOOKUP('Données projet'!$B$11,Paramètres!$A$1:$I$89,5,0)</f>
        <v>196.52579999999975</v>
      </c>
      <c r="BF91" s="13">
        <f t="shared" si="91"/>
        <v>48.9798667658537</v>
      </c>
      <c r="BG91" s="20">
        <f t="shared" si="61"/>
        <v>427.58903628386139</v>
      </c>
      <c r="BH91" s="59">
        <f t="shared" si="62"/>
        <v>720.9223696171947</v>
      </c>
      <c r="BI91" s="59">
        <f ca="1">AVERAGE(OFFSET($BH$3,0,0,'Données projet'!$E$11+1,1))-AVERAGE(OFFSET($H$3,0,0,'Données projet'!$E$11+1,1))</f>
        <v>187.18641061466138</v>
      </c>
      <c r="BJ91" s="59">
        <f t="shared" si="92"/>
        <v>143.07246221325369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12.58927772012747</v>
      </c>
      <c r="BQ91" s="21">
        <f>EXP(-LN(2)/25)*BQ90+(1-EXP(-LN(2)/25))/(LN(2)/25)*Calculateur!BL91*Calculateur!BN91*VLOOKUP('Données projet'!$B$11,Paramètres!$A$1:$I$89,3,0)*0.475*44/12</f>
        <v>22.211631055041774</v>
      </c>
      <c r="BR91" s="21">
        <f>EXP(-LN(2)/2)*BR90+(1-EXP(-LN(2)/2))/(LN(2)/2)*BL91*BO91*VLOOKUP('Données projet'!$B$11,Paramètres!$A$1:$I$89,3,0)*0.475*44/12</f>
        <v>0.58314837704875078</v>
      </c>
      <c r="BS91" s="22">
        <f t="shared" si="63"/>
        <v>35.384057152217999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11.242307692307691</v>
      </c>
      <c r="BY91" s="12">
        <f>IF('Données projet'!$A$114&gt;35,BY90+BX91-CG90,IF(A91&lt;'Données projet'!$A$114,$BV$205^A91,IF(A91='Données projet'!$A$114,'Données projet'!$B$114,BY90+BX91-CG90)))</f>
        <v>390.42692307692329</v>
      </c>
      <c r="BZ91" s="13">
        <f>BY91*VLOOKUP('Données projet'!$B$12,Paramètres!$A$1:$I$89,3,0)*VLOOKUP('Données projet'!$B$12,Paramètres!$A$1:$I$89,5,0)</f>
        <v>182.71980000000011</v>
      </c>
      <c r="CA91" s="13">
        <f t="shared" si="93"/>
        <v>45.926762394770535</v>
      </c>
      <c r="CB91" s="20">
        <f t="shared" si="64"/>
        <v>398.22609617089216</v>
      </c>
      <c r="CC91" s="59">
        <f t="shared" si="65"/>
        <v>691.55942950422548</v>
      </c>
      <c r="CD91" s="59">
        <f ca="1">AVERAGE(OFFSET($CC$3,0,0,'Données projet'!$E$12+1,1))-AVERAGE(OFFSET($H$3,0,0,'Données projet'!$E$12+1,1))</f>
        <v>198.17898804494365</v>
      </c>
      <c r="CE91" s="59">
        <f t="shared" si="94"/>
        <v>186.24772922797723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77.334214675014081</v>
      </c>
      <c r="CL91" s="21">
        <f>EXP(-LN(2)/25)*CL90+(1-EXP(-LN(2)/25))/(LN(2)/25)*Calculateur!CG91*Calculateur!CI91*VLOOKUP('Données projet'!$B$12,Paramètres!$A$1:$I$89,3,0)*0.475*44/12</f>
        <v>25.751289540568614</v>
      </c>
      <c r="CM91" s="21">
        <f>EXP(-LN(2)/2)*CM90+(1-EXP(-LN(2)/2))/(LN(2)/2)*CG91*CJ91*VLOOKUP('Données projet'!$B$12,Paramètres!$A$1:$I$89,3,0)*0.475*44/12</f>
        <v>4.080206774854596</v>
      </c>
      <c r="CN91" s="22">
        <f t="shared" si="66"/>
        <v>107.16571099043729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266.99999999999983</v>
      </c>
      <c r="CU91" s="17">
        <f>CT91*VLOOKUP('Données projet'!$B$13,Paramètres!$A$1:$I$89,3,0)*VLOOKUP('Données projet'!$B$13,Paramètres!$A$1:$I$89,5,0)</f>
        <v>195.76439999999985</v>
      </c>
      <c r="CV91" s="13">
        <f t="shared" si="95"/>
        <v>48.812154563023455</v>
      </c>
      <c r="CW91" s="20">
        <f t="shared" si="67"/>
        <v>425.9708325305989</v>
      </c>
      <c r="CX91" s="59">
        <f t="shared" si="68"/>
        <v>719.30416586393221</v>
      </c>
      <c r="CY91" s="59">
        <f ca="1">AVERAGE(OFFSET($CX$3,0,0,'Données projet'!$E$13+1,1))-AVERAGE(OFFSET($H$3,0,0,'Données projet'!$E$13+1,1))</f>
        <v>198.78436129430389</v>
      </c>
      <c r="CZ91" s="59">
        <f t="shared" si="96"/>
        <v>198.28846462484438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18.372786132025571</v>
      </c>
      <c r="DG91" s="21">
        <f>EXP(-LN(2)/25)*DG90+(1-EXP(-LN(2)/25))/(LN(2)/25)*Calculateur!DB91*Calculateur!DD91*VLOOKUP('Données projet'!$B$13,Paramètres!$A$1:$I$89,3,0)*0.475*44/12</f>
        <v>4.9886079108282475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23.361394042853817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274.57619581652199</v>
      </c>
      <c r="T92" s="59">
        <f t="shared" si="88"/>
        <v>366.15117322598775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57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278.21846622758881</v>
      </c>
      <c r="AO92" s="59">
        <f t="shared" si="90"/>
        <v>245.37578316242906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6.3000000000000034</v>
      </c>
      <c r="BD92" s="12">
        <f>IF('Données projet'!$A$88&gt;35,BD91+BC92-BL91,IF(A92&lt;'Données projet'!$A$88,$BA$205^A92,IF(A92='Données projet'!$A$88,'Données projet'!$B$88,BD91+BC92-BL91)))</f>
        <v>334.93846153846113</v>
      </c>
      <c r="BE92" s="13">
        <f>BD92*VLOOKUP('Données projet'!$B$11,Paramètres!$A$1:$I$89,3,0)*VLOOKUP('Données projet'!$B$11,Paramètres!$A$1:$I$89,5,0)</f>
        <v>200.29319999999979</v>
      </c>
      <c r="BF92" s="13">
        <f t="shared" si="91"/>
        <v>49.808598716300573</v>
      </c>
      <c r="BG92" s="20">
        <f t="shared" si="61"/>
        <v>435.5939660975564</v>
      </c>
      <c r="BH92" s="59">
        <f t="shared" si="62"/>
        <v>728.92729943088966</v>
      </c>
      <c r="BI92" s="59">
        <f ca="1">AVERAGE(OFFSET($BH$3,0,0,'Données projet'!$E$11+1,1))-AVERAGE(OFFSET($H$3,0,0,'Données projet'!$E$11+1,1))</f>
        <v>187.18641061466138</v>
      </c>
      <c r="BJ92" s="59">
        <f t="shared" si="92"/>
        <v>143.07246221325369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12.342409662736971</v>
      </c>
      <c r="BQ92" s="21">
        <f>EXP(-LN(2)/25)*BQ91+(1-EXP(-LN(2)/25))/(LN(2)/25)*Calculateur!BL92*Calculateur!BN92*VLOOKUP('Données projet'!$B$11,Paramètres!$A$1:$I$89,3,0)*0.475*44/12</f>
        <v>21.604252835782745</v>
      </c>
      <c r="BR92" s="21">
        <f>EXP(-LN(2)/2)*BR91+(1-EXP(-LN(2)/2))/(LN(2)/2)*BL92*BO92*VLOOKUP('Données projet'!$B$11,Paramètres!$A$1:$I$89,3,0)*0.475*44/12</f>
        <v>0.41234817184910133</v>
      </c>
      <c r="BS92" s="22">
        <f t="shared" si="63"/>
        <v>34.359010670368818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11.242307692307691</v>
      </c>
      <c r="BY92" s="12">
        <f>IF('Données projet'!$A$114&gt;35,BY91+BX92-CG91,IF(A92&lt;'Données projet'!$A$114,$BV$205^A92,IF(A92='Données projet'!$A$114,'Données projet'!$B$114,BY91+BX92-CG91)))</f>
        <v>401.66923076923098</v>
      </c>
      <c r="BZ92" s="13">
        <f>BY92*VLOOKUP('Données projet'!$B$12,Paramètres!$A$1:$I$89,3,0)*VLOOKUP('Données projet'!$B$12,Paramètres!$A$1:$I$89,5,0)</f>
        <v>187.98120000000011</v>
      </c>
      <c r="CA92" s="13">
        <f t="shared" si="93"/>
        <v>47.093347732155607</v>
      </c>
      <c r="CB92" s="20">
        <f t="shared" si="64"/>
        <v>409.42150396683786</v>
      </c>
      <c r="CC92" s="59">
        <f t="shared" si="65"/>
        <v>702.75483730017118</v>
      </c>
      <c r="CD92" s="59">
        <f ca="1">AVERAGE(OFFSET($CC$3,0,0,'Données projet'!$E$12+1,1))-AVERAGE(OFFSET($H$3,0,0,'Données projet'!$E$12+1,1))</f>
        <v>198.17898804494365</v>
      </c>
      <c r="CE92" s="59">
        <f t="shared" si="94"/>
        <v>186.24772922797723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75.817737894450431</v>
      </c>
      <c r="CL92" s="21">
        <f>EXP(-LN(2)/25)*CL91+(1-EXP(-LN(2)/25))/(LN(2)/25)*Calculateur!CG92*Calculateur!CI92*VLOOKUP('Données projet'!$B$12,Paramètres!$A$1:$I$89,3,0)*0.475*44/12</f>
        <v>25.047119173880304</v>
      </c>
      <c r="CM92" s="21">
        <f>EXP(-LN(2)/2)*CM91+(1-EXP(-LN(2)/2))/(LN(2)/2)*CG92*CJ92*VLOOKUP('Données projet'!$B$12,Paramètres!$A$1:$I$89,3,0)*0.475*44/12</f>
        <v>2.8851418791429779</v>
      </c>
      <c r="CN92" s="22">
        <f t="shared" si="66"/>
        <v>103.74999894747371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266.99999999999983</v>
      </c>
      <c r="CU92" s="17">
        <f>CT92*VLOOKUP('Données projet'!$B$13,Paramètres!$A$1:$I$89,3,0)*VLOOKUP('Données projet'!$B$13,Paramètres!$A$1:$I$89,5,0)</f>
        <v>195.76439999999985</v>
      </c>
      <c r="CV92" s="13">
        <f t="shared" si="95"/>
        <v>48.812154563023455</v>
      </c>
      <c r="CW92" s="20">
        <f t="shared" si="67"/>
        <v>425.9708325305989</v>
      </c>
      <c r="CX92" s="59">
        <f t="shared" si="68"/>
        <v>719.30416586393221</v>
      </c>
      <c r="CY92" s="59">
        <f ca="1">AVERAGE(OFFSET($CX$3,0,0,'Données projet'!$E$13+1,1))-AVERAGE(OFFSET($H$3,0,0,'Données projet'!$E$13+1,1))</f>
        <v>198.78436129430389</v>
      </c>
      <c r="CZ92" s="59">
        <f t="shared" si="96"/>
        <v>198.28846462484438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18.012507002269562</v>
      </c>
      <c r="DG92" s="21">
        <f>EXP(-LN(2)/25)*DG91+(1-EXP(-LN(2)/25))/(LN(2)/25)*Calculateur!DB92*Calculateur!DD92*VLOOKUP('Données projet'!$B$13,Paramètres!$A$1:$I$89,3,0)*0.475*44/12</f>
        <v>4.8521941651671607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22.864701167436721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274.57619581652199</v>
      </c>
      <c r="T93" s="59">
        <f t="shared" si="88"/>
        <v>366.15117322598775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57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278.21846622758881</v>
      </c>
      <c r="AO93" s="59">
        <f t="shared" si="90"/>
        <v>245.37578316242906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6.3000000000000034</v>
      </c>
      <c r="BD93" s="12">
        <f>IF('Données projet'!$A$88&gt;35,BD92+BC93-BL92,IF(A93&lt;'Données projet'!$A$88,$BA$205^A93,IF(A93='Données projet'!$A$88,'Données projet'!$B$88,BD92+BC93-BL92)))</f>
        <v>341.23846153846114</v>
      </c>
      <c r="BE93" s="13">
        <f>BD93*VLOOKUP('Données projet'!$B$11,Paramètres!$A$1:$I$89,3,0)*VLOOKUP('Données projet'!$B$11,Paramètres!$A$1:$I$89,5,0)</f>
        <v>204.06059999999977</v>
      </c>
      <c r="BF93" s="13">
        <f t="shared" si="91"/>
        <v>50.635518098680173</v>
      </c>
      <c r="BG93" s="20">
        <f t="shared" si="61"/>
        <v>443.59573902186753</v>
      </c>
      <c r="BH93" s="59">
        <f t="shared" si="62"/>
        <v>736.92907235520079</v>
      </c>
      <c r="BI93" s="59">
        <f ca="1">AVERAGE(OFFSET($BH$3,0,0,'Données projet'!$E$11+1,1))-AVERAGE(OFFSET($H$3,0,0,'Données projet'!$E$11+1,1))</f>
        <v>187.18641061466138</v>
      </c>
      <c r="BJ93" s="59">
        <f t="shared" si="92"/>
        <v>143.07246221325369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12.100382537377252</v>
      </c>
      <c r="BQ93" s="21">
        <f>EXP(-LN(2)/25)*BQ92+(1-EXP(-LN(2)/25))/(LN(2)/25)*Calculateur!BL93*Calculateur!BN93*VLOOKUP('Données projet'!$B$11,Paramètres!$A$1:$I$89,3,0)*0.475*44/12</f>
        <v>21.013483405869987</v>
      </c>
      <c r="BR93" s="21">
        <f>EXP(-LN(2)/2)*BR92+(1-EXP(-LN(2)/2))/(LN(2)/2)*BL93*BO93*VLOOKUP('Données projet'!$B$11,Paramètres!$A$1:$I$89,3,0)*0.475*44/12</f>
        <v>0.29157418852437539</v>
      </c>
      <c r="BS93" s="22">
        <f t="shared" si="63"/>
        <v>33.405440131771613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11.242307692307691</v>
      </c>
      <c r="BY93" s="12">
        <f>IF('Données projet'!$A$114&gt;35,BY92+BX93-CG92,IF(A93&lt;'Données projet'!$A$114,$BV$205^A93,IF(A93='Données projet'!$A$114,'Données projet'!$B$114,BY92+BX93-CG92)))</f>
        <v>412.91153846153867</v>
      </c>
      <c r="BZ93" s="13">
        <f>BY93*VLOOKUP('Données projet'!$B$12,Paramètres!$A$1:$I$89,3,0)*VLOOKUP('Données projet'!$B$12,Paramètres!$A$1:$I$89,5,0)</f>
        <v>193.2426000000001</v>
      </c>
      <c r="CA93" s="13">
        <f t="shared" si="93"/>
        <v>48.256138093290417</v>
      </c>
      <c r="CB93" s="20">
        <f t="shared" si="64"/>
        <v>420.6103021791476</v>
      </c>
      <c r="CC93" s="59">
        <f t="shared" si="65"/>
        <v>713.94363551248091</v>
      </c>
      <c r="CD93" s="59">
        <f ca="1">AVERAGE(OFFSET($CC$3,0,0,'Données projet'!$E$12+1,1))-AVERAGE(OFFSET($H$3,0,0,'Données projet'!$E$12+1,1))</f>
        <v>198.17898804494365</v>
      </c>
      <c r="CE93" s="59">
        <f t="shared" si="94"/>
        <v>186.24772922797723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74.330998298594139</v>
      </c>
      <c r="CL93" s="21">
        <f>EXP(-LN(2)/25)*CL92+(1-EXP(-LN(2)/25))/(LN(2)/25)*Calculateur!CG93*Calculateur!CI93*VLOOKUP('Données projet'!$B$12,Paramètres!$A$1:$I$89,3,0)*0.475*44/12</f>
        <v>24.362204382899797</v>
      </c>
      <c r="CM93" s="21">
        <f>EXP(-LN(2)/2)*CM92+(1-EXP(-LN(2)/2))/(LN(2)/2)*CG93*CJ93*VLOOKUP('Données projet'!$B$12,Paramètres!$A$1:$I$89,3,0)*0.475*44/12</f>
        <v>2.0401033874272985</v>
      </c>
      <c r="CN93" s="22">
        <f t="shared" si="66"/>
        <v>100.73330606892124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266.99999999999983</v>
      </c>
      <c r="CU93" s="17">
        <f>CT93*VLOOKUP('Données projet'!$B$13,Paramètres!$A$1:$I$89,3,0)*VLOOKUP('Données projet'!$B$13,Paramètres!$A$1:$I$89,5,0)</f>
        <v>195.76439999999985</v>
      </c>
      <c r="CV93" s="13">
        <f t="shared" si="95"/>
        <v>48.812154563023455</v>
      </c>
      <c r="CW93" s="20">
        <f t="shared" si="67"/>
        <v>425.9708325305989</v>
      </c>
      <c r="CX93" s="59">
        <f t="shared" si="68"/>
        <v>719.30416586393221</v>
      </c>
      <c r="CY93" s="59">
        <f ca="1">AVERAGE(OFFSET($CX$3,0,0,'Données projet'!$E$13+1,1))-AVERAGE(OFFSET($H$3,0,0,'Données projet'!$E$13+1,1))</f>
        <v>198.78436129430389</v>
      </c>
      <c r="CZ93" s="59">
        <f t="shared" si="96"/>
        <v>198.28846462484438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17.659292726499494</v>
      </c>
      <c r="DG93" s="21">
        <f>EXP(-LN(2)/25)*DG92+(1-EXP(-LN(2)/25))/(LN(2)/25)*Calculateur!DB93*Calculateur!DD93*VLOOKUP('Données projet'!$B$13,Paramètres!$A$1:$I$89,3,0)*0.475*44/12</f>
        <v>4.7195106605548638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22.378803387054358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274.57619581652199</v>
      </c>
      <c r="T94" s="59">
        <f t="shared" si="88"/>
        <v>366.15117322598775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57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278.21846622758881</v>
      </c>
      <c r="AO94" s="59">
        <f t="shared" si="90"/>
        <v>245.37578316242906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6.3000000000000034</v>
      </c>
      <c r="BD94" s="12">
        <f>IF('Données projet'!$A$88&gt;35,BD93+BC94-BL93,IF(A94&lt;'Données projet'!$A$88,$BA$205^A94,IF(A94='Données projet'!$A$88,'Données projet'!$B$88,BD93+BC94-BL93)))</f>
        <v>347.53846153846115</v>
      </c>
      <c r="BE94" s="13">
        <f>BD94*VLOOKUP('Données projet'!$B$11,Paramètres!$A$1:$I$89,3,0)*VLOOKUP('Données projet'!$B$11,Paramètres!$A$1:$I$89,5,0)</f>
        <v>207.82799999999978</v>
      </c>
      <c r="BF94" s="13">
        <f t="shared" si="91"/>
        <v>51.460662236282737</v>
      </c>
      <c r="BG94" s="20">
        <f t="shared" si="61"/>
        <v>451.59442006152534</v>
      </c>
      <c r="BH94" s="59">
        <f t="shared" si="62"/>
        <v>744.92775339485866</v>
      </c>
      <c r="BI94" s="59">
        <f ca="1">AVERAGE(OFFSET($BH$3,0,0,'Données projet'!$E$11+1,1))-AVERAGE(OFFSET($H$3,0,0,'Données projet'!$E$11+1,1))</f>
        <v>187.18641061466138</v>
      </c>
      <c r="BJ94" s="59">
        <f t="shared" si="92"/>
        <v>143.07246221325369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11.863101416323868</v>
      </c>
      <c r="BQ94" s="21">
        <f>EXP(-LN(2)/25)*BQ93+(1-EXP(-LN(2)/25))/(LN(2)/25)*Calculateur!BL94*Calculateur!BN94*VLOOKUP('Données projet'!$B$11,Paramètres!$A$1:$I$89,3,0)*0.475*44/12</f>
        <v>20.438868597085406</v>
      </c>
      <c r="BR94" s="21">
        <f>EXP(-LN(2)/2)*BR93+(1-EXP(-LN(2)/2))/(LN(2)/2)*BL94*BO94*VLOOKUP('Données projet'!$B$11,Paramètres!$A$1:$I$89,3,0)*0.475*44/12</f>
        <v>0.20617408592455067</v>
      </c>
      <c r="BS94" s="22">
        <f t="shared" si="63"/>
        <v>32.508144099333826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11.242307692307691</v>
      </c>
      <c r="BY94" s="12">
        <f>IF('Données projet'!$A$114&gt;35,BY93+BX94-CG93,IF(A94&lt;'Données projet'!$A$114,$BV$205^A94,IF(A94='Données projet'!$A$114,'Données projet'!$B$114,BY93+BX94-CG93)))</f>
        <v>424.15384615384636</v>
      </c>
      <c r="BZ94" s="13">
        <f>BY94*VLOOKUP('Données projet'!$B$12,Paramètres!$A$1:$I$89,3,0)*VLOOKUP('Données projet'!$B$12,Paramètres!$A$1:$I$89,5,0)</f>
        <v>198.5040000000001</v>
      </c>
      <c r="CA94" s="13">
        <f t="shared" si="93"/>
        <v>49.415248676990458</v>
      </c>
      <c r="CB94" s="20">
        <f t="shared" si="64"/>
        <v>431.79269144575846</v>
      </c>
      <c r="CC94" s="59">
        <f t="shared" si="65"/>
        <v>725.12602477909172</v>
      </c>
      <c r="CD94" s="59">
        <f ca="1">AVERAGE(OFFSET($CC$3,0,0,'Données projet'!$E$12+1,1))-AVERAGE(OFFSET($H$3,0,0,'Données projet'!$E$12+1,1))</f>
        <v>198.17898804494365</v>
      </c>
      <c r="CE94" s="59">
        <f t="shared" si="94"/>
        <v>186.24772922797723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72.873412759390973</v>
      </c>
      <c r="CL94" s="21">
        <f>EXP(-LN(2)/25)*CL93+(1-EXP(-LN(2)/25))/(LN(2)/25)*Calculateur!CG94*Calculateur!CI94*VLOOKUP('Données projet'!$B$12,Paramètres!$A$1:$I$89,3,0)*0.475*44/12</f>
        <v>23.696018622896755</v>
      </c>
      <c r="CM94" s="21">
        <f>EXP(-LN(2)/2)*CM93+(1-EXP(-LN(2)/2))/(LN(2)/2)*CG94*CJ94*VLOOKUP('Données projet'!$B$12,Paramètres!$A$1:$I$89,3,0)*0.475*44/12</f>
        <v>1.4425709395714892</v>
      </c>
      <c r="CN94" s="22">
        <f t="shared" si="66"/>
        <v>98.012002321859228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266.99999999999983</v>
      </c>
      <c r="CU94" s="17">
        <f>CT94*VLOOKUP('Données projet'!$B$13,Paramètres!$A$1:$I$89,3,0)*VLOOKUP('Données projet'!$B$13,Paramètres!$A$1:$I$89,5,0)</f>
        <v>195.76439999999985</v>
      </c>
      <c r="CV94" s="13">
        <f t="shared" si="95"/>
        <v>48.812154563023455</v>
      </c>
      <c r="CW94" s="20">
        <f t="shared" si="67"/>
        <v>425.9708325305989</v>
      </c>
      <c r="CX94" s="59">
        <f t="shared" si="68"/>
        <v>719.30416586393221</v>
      </c>
      <c r="CY94" s="59">
        <f ca="1">AVERAGE(OFFSET($CX$3,0,0,'Données projet'!$E$13+1,1))-AVERAGE(OFFSET($H$3,0,0,'Données projet'!$E$13+1,1))</f>
        <v>198.78436129430389</v>
      </c>
      <c r="CZ94" s="59">
        <f t="shared" si="96"/>
        <v>198.28846462484438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17.313004767237842</v>
      </c>
      <c r="DG94" s="21">
        <f>EXP(-LN(2)/25)*DG93+(1-EXP(-LN(2)/25))/(LN(2)/25)*Calculateur!DB94*Calculateur!DD94*VLOOKUP('Données projet'!$B$13,Paramètres!$A$1:$I$89,3,0)*0.475*44/12</f>
        <v>4.5904553933537118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21.903460160591553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274.57619581652199</v>
      </c>
      <c r="T95" s="59">
        <f t="shared" si="88"/>
        <v>366.15117322598775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57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278.21846622758881</v>
      </c>
      <c r="AO95" s="59">
        <f t="shared" si="90"/>
        <v>245.37578316242906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6.3000000000000034</v>
      </c>
      <c r="BD95" s="12">
        <f>IF('Données projet'!$A$88&gt;35,BD94+BC95-BL94,IF(A95&lt;'Données projet'!$A$88,$BA$205^A95,IF(A95='Données projet'!$A$88,'Données projet'!$B$88,BD94+BC95-BL94)))</f>
        <v>353.83846153846116</v>
      </c>
      <c r="BE95" s="13">
        <f>BD95*VLOOKUP('Données projet'!$B$11,Paramètres!$A$1:$I$89,3,0)*VLOOKUP('Données projet'!$B$11,Paramètres!$A$1:$I$89,5,0)</f>
        <v>211.59539999999981</v>
      </c>
      <c r="BF95" s="13">
        <f t="shared" si="91"/>
        <v>52.284067021764741</v>
      </c>
      <c r="BG95" s="20">
        <f t="shared" si="61"/>
        <v>459.59007172957325</v>
      </c>
      <c r="BH95" s="59">
        <f t="shared" si="62"/>
        <v>752.92340506290657</v>
      </c>
      <c r="BI95" s="59">
        <f ca="1">AVERAGE(OFFSET($BH$3,0,0,'Données projet'!$E$11+1,1))-AVERAGE(OFFSET($H$3,0,0,'Données projet'!$E$11+1,1))</f>
        <v>187.18641061466138</v>
      </c>
      <c r="BJ95" s="59">
        <f t="shared" si="92"/>
        <v>143.07246221325369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11.630473233327148</v>
      </c>
      <c r="BQ95" s="21">
        <f>EXP(-LN(2)/25)*BQ94+(1-EXP(-LN(2)/25))/(LN(2)/25)*Calculateur!BL95*Calculateur!BN95*VLOOKUP('Données projet'!$B$11,Paramètres!$A$1:$I$89,3,0)*0.475*44/12</f>
        <v>19.879966660464721</v>
      </c>
      <c r="BR95" s="21">
        <f>EXP(-LN(2)/2)*BR94+(1-EXP(-LN(2)/2))/(LN(2)/2)*BL95*BO95*VLOOKUP('Données projet'!$B$11,Paramètres!$A$1:$I$89,3,0)*0.475*44/12</f>
        <v>0.14578709426218769</v>
      </c>
      <c r="BS95" s="22">
        <f t="shared" si="63"/>
        <v>31.656226988054055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11.242307692307691</v>
      </c>
      <c r="BY95" s="12">
        <f>IF('Données projet'!$A$114&gt;35,BY94+BX95-CG94,IF(A95&lt;'Données projet'!$A$114,$BV$205^A95,IF(A95='Données projet'!$A$114,'Données projet'!$B$114,BY94+BX95-CG94)))</f>
        <v>435.39615384615405</v>
      </c>
      <c r="BZ95" s="13">
        <f>BY95*VLOOKUP('Données projet'!$B$12,Paramètres!$A$1:$I$89,3,0)*VLOOKUP('Données projet'!$B$12,Paramètres!$A$1:$I$89,5,0)</f>
        <v>203.76540000000008</v>
      </c>
      <c r="CA95" s="13">
        <f t="shared" si="93"/>
        <v>50.570788227585879</v>
      </c>
      <c r="CB95" s="20">
        <f t="shared" si="64"/>
        <v>442.96886116304557</v>
      </c>
      <c r="CC95" s="59">
        <f t="shared" si="65"/>
        <v>736.30219449637889</v>
      </c>
      <c r="CD95" s="59">
        <f ca="1">AVERAGE(OFFSET($CC$3,0,0,'Données projet'!$E$12+1,1))-AVERAGE(OFFSET($H$3,0,0,'Données projet'!$E$12+1,1))</f>
        <v>198.17898804494365</v>
      </c>
      <c r="CE95" s="59">
        <f t="shared" si="94"/>
        <v>186.24772922797723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71.444409583572181</v>
      </c>
      <c r="CL95" s="21">
        <f>EXP(-LN(2)/25)*CL94+(1-EXP(-LN(2)/25))/(LN(2)/25)*Calculateur!CG95*Calculateur!CI95*VLOOKUP('Données projet'!$B$12,Paramètres!$A$1:$I$89,3,0)*0.475*44/12</f>
        <v>23.048049747534183</v>
      </c>
      <c r="CM95" s="21">
        <f>EXP(-LN(2)/2)*CM94+(1-EXP(-LN(2)/2))/(LN(2)/2)*CG95*CJ95*VLOOKUP('Données projet'!$B$12,Paramètres!$A$1:$I$89,3,0)*0.475*44/12</f>
        <v>1.0200516937136495</v>
      </c>
      <c r="CN95" s="22">
        <f t="shared" si="66"/>
        <v>95.512511024820014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266.99999999999983</v>
      </c>
      <c r="CU95" s="17">
        <f>CT95*VLOOKUP('Données projet'!$B$13,Paramètres!$A$1:$I$89,3,0)*VLOOKUP('Données projet'!$B$13,Paramètres!$A$1:$I$89,5,0)</f>
        <v>195.76439999999985</v>
      </c>
      <c r="CV95" s="13">
        <f t="shared" si="95"/>
        <v>48.812154563023455</v>
      </c>
      <c r="CW95" s="20">
        <f t="shared" si="67"/>
        <v>425.9708325305989</v>
      </c>
      <c r="CX95" s="59">
        <f t="shared" si="68"/>
        <v>719.30416586393221</v>
      </c>
      <c r="CY95" s="59">
        <f ca="1">AVERAGE(OFFSET($CX$3,0,0,'Données projet'!$E$13+1,1))-AVERAGE(OFFSET($H$3,0,0,'Données projet'!$E$13+1,1))</f>
        <v>198.78436129430389</v>
      </c>
      <c r="CZ95" s="59">
        <f t="shared" si="96"/>
        <v>198.28846462484438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16.973507303642513</v>
      </c>
      <c r="DG95" s="21">
        <f>EXP(-LN(2)/25)*DG94+(1-EXP(-LN(2)/25))/(LN(2)/25)*Calculateur!DB95*Calculateur!DD95*VLOOKUP('Données projet'!$B$13,Paramètres!$A$1:$I$89,3,0)*0.475*44/12</f>
        <v>4.4649291492208967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21.43843645286341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274.57619581652199</v>
      </c>
      <c r="T96" s="59">
        <f t="shared" si="88"/>
        <v>366.15117322598775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57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278.21846622758881</v>
      </c>
      <c r="AO96" s="59">
        <f t="shared" si="90"/>
        <v>245.37578316242906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6.3000000000000034</v>
      </c>
      <c r="BD96" s="12">
        <f>IF('Données projet'!$A$88&gt;35,BD95+BC96-BL95,IF(A96&lt;'Données projet'!$A$88,$BA$205^A96,IF(A96='Données projet'!$A$88,'Données projet'!$B$88,BD95+BC96-BL95)))</f>
        <v>360.13846153846117</v>
      </c>
      <c r="BE96" s="13">
        <f>BD96*VLOOKUP('Données projet'!$B$11,Paramètres!$A$1:$I$89,3,0)*VLOOKUP('Données projet'!$B$11,Paramètres!$A$1:$I$89,5,0)</f>
        <v>215.36279999999979</v>
      </c>
      <c r="BF96" s="13">
        <f t="shared" si="91"/>
        <v>53.105766996464759</v>
      </c>
      <c r="BG96" s="20">
        <f t="shared" si="61"/>
        <v>467.58275418550915</v>
      </c>
      <c r="BH96" s="59">
        <f t="shared" si="62"/>
        <v>760.91608751884246</v>
      </c>
      <c r="BI96" s="59">
        <f ca="1">AVERAGE(OFFSET($BH$3,0,0,'Données projet'!$E$11+1,1))-AVERAGE(OFFSET($H$3,0,0,'Données projet'!$E$11+1,1))</f>
        <v>187.18641061466138</v>
      </c>
      <c r="BJ96" s="59">
        <f t="shared" si="92"/>
        <v>143.07246221325369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11.402406747109811</v>
      </c>
      <c r="BQ96" s="21">
        <f>EXP(-LN(2)/25)*BQ95+(1-EXP(-LN(2)/25))/(LN(2)/25)*Calculateur!BL96*Calculateur!BN96*VLOOKUP('Données projet'!$B$11,Paramètres!$A$1:$I$89,3,0)*0.475*44/12</f>
        <v>19.336347926692302</v>
      </c>
      <c r="BR96" s="21">
        <f>EXP(-LN(2)/2)*BR95+(1-EXP(-LN(2)/2))/(LN(2)/2)*BL96*BO96*VLOOKUP('Données projet'!$B$11,Paramètres!$A$1:$I$89,3,0)*0.475*44/12</f>
        <v>0.10308704296227533</v>
      </c>
      <c r="BS96" s="22">
        <f t="shared" si="63"/>
        <v>30.841841716764389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11.242307692307691</v>
      </c>
      <c r="BY96" s="12">
        <f>IF('Données projet'!$A$114&gt;35,BY95+BX96-CG95,IF(A96&lt;'Données projet'!$A$114,$BV$205^A96,IF(A96='Données projet'!$A$114,'Données projet'!$B$114,BY95+BX96-CG95)))</f>
        <v>446.63846153846174</v>
      </c>
      <c r="BZ96" s="13">
        <f>BY96*VLOOKUP('Données projet'!$B$12,Paramètres!$A$1:$I$89,3,0)*VLOOKUP('Données projet'!$B$12,Paramètres!$A$1:$I$89,5,0)</f>
        <v>209.02680000000009</v>
      </c>
      <c r="CA96" s="13">
        <f t="shared" si="93"/>
        <v>51.722859553755349</v>
      </c>
      <c r="CB96" s="20">
        <f t="shared" si="64"/>
        <v>454.13899038945743</v>
      </c>
      <c r="CC96" s="59">
        <f t="shared" si="65"/>
        <v>747.47232372279075</v>
      </c>
      <c r="CD96" s="59">
        <f ca="1">AVERAGE(OFFSET($CC$3,0,0,'Données projet'!$E$12+1,1))-AVERAGE(OFFSET($H$3,0,0,'Données projet'!$E$12+1,1))</f>
        <v>198.17898804494365</v>
      </c>
      <c r="CE96" s="59">
        <f t="shared" si="94"/>
        <v>186.24772922797723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70.043428288425332</v>
      </c>
      <c r="CL96" s="21">
        <f>EXP(-LN(2)/25)*CL95+(1-EXP(-LN(2)/25))/(LN(2)/25)*Calculateur!CG96*Calculateur!CI96*VLOOKUP('Données projet'!$B$12,Paramètres!$A$1:$I$89,3,0)*0.475*44/12</f>
        <v>22.417799615143601</v>
      </c>
      <c r="CM96" s="21">
        <f>EXP(-LN(2)/2)*CM95+(1-EXP(-LN(2)/2))/(LN(2)/2)*CG96*CJ96*VLOOKUP('Données projet'!$B$12,Paramètres!$A$1:$I$89,3,0)*0.475*44/12</f>
        <v>0.72128546978574481</v>
      </c>
      <c r="CN96" s="22">
        <f t="shared" si="66"/>
        <v>93.182513373354666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266.99999999999983</v>
      </c>
      <c r="CU96" s="17">
        <f>CT96*VLOOKUP('Données projet'!$B$13,Paramètres!$A$1:$I$89,3,0)*VLOOKUP('Données projet'!$B$13,Paramètres!$A$1:$I$89,5,0)</f>
        <v>195.76439999999985</v>
      </c>
      <c r="CV96" s="13">
        <f t="shared" si="95"/>
        <v>48.812154563023455</v>
      </c>
      <c r="CW96" s="20">
        <f t="shared" si="67"/>
        <v>425.9708325305989</v>
      </c>
      <c r="CX96" s="59">
        <f t="shared" si="68"/>
        <v>719.30416586393221</v>
      </c>
      <c r="CY96" s="59">
        <f ca="1">AVERAGE(OFFSET($CX$3,0,0,'Données projet'!$E$13+1,1))-AVERAGE(OFFSET($H$3,0,0,'Données projet'!$E$13+1,1))</f>
        <v>198.78436129430389</v>
      </c>
      <c r="CZ96" s="59">
        <f t="shared" si="96"/>
        <v>198.28846462484438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16.640667178235283</v>
      </c>
      <c r="DG96" s="21">
        <f>EXP(-LN(2)/25)*DG95+(1-EXP(-LN(2)/25))/(LN(2)/25)*Calculateur!DB96*Calculateur!DD96*VLOOKUP('Données projet'!$B$13,Paramètres!$A$1:$I$89,3,0)*0.475*44/12</f>
        <v>4.3428354268350322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20.983502605070314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274.57619581652199</v>
      </c>
      <c r="T97" s="59">
        <f t="shared" si="88"/>
        <v>366.15117322598775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57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278.21846622758881</v>
      </c>
      <c r="AO97" s="59">
        <f t="shared" si="90"/>
        <v>245.37578316242906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6.3000000000000034</v>
      </c>
      <c r="BD97" s="12">
        <f>IF('Données projet'!$A$88&gt;35,BD96+BC97-BL96,IF(A97&lt;'Données projet'!$A$88,$BA$205^A97,IF(A97='Données projet'!$A$88,'Données projet'!$B$88,BD96+BC97-BL96)))</f>
        <v>366.43846153846118</v>
      </c>
      <c r="BE97" s="13">
        <f>BD97*VLOOKUP('Données projet'!$B$11,Paramètres!$A$1:$I$89,3,0)*VLOOKUP('Données projet'!$B$11,Paramètres!$A$1:$I$89,5,0)</f>
        <v>219.1301999999998</v>
      </c>
      <c r="BF97" s="13">
        <f t="shared" si="91"/>
        <v>53.925795424011568</v>
      </c>
      <c r="BG97" s="20">
        <f t="shared" si="61"/>
        <v>475.57252536348642</v>
      </c>
      <c r="BH97" s="59">
        <f t="shared" si="62"/>
        <v>768.90585869681968</v>
      </c>
      <c r="BI97" s="59">
        <f ca="1">AVERAGE(OFFSET($BH$3,0,0,'Données projet'!$E$11+1,1))-AVERAGE(OFFSET($H$3,0,0,'Données projet'!$E$11+1,1))</f>
        <v>187.18641061466138</v>
      </c>
      <c r="BJ97" s="59">
        <f t="shared" si="92"/>
        <v>143.07246221325369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11.178812505580376</v>
      </c>
      <c r="BQ97" s="21">
        <f>EXP(-LN(2)/25)*BQ96+(1-EXP(-LN(2)/25))/(LN(2)/25)*Calculateur!BL97*Calculateur!BN97*VLOOKUP('Données projet'!$B$11,Paramètres!$A$1:$I$89,3,0)*0.475*44/12</f>
        <v>18.807594475782558</v>
      </c>
      <c r="BR97" s="21">
        <f>EXP(-LN(2)/2)*BR96+(1-EXP(-LN(2)/2))/(LN(2)/2)*BL97*BO97*VLOOKUP('Données projet'!$B$11,Paramètres!$A$1:$I$89,3,0)*0.475*44/12</f>
        <v>7.2893547131093847E-2</v>
      </c>
      <c r="BS97" s="22">
        <f t="shared" si="63"/>
        <v>30.059300528494028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11.242307692307691</v>
      </c>
      <c r="BY97" s="12">
        <f>IF('Données projet'!$A$114&gt;35,BY96+BX97-CG96,IF(A97&lt;'Données projet'!$A$114,$BV$205^A97,IF(A97='Données projet'!$A$114,'Données projet'!$B$114,BY96+BX97-CG96)))</f>
        <v>457.88076923076943</v>
      </c>
      <c r="BZ97" s="13">
        <f>BY97*VLOOKUP('Données projet'!$B$12,Paramètres!$A$1:$I$89,3,0)*VLOOKUP('Données projet'!$B$12,Paramètres!$A$1:$I$89,5,0)</f>
        <v>214.28820000000007</v>
      </c>
      <c r="CA97" s="13">
        <f t="shared" si="93"/>
        <v>52.871559993650941</v>
      </c>
      <c r="CB97" s="20">
        <f t="shared" si="64"/>
        <v>465.3032486556088</v>
      </c>
      <c r="CC97" s="59">
        <f t="shared" si="65"/>
        <v>758.63658198894211</v>
      </c>
      <c r="CD97" s="59">
        <f ca="1">AVERAGE(OFFSET($CC$3,0,0,'Données projet'!$E$12+1,1))-AVERAGE(OFFSET($H$3,0,0,'Données projet'!$E$12+1,1))</f>
        <v>198.17898804494365</v>
      </c>
      <c r="CE97" s="59">
        <f t="shared" si="94"/>
        <v>186.24772922797723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68.669919381962089</v>
      </c>
      <c r="CL97" s="21">
        <f>EXP(-LN(2)/25)*CL96+(1-EXP(-LN(2)/25))/(LN(2)/25)*Calculateur!CG97*Calculateur!CI97*VLOOKUP('Données projet'!$B$12,Paramètres!$A$1:$I$89,3,0)*0.475*44/12</f>
        <v>21.804783705766653</v>
      </c>
      <c r="CM97" s="21">
        <f>EXP(-LN(2)/2)*CM96+(1-EXP(-LN(2)/2))/(LN(2)/2)*CG97*CJ97*VLOOKUP('Données projet'!$B$12,Paramètres!$A$1:$I$89,3,0)*0.475*44/12</f>
        <v>0.51002584685682484</v>
      </c>
      <c r="CN97" s="22">
        <f t="shared" si="66"/>
        <v>90.984728934585561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266.99999999999983</v>
      </c>
      <c r="CU97" s="17">
        <f>CT97*VLOOKUP('Données projet'!$B$13,Paramètres!$A$1:$I$89,3,0)*VLOOKUP('Données projet'!$B$13,Paramètres!$A$1:$I$89,5,0)</f>
        <v>195.76439999999985</v>
      </c>
      <c r="CV97" s="13">
        <f t="shared" si="95"/>
        <v>48.812154563023455</v>
      </c>
      <c r="CW97" s="20">
        <f t="shared" si="67"/>
        <v>425.9708325305989</v>
      </c>
      <c r="CX97" s="59">
        <f t="shared" si="68"/>
        <v>719.30416586393221</v>
      </c>
      <c r="CY97" s="59">
        <f ca="1">AVERAGE(OFFSET($CX$3,0,0,'Données projet'!$E$13+1,1))-AVERAGE(OFFSET($H$3,0,0,'Données projet'!$E$13+1,1))</f>
        <v>198.78436129430389</v>
      </c>
      <c r="CZ97" s="59">
        <f t="shared" si="96"/>
        <v>198.28846462484438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16.314353844674859</v>
      </c>
      <c r="DG97" s="21">
        <f>EXP(-LN(2)/25)*DG96+(1-EXP(-LN(2)/25))/(LN(2)/25)*Calculateur!DB97*Calculateur!DD97*VLOOKUP('Données projet'!$B$13,Paramètres!$A$1:$I$89,3,0)*0.475*44/12</f>
        <v>4.2240803637084392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20.538434208383297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274.57619581652199</v>
      </c>
      <c r="T98" s="59">
        <f t="shared" si="88"/>
        <v>366.15117322598775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57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278.21846622758881</v>
      </c>
      <c r="AO98" s="59">
        <f t="shared" si="90"/>
        <v>245.37578316242906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372.73846153846154</v>
      </c>
      <c r="BB98" s="12">
        <f>VLOOKUP(A98,'Données projet'!$A$87:$I$107,9,0)</f>
        <v>6.3000000000000034</v>
      </c>
      <c r="BC98" s="12">
        <f t="array" ref="BC98">INDEX(BB:BB,MIN(IF(ISNUMBER(BB98:BB294),ROW(BB98:BB294),"")))</f>
        <v>6.3000000000000034</v>
      </c>
      <c r="BD98" s="12">
        <f>IF('Données projet'!$A$88&gt;35,BD97+BC98-BL97,IF(A98&lt;'Données projet'!$A$88,$BA$205^A98,IF(A98='Données projet'!$A$88,'Données projet'!$B$88,BD97+BC98-BL97)))</f>
        <v>372.73846153846119</v>
      </c>
      <c r="BE98" s="13">
        <f>BD98*VLOOKUP('Données projet'!$B$11,Paramètres!$A$1:$I$89,3,0)*VLOOKUP('Données projet'!$B$11,Paramètres!$A$1:$I$89,5,0)</f>
        <v>222.89759999999981</v>
      </c>
      <c r="BF98" s="13">
        <f t="shared" si="91"/>
        <v>54.744184358727416</v>
      </c>
      <c r="BG98" s="20">
        <f t="shared" si="61"/>
        <v>483.55944109144997</v>
      </c>
      <c r="BH98" s="59">
        <f t="shared" si="62"/>
        <v>776.89277442478328</v>
      </c>
      <c r="BI98" s="59">
        <f ca="1">AVERAGE(OFFSET($BH$3,0,0,'Données projet'!$E$11+1,1))-AVERAGE(OFFSET($H$3,0,0,'Données projet'!$E$11+1,1))</f>
        <v>187.18641061466138</v>
      </c>
      <c r="BJ98" s="59">
        <f t="shared" si="92"/>
        <v>143.07246221325369</v>
      </c>
      <c r="BK98" s="15">
        <f>IF(ISNA(VLOOKUP(A98,'Données projet'!$A$87:$I$107,3,0)),0,VLOOKUP(A98,'Données projet'!$A$87:$I$107,3,0))</f>
        <v>5</v>
      </c>
      <c r="BL98" s="15">
        <f>IF(ISNA(VLOOKUP(A98,'Données projet'!$A$87:$I$107,4,0)),0,VLOOKUP(A98,'Données projet'!$A$87:$I$107,4,0))</f>
        <v>203.73846153846154</v>
      </c>
      <c r="BM98" s="16">
        <f>IF(ISNA(VLOOKUP(A98,'Données projet'!$A$87:$I$107,5,0)),0%,VLOOKUP(A98,'Données projet'!$A$87:$I$107,5,0)*VLOOKUP('Données projet'!$B$11,Paramètres!$A$1:$I$89,7,0))</f>
        <v>0.315</v>
      </c>
      <c r="BN98" s="16">
        <f>IF(ISNA(VLOOKUP(A98,'Données projet'!$A$87:$I$107,6,0)),0%,VLOOKUP(A98,'Données projet'!$A$87:$I$107,6,0)*VLOOKUP('Données projet'!$B$11,Paramètres!$A$1:$I$89,7,0))</f>
        <v>9.4500000000000001E-2</v>
      </c>
      <c r="BO98" s="16">
        <f>IF(ISNA(VLOOKUP(A98,'Données projet'!$A$87:$I$107,7,0)),0%,VLOOKUP(A98,'Données projet'!$A$87:$I$107,7,0))</f>
        <v>0.09</v>
      </c>
      <c r="BP98" s="21">
        <f>EXP(-LN(2)/35)*BP97+(1-EXP(-LN(2)/35))/(LN(2)/35)*BL98*BM98*VLOOKUP('Données projet'!$B$11,Paramètres!$A$1:$I$89,3,0)*0.475*44/12</f>
        <v>61.870777366400453</v>
      </c>
      <c r="BQ98" s="21">
        <f>EXP(-LN(2)/25)*BQ97+(1-EXP(-LN(2)/25))/(LN(2)/25)*Calculateur!BL98*Calculateur!BN98*VLOOKUP('Données projet'!$B$11,Paramètres!$A$1:$I$89,3,0)*0.475*44/12</f>
        <v>33.506515174618336</v>
      </c>
      <c r="BR98" s="21">
        <f>EXP(-LN(2)/2)*BR97+(1-EXP(-LN(2)/2))/(LN(2)/2)*BL98*BO98*VLOOKUP('Données projet'!$B$11,Paramètres!$A$1:$I$89,3,0)*0.475*44/12</f>
        <v>12.466701639247532</v>
      </c>
      <c r="BS98" s="22">
        <f t="shared" si="63"/>
        <v>107.84399418026632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469.12307692307689</v>
      </c>
      <c r="BW98" s="12">
        <f>VLOOKUP(A98,'Données projet'!$A$113:$I$133,9,0)</f>
        <v>11.242307692307691</v>
      </c>
      <c r="BX98" s="12">
        <f t="array" ref="BX98">INDEX(BW:BW,MIN(IF(ISNUMBER(BW98:BW294),ROW(BW98:BW294),"")))</f>
        <v>11.242307692307691</v>
      </c>
      <c r="BY98" s="12">
        <f>IF('Données projet'!$A$114&gt;35,BY97+BX98-CG97,IF(A98&lt;'Données projet'!$A$114,$BV$205^A98,IF(A98='Données projet'!$A$114,'Données projet'!$B$114,BY97+BX98-CG97)))</f>
        <v>469.12307692307712</v>
      </c>
      <c r="BZ98" s="13">
        <f>BY98*VLOOKUP('Données projet'!$B$12,Paramètres!$A$1:$I$89,3,0)*VLOOKUP('Données projet'!$B$12,Paramètres!$A$1:$I$89,5,0)</f>
        <v>219.54960000000008</v>
      </c>
      <c r="CA98" s="13">
        <f t="shared" si="93"/>
        <v>54.016981833057052</v>
      </c>
      <c r="CB98" s="20">
        <f t="shared" si="64"/>
        <v>476.46179669257441</v>
      </c>
      <c r="CC98" s="59">
        <f t="shared" si="65"/>
        <v>769.79513002590772</v>
      </c>
      <c r="CD98" s="59">
        <f ca="1">AVERAGE(OFFSET($CC$3,0,0,'Données projet'!$E$12+1,1))-AVERAGE(OFFSET($H$3,0,0,'Données projet'!$E$12+1,1))</f>
        <v>198.17898804494365</v>
      </c>
      <c r="CE98" s="59">
        <f t="shared" si="94"/>
        <v>186.24772922797723</v>
      </c>
      <c r="CF98" s="15">
        <f>IF(ISNA(VLOOKUP(A98,'Données projet'!$A$113:$I$133,3,0)),0,VLOOKUP(A98,'Données projet'!$A$113:$I$133,3,0))</f>
        <v>8</v>
      </c>
      <c r="CG98" s="15">
        <f>IF(ISNA(VLOOKUP(A98,'Données projet'!$A$113:$I$133,4,0)),0,VLOOKUP(A98,'Données projet'!$A$113:$I$133,4,0))</f>
        <v>234.42307692307691</v>
      </c>
      <c r="CH98" s="16">
        <f>IF(ISNA(VLOOKUP(A98,'Données projet'!$A$113:$I$133,5,0)),0%,VLOOKUP(A98,'Données projet'!$A$113:$I$133,5,0)*VLOOKUP('Données projet'!$B$12,Paramètres!$A$1:$I$89,7,0))</f>
        <v>0.38500000000000001</v>
      </c>
      <c r="CI98" s="16">
        <f>IF(ISNA(VLOOKUP(A98,'Données projet'!$A$113:$I$133,6,0)),0%,VLOOKUP(A98,'Données projet'!$A$113:$I$133,6,0)*VLOOKUP('Données projet'!$B$12,Paramètres!$A$1:$I$89,7,0))</f>
        <v>9.240000000000001E-2</v>
      </c>
      <c r="CJ98" s="16">
        <f>IF(ISNA(VLOOKUP(A98,'Données projet'!$A$113:$I$133,7,0)),0%,VLOOKUP(A98,'Données projet'!$A$113:$I$133,7,0))</f>
        <v>0.13200000000000001</v>
      </c>
      <c r="CK98" s="21">
        <f>EXP(-LN(2)/35)*CK97+(1-EXP(-LN(2)/35))/(LN(2)/35)*CG98*CH98*VLOOKUP('Données projet'!$B$12,Paramètres!$A$1:$I$89,3,0)*0.475*44/12</f>
        <v>123.35523791381158</v>
      </c>
      <c r="CL98" s="21">
        <f>EXP(-LN(2)/25)*CL97+(1-EXP(-LN(2)/25))/(LN(2)/25)*Calculateur!CG98*Calculateur!CI98*VLOOKUP('Données projet'!$B$12,Paramètres!$A$1:$I$89,3,0)*0.475*44/12</f>
        <v>34.603236712868167</v>
      </c>
      <c r="CM98" s="21">
        <f>EXP(-LN(2)/2)*CM97+(1-EXP(-LN(2)/2))/(LN(2)/2)*CG98*CJ98*VLOOKUP('Données projet'!$B$12,Paramètres!$A$1:$I$89,3,0)*0.475*44/12</f>
        <v>16.757313842627845</v>
      </c>
      <c r="CN98" s="22">
        <f t="shared" si="66"/>
        <v>174.71578846930757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266.99999999999983</v>
      </c>
      <c r="CU98" s="17">
        <f>CT98*VLOOKUP('Données projet'!$B$13,Paramètres!$A$1:$I$89,3,0)*VLOOKUP('Données projet'!$B$13,Paramètres!$A$1:$I$89,5,0)</f>
        <v>195.76439999999985</v>
      </c>
      <c r="CV98" s="13">
        <f t="shared" si="95"/>
        <v>48.812154563023455</v>
      </c>
      <c r="CW98" s="20">
        <f t="shared" si="67"/>
        <v>425.9708325305989</v>
      </c>
      <c r="CX98" s="59">
        <f t="shared" si="68"/>
        <v>719.30416586393221</v>
      </c>
      <c r="CY98" s="59">
        <f ca="1">AVERAGE(OFFSET($CX$3,0,0,'Données projet'!$E$13+1,1))-AVERAGE(OFFSET($H$3,0,0,'Données projet'!$E$13+1,1))</f>
        <v>198.78436129430389</v>
      </c>
      <c r="CZ98" s="59">
        <f t="shared" si="96"/>
        <v>198.28846462484438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15.994439316554073</v>
      </c>
      <c r="DG98" s="21">
        <f>EXP(-LN(2)/25)*DG97+(1-EXP(-LN(2)/25))/(LN(2)/25)*Calculateur!DB98*Calculateur!DD98*VLOOKUP('Données projet'!$B$13,Paramètres!$A$1:$I$89,3,0)*0.475*44/12</f>
        <v>4.1085726640280997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20.103011980582174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274.57619581652199</v>
      </c>
      <c r="T99" s="59">
        <f t="shared" si="88"/>
        <v>366.15117322598775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57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278.21846622758881</v>
      </c>
      <c r="AO99" s="59">
        <f t="shared" si="90"/>
        <v>245.37578316242906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4.4823076923076943</v>
      </c>
      <c r="BD99" s="12">
        <f>IF('Données projet'!$A$88&gt;35,BD98+BC99-BL98,IF(A99&lt;'Données projet'!$A$88,$BA$205^A99,IF(A99='Données projet'!$A$88,'Données projet'!$B$88,BD98+BC99-BL98)))</f>
        <v>173.48230769230736</v>
      </c>
      <c r="BE99" s="13">
        <f>BD99*VLOOKUP('Données projet'!$B$11,Paramètres!$A$1:$I$89,3,0)*VLOOKUP('Données projet'!$B$11,Paramètres!$A$1:$I$89,5,0)</f>
        <v>103.74241999999981</v>
      </c>
      <c r="BF99" s="13">
        <f t="shared" si="91"/>
        <v>27.85166208829316</v>
      </c>
      <c r="BG99" s="20">
        <f t="shared" si="61"/>
        <v>229.19302630377692</v>
      </c>
      <c r="BH99" s="59">
        <f t="shared" si="62"/>
        <v>522.5263596371102</v>
      </c>
      <c r="BI99" s="59">
        <f ca="1">AVERAGE(OFFSET($BH$3,0,0,'Données projet'!$E$11+1,1))-AVERAGE(OFFSET($H$3,0,0,'Données projet'!$E$11+1,1))</f>
        <v>187.18641061466138</v>
      </c>
      <c r="BJ99" s="59">
        <f t="shared" si="92"/>
        <v>143.07246221325369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60.657529159693269</v>
      </c>
      <c r="BQ99" s="21">
        <f>EXP(-LN(2)/25)*BQ98+(1-EXP(-LN(2)/25))/(LN(2)/25)*Calculateur!BL99*Calculateur!BN99*VLOOKUP('Données projet'!$B$11,Paramètres!$A$1:$I$89,3,0)*0.475*44/12</f>
        <v>32.590277755137343</v>
      </c>
      <c r="BR99" s="21">
        <f>EXP(-LN(2)/2)*BR98+(1-EXP(-LN(2)/2))/(LN(2)/2)*BL99*BO99*VLOOKUP('Données projet'!$B$11,Paramètres!$A$1:$I$89,3,0)*0.475*44/12</f>
        <v>8.8152892681413793</v>
      </c>
      <c r="BS99" s="22">
        <f t="shared" si="63"/>
        <v>102.063096182972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7.5015384615384617</v>
      </c>
      <c r="BY99" s="12">
        <f>IF('Données projet'!$A$114&gt;35,BY98+BX99-CG98,IF(A99&lt;'Données projet'!$A$114,$BV$205^A99,IF(A99='Données projet'!$A$114,'Données projet'!$B$114,BY98+BX99-CG98)))</f>
        <v>242.20153846153869</v>
      </c>
      <c r="BZ99" s="13">
        <f>BY99*VLOOKUP('Données projet'!$B$12,Paramètres!$A$1:$I$89,3,0)*VLOOKUP('Données projet'!$B$12,Paramètres!$A$1:$I$89,5,0)</f>
        <v>113.35032000000011</v>
      </c>
      <c r="CA99" s="13">
        <f t="shared" si="93"/>
        <v>30.118962463528121</v>
      </c>
      <c r="CB99" s="20">
        <f t="shared" si="64"/>
        <v>249.87566695731167</v>
      </c>
      <c r="CC99" s="59">
        <f t="shared" si="65"/>
        <v>543.20900029064501</v>
      </c>
      <c r="CD99" s="59">
        <f ca="1">AVERAGE(OFFSET($CC$3,0,0,'Données projet'!$E$12+1,1))-AVERAGE(OFFSET($H$3,0,0,'Données projet'!$E$12+1,1))</f>
        <v>198.17898804494365</v>
      </c>
      <c r="CE99" s="59">
        <f t="shared" si="94"/>
        <v>186.24772922797723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120.93631693758761</v>
      </c>
      <c r="CL99" s="21">
        <f>EXP(-LN(2)/25)*CL98+(1-EXP(-LN(2)/25))/(LN(2)/25)*Calculateur!CG99*Calculateur!CI99*VLOOKUP('Données projet'!$B$12,Paramètres!$A$1:$I$89,3,0)*0.475*44/12</f>
        <v>33.657009385249658</v>
      </c>
      <c r="CM99" s="21">
        <f>EXP(-LN(2)/2)*CM98+(1-EXP(-LN(2)/2))/(LN(2)/2)*CG99*CJ99*VLOOKUP('Données projet'!$B$12,Paramètres!$A$1:$I$89,3,0)*0.475*44/12</f>
        <v>11.849210252593352</v>
      </c>
      <c r="CN99" s="22">
        <f t="shared" si="66"/>
        <v>166.44253657543061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266.99999999999983</v>
      </c>
      <c r="CU99" s="17">
        <f>CT99*VLOOKUP('Données projet'!$B$13,Paramètres!$A$1:$I$89,3,0)*VLOOKUP('Données projet'!$B$13,Paramètres!$A$1:$I$89,5,0)</f>
        <v>195.76439999999985</v>
      </c>
      <c r="CV99" s="13">
        <f t="shared" si="95"/>
        <v>48.812154563023455</v>
      </c>
      <c r="CW99" s="20">
        <f t="shared" si="67"/>
        <v>425.9708325305989</v>
      </c>
      <c r="CX99" s="59">
        <f t="shared" si="68"/>
        <v>719.30416586393221</v>
      </c>
      <c r="CY99" s="59">
        <f ca="1">AVERAGE(OFFSET($CX$3,0,0,'Données projet'!$E$13+1,1))-AVERAGE(OFFSET($H$3,0,0,'Données projet'!$E$13+1,1))</f>
        <v>198.78436129430389</v>
      </c>
      <c r="CZ99" s="59">
        <f t="shared" si="96"/>
        <v>198.28846462484438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15.680798117201141</v>
      </c>
      <c r="DG99" s="21">
        <f>EXP(-LN(2)/25)*DG98+(1-EXP(-LN(2)/25))/(LN(2)/25)*Calculateur!DB99*Calculateur!DD99*VLOOKUP('Données projet'!$B$13,Paramètres!$A$1:$I$89,3,0)*0.475*44/12</f>
        <v>3.9962235284698053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19.677021645670948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274.57619581652199</v>
      </c>
      <c r="T100" s="59">
        <f t="shared" si="88"/>
        <v>366.15117322598775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57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278.21846622758881</v>
      </c>
      <c r="AO100" s="59">
        <f t="shared" si="90"/>
        <v>245.37578316242906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4.4823076923076943</v>
      </c>
      <c r="BD100" s="12">
        <f>IF('Données projet'!$A$88&gt;35,BD99+BC100-BL99,IF(A100&lt;'Données projet'!$A$88,$BA$205^A100,IF(A100='Données projet'!$A$88,'Données projet'!$B$88,BD99+BC100-BL99)))</f>
        <v>177.96461538461506</v>
      </c>
      <c r="BE100" s="13">
        <f>BD100*VLOOKUP('Données projet'!$B$11,Paramètres!$A$1:$I$89,3,0)*VLOOKUP('Données projet'!$B$11,Paramètres!$A$1:$I$89,5,0)</f>
        <v>106.42283999999981</v>
      </c>
      <c r="BF100" s="13">
        <f t="shared" si="91"/>
        <v>28.486563000749264</v>
      </c>
      <c r="BG100" s="20">
        <f t="shared" si="61"/>
        <v>234.96721022630467</v>
      </c>
      <c r="BH100" s="59">
        <f t="shared" si="62"/>
        <v>528.30054355963796</v>
      </c>
      <c r="BI100" s="59">
        <f ca="1">AVERAGE(OFFSET($BH$3,0,0,'Données projet'!$E$11+1,1))-AVERAGE(OFFSET($H$3,0,0,'Données projet'!$E$11+1,1))</f>
        <v>187.18641061466138</v>
      </c>
      <c r="BJ100" s="59">
        <f t="shared" si="92"/>
        <v>143.07246221325369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59.468072010311275</v>
      </c>
      <c r="BQ100" s="21">
        <f>EXP(-LN(2)/25)*BQ99+(1-EXP(-LN(2)/25))/(LN(2)/25)*Calculateur!BL100*Calculateur!BN100*VLOOKUP('Données projet'!$B$11,Paramètres!$A$1:$I$89,3,0)*0.475*44/12</f>
        <v>31.699094896074893</v>
      </c>
      <c r="BR100" s="21">
        <f>EXP(-LN(2)/2)*BR99+(1-EXP(-LN(2)/2))/(LN(2)/2)*BL100*BO100*VLOOKUP('Données projet'!$B$11,Paramètres!$A$1:$I$89,3,0)*0.475*44/12</f>
        <v>6.2333508196237677</v>
      </c>
      <c r="BS100" s="22">
        <f t="shared" si="63"/>
        <v>97.400517726009937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7.5015384615384617</v>
      </c>
      <c r="BY100" s="12">
        <f>IF('Données projet'!$A$114&gt;35,BY99+BX100-CG99,IF(A100&lt;'Données projet'!$A$114,$BV$205^A100,IF(A100='Données projet'!$A$114,'Données projet'!$B$114,BY99+BX100-CG99)))</f>
        <v>249.70307692307716</v>
      </c>
      <c r="BZ100" s="13">
        <f>BY100*VLOOKUP('Données projet'!$B$12,Paramètres!$A$1:$I$89,3,0)*VLOOKUP('Données projet'!$B$12,Paramètres!$A$1:$I$89,5,0)</f>
        <v>116.86104000000012</v>
      </c>
      <c r="CA100" s="13">
        <f t="shared" si="93"/>
        <v>30.941762857231797</v>
      </c>
      <c r="CB100" s="20">
        <f t="shared" si="64"/>
        <v>257.42321497634555</v>
      </c>
      <c r="CC100" s="59">
        <f t="shared" si="65"/>
        <v>550.75654830967892</v>
      </c>
      <c r="CD100" s="59">
        <f ca="1">AVERAGE(OFFSET($CC$3,0,0,'Données projet'!$E$12+1,1))-AVERAGE(OFFSET($H$3,0,0,'Données projet'!$E$12+1,1))</f>
        <v>198.17898804494365</v>
      </c>
      <c r="CE100" s="59">
        <f t="shared" si="94"/>
        <v>186.24772922797723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118.56482952631127</v>
      </c>
      <c r="CL100" s="21">
        <f>EXP(-LN(2)/25)*CL99+(1-EXP(-LN(2)/25))/(LN(2)/25)*Calculateur!CG100*Calculateur!CI100*VLOOKUP('Données projet'!$B$12,Paramètres!$A$1:$I$89,3,0)*0.475*44/12</f>
        <v>32.736656693664806</v>
      </c>
      <c r="CM100" s="21">
        <f>EXP(-LN(2)/2)*CM99+(1-EXP(-LN(2)/2))/(LN(2)/2)*CG100*CJ100*VLOOKUP('Données projet'!$B$12,Paramètres!$A$1:$I$89,3,0)*0.475*44/12</f>
        <v>8.3786569213139241</v>
      </c>
      <c r="CN100" s="22">
        <f t="shared" si="66"/>
        <v>159.68014314129002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266.99999999999983</v>
      </c>
      <c r="CU100" s="17">
        <f>CT100*VLOOKUP('Données projet'!$B$13,Paramètres!$A$1:$I$89,3,0)*VLOOKUP('Données projet'!$B$13,Paramètres!$A$1:$I$89,5,0)</f>
        <v>195.76439999999985</v>
      </c>
      <c r="CV100" s="13">
        <f t="shared" si="95"/>
        <v>48.812154563023455</v>
      </c>
      <c r="CW100" s="20">
        <f t="shared" si="67"/>
        <v>425.9708325305989</v>
      </c>
      <c r="CX100" s="59">
        <f t="shared" si="68"/>
        <v>719.30416586393221</v>
      </c>
      <c r="CY100" s="59">
        <f ca="1">AVERAGE(OFFSET($CX$3,0,0,'Données projet'!$E$13+1,1))-AVERAGE(OFFSET($H$3,0,0,'Données projet'!$E$13+1,1))</f>
        <v>198.78436129430389</v>
      </c>
      <c r="CZ100" s="59">
        <f t="shared" si="96"/>
        <v>198.28846462484438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15.373307230465278</v>
      </c>
      <c r="DG100" s="21">
        <f>EXP(-LN(2)/25)*DG99+(1-EXP(-LN(2)/25))/(LN(2)/25)*Calculateur!DB100*Calculateur!DD100*VLOOKUP('Données projet'!$B$13,Paramètres!$A$1:$I$89,3,0)*0.475*44/12</f>
        <v>3.8869465859315366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19.260253816396816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274.57619581652199</v>
      </c>
      <c r="T101" s="59">
        <f t="shared" si="88"/>
        <v>366.15117322598775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57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278.21846622758881</v>
      </c>
      <c r="AO101" s="59">
        <f t="shared" si="90"/>
        <v>245.37578316242906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4.4823076923076943</v>
      </c>
      <c r="BD101" s="12">
        <f>IF('Données projet'!$A$88&gt;35,BD100+BC101-BL100,IF(A101&lt;'Données projet'!$A$88,$BA$205^A101,IF(A101='Données projet'!$A$88,'Données projet'!$B$88,BD100+BC101-BL100)))</f>
        <v>182.44692307692276</v>
      </c>
      <c r="BE101" s="13">
        <f>BD101*VLOOKUP('Données projet'!$B$11,Paramètres!$A$1:$I$89,3,0)*VLOOKUP('Données projet'!$B$11,Paramètres!$A$1:$I$89,5,0)</f>
        <v>109.10325999999981</v>
      </c>
      <c r="BF101" s="13">
        <f t="shared" si="91"/>
        <v>29.119605086053163</v>
      </c>
      <c r="BG101" s="20">
        <f t="shared" si="61"/>
        <v>240.73815669154223</v>
      </c>
      <c r="BH101" s="59">
        <f t="shared" si="62"/>
        <v>534.07149002487552</v>
      </c>
      <c r="BI101" s="59">
        <f ca="1">AVERAGE(OFFSET($BH$3,0,0,'Données projet'!$E$11+1,1))-AVERAGE(OFFSET($H$3,0,0,'Données projet'!$E$11+1,1))</f>
        <v>187.18641061466138</v>
      </c>
      <c r="BJ101" s="59">
        <f t="shared" si="92"/>
        <v>143.07246221325369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58.301939390131437</v>
      </c>
      <c r="BQ101" s="21">
        <f>EXP(-LN(2)/25)*BQ100+(1-EXP(-LN(2)/25))/(LN(2)/25)*Calculateur!BL101*Calculateur!BN101*VLOOKUP('Données projet'!$B$11,Paramètres!$A$1:$I$89,3,0)*0.475*44/12</f>
        <v>30.832281479158773</v>
      </c>
      <c r="BR101" s="21">
        <f>EXP(-LN(2)/2)*BR100+(1-EXP(-LN(2)/2))/(LN(2)/2)*BL101*BO101*VLOOKUP('Données projet'!$B$11,Paramètres!$A$1:$I$89,3,0)*0.475*44/12</f>
        <v>4.4076446340706905</v>
      </c>
      <c r="BS101" s="22">
        <f t="shared" si="63"/>
        <v>93.541865503360896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7.5015384615384617</v>
      </c>
      <c r="BY101" s="12">
        <f>IF('Données projet'!$A$114&gt;35,BY100+BX101-CG100,IF(A101&lt;'Données projet'!$A$114,$BV$205^A101,IF(A101='Données projet'!$A$114,'Données projet'!$B$114,BY100+BX101-CG100)))</f>
        <v>257.20461538461564</v>
      </c>
      <c r="BZ101" s="13">
        <f>BY101*VLOOKUP('Données projet'!$B$12,Paramètres!$A$1:$I$89,3,0)*VLOOKUP('Données projet'!$B$12,Paramètres!$A$1:$I$89,5,0)</f>
        <v>120.37176000000012</v>
      </c>
      <c r="CA101" s="13">
        <f t="shared" si="93"/>
        <v>31.761690593555869</v>
      </c>
      <c r="CB101" s="20">
        <f t="shared" si="64"/>
        <v>264.96575978377672</v>
      </c>
      <c r="CC101" s="59">
        <f t="shared" si="65"/>
        <v>558.29909311711003</v>
      </c>
      <c r="CD101" s="59">
        <f ca="1">AVERAGE(OFFSET($CC$3,0,0,'Données projet'!$E$12+1,1))-AVERAGE(OFFSET($H$3,0,0,'Données projet'!$E$12+1,1))</f>
        <v>198.17898804494365</v>
      </c>
      <c r="CE101" s="59">
        <f t="shared" si="94"/>
        <v>186.24772922797723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116.23984553670557</v>
      </c>
      <c r="CL101" s="21">
        <f>EXP(-LN(2)/25)*CL100+(1-EXP(-LN(2)/25))/(LN(2)/25)*Calculateur!CG101*Calculateur!CI101*VLOOKUP('Données projet'!$B$12,Paramètres!$A$1:$I$89,3,0)*0.475*44/12</f>
        <v>31.841471094830588</v>
      </c>
      <c r="CM101" s="21">
        <f>EXP(-LN(2)/2)*CM100+(1-EXP(-LN(2)/2))/(LN(2)/2)*CG101*CJ101*VLOOKUP('Données projet'!$B$12,Paramètres!$A$1:$I$89,3,0)*0.475*44/12</f>
        <v>5.9246051262966777</v>
      </c>
      <c r="CN101" s="22">
        <f t="shared" si="66"/>
        <v>154.00592175783285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266.99999999999983</v>
      </c>
      <c r="CU101" s="17">
        <f>CT101*VLOOKUP('Données projet'!$B$13,Paramètres!$A$1:$I$89,3,0)*VLOOKUP('Données projet'!$B$13,Paramètres!$A$1:$I$89,5,0)</f>
        <v>195.76439999999985</v>
      </c>
      <c r="CV101" s="13">
        <f t="shared" si="95"/>
        <v>48.812154563023455</v>
      </c>
      <c r="CW101" s="20">
        <f t="shared" si="67"/>
        <v>425.9708325305989</v>
      </c>
      <c r="CX101" s="59">
        <f t="shared" si="68"/>
        <v>719.30416586393221</v>
      </c>
      <c r="CY101" s="59">
        <f ca="1">AVERAGE(OFFSET($CX$3,0,0,'Données projet'!$E$13+1,1))-AVERAGE(OFFSET($H$3,0,0,'Données projet'!$E$13+1,1))</f>
        <v>198.78436129430389</v>
      </c>
      <c r="CZ101" s="59">
        <f t="shared" si="96"/>
        <v>198.28846462484438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15.071846052467382</v>
      </c>
      <c r="DG101" s="21">
        <f>EXP(-LN(2)/25)*DG100+(1-EXP(-LN(2)/25))/(LN(2)/25)*Calculateur!DB101*Calculateur!DD101*VLOOKUP('Données projet'!$B$13,Paramètres!$A$1:$I$89,3,0)*0.475*44/12</f>
        <v>3.7806578271336018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18.852503879600985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274.57619581652199</v>
      </c>
      <c r="T102" s="59">
        <f t="shared" si="88"/>
        <v>366.15117322598775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57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278.21846622758881</v>
      </c>
      <c r="AO102" s="59">
        <f t="shared" si="90"/>
        <v>245.37578316242906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4.4823076923076943</v>
      </c>
      <c r="BD102" s="12">
        <f>IF('Données projet'!$A$88&gt;35,BD101+BC102-BL101,IF(A102&lt;'Données projet'!$A$88,$BA$205^A102,IF(A102='Données projet'!$A$88,'Données projet'!$B$88,BD101+BC102-BL101)))</f>
        <v>186.92923076923046</v>
      </c>
      <c r="BE102" s="13">
        <f>BD102*VLOOKUP('Données projet'!$B$11,Paramètres!$A$1:$I$89,3,0)*VLOOKUP('Données projet'!$B$11,Paramètres!$A$1:$I$89,5,0)</f>
        <v>111.78367999999982</v>
      </c>
      <c r="BF102" s="13">
        <f t="shared" si="91"/>
        <v>29.750839264569581</v>
      </c>
      <c r="BG102" s="20">
        <f t="shared" si="61"/>
        <v>246.50595438579171</v>
      </c>
      <c r="BH102" s="59">
        <f t="shared" si="62"/>
        <v>539.83928771912497</v>
      </c>
      <c r="BI102" s="59">
        <f ca="1">AVERAGE(OFFSET($BH$3,0,0,'Données projet'!$E$11+1,1))-AVERAGE(OFFSET($H$3,0,0,'Données projet'!$E$11+1,1))</f>
        <v>187.18641061466138</v>
      </c>
      <c r="BJ102" s="59">
        <f t="shared" si="92"/>
        <v>143.07246221325369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57.158673919362663</v>
      </c>
      <c r="BQ102" s="21">
        <f>EXP(-LN(2)/25)*BQ101+(1-EXP(-LN(2)/25))/(LN(2)/25)*Calculateur!BL102*Calculateur!BN102*VLOOKUP('Données projet'!$B$11,Paramètres!$A$1:$I$89,3,0)*0.475*44/12</f>
        <v>29.989171120711962</v>
      </c>
      <c r="BR102" s="21">
        <f>EXP(-LN(2)/2)*BR101+(1-EXP(-LN(2)/2))/(LN(2)/2)*BL102*BO102*VLOOKUP('Données projet'!$B$11,Paramètres!$A$1:$I$89,3,0)*0.475*44/12</f>
        <v>3.1166754098118843</v>
      </c>
      <c r="BS102" s="22">
        <f t="shared" si="63"/>
        <v>90.264520449886518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7.5015384615384617</v>
      </c>
      <c r="BY102" s="12">
        <f>IF('Données projet'!$A$114&gt;35,BY101+BX102-CG101,IF(A102&lt;'Données projet'!$A$114,$BV$205^A102,IF(A102='Données projet'!$A$114,'Données projet'!$B$114,BY101+BX102-CG101)))</f>
        <v>264.70615384615411</v>
      </c>
      <c r="BZ102" s="13">
        <f>BY102*VLOOKUP('Données projet'!$B$12,Paramètres!$A$1:$I$89,3,0)*VLOOKUP('Données projet'!$B$12,Paramètres!$A$1:$I$89,5,0)</f>
        <v>123.88248000000011</v>
      </c>
      <c r="CA102" s="13">
        <f t="shared" si="93"/>
        <v>32.578839075986679</v>
      </c>
      <c r="CB102" s="20">
        <f t="shared" si="64"/>
        <v>272.50346405734365</v>
      </c>
      <c r="CC102" s="59">
        <f t="shared" si="65"/>
        <v>565.83679739067702</v>
      </c>
      <c r="CD102" s="59">
        <f ca="1">AVERAGE(OFFSET($CC$3,0,0,'Données projet'!$E$12+1,1))-AVERAGE(OFFSET($H$3,0,0,'Données projet'!$E$12+1,1))</f>
        <v>198.17898804494365</v>
      </c>
      <c r="CE102" s="59">
        <f t="shared" si="94"/>
        <v>186.24772922797723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113.96045306503584</v>
      </c>
      <c r="CL102" s="21">
        <f>EXP(-LN(2)/25)*CL101+(1-EXP(-LN(2)/25))/(LN(2)/25)*Calculateur!CG102*Calculateur!CI102*VLOOKUP('Données projet'!$B$12,Paramètres!$A$1:$I$89,3,0)*0.475*44/12</f>
        <v>30.970764393272255</v>
      </c>
      <c r="CM102" s="21">
        <f>EXP(-LN(2)/2)*CM101+(1-EXP(-LN(2)/2))/(LN(2)/2)*CG102*CJ102*VLOOKUP('Données projet'!$B$12,Paramètres!$A$1:$I$89,3,0)*0.475*44/12</f>
        <v>4.189328460656963</v>
      </c>
      <c r="CN102" s="22">
        <f t="shared" si="66"/>
        <v>149.12054591896504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266.99999999999983</v>
      </c>
      <c r="CU102" s="17">
        <f>CT102*VLOOKUP('Données projet'!$B$13,Paramètres!$A$1:$I$89,3,0)*VLOOKUP('Données projet'!$B$13,Paramètres!$A$1:$I$89,5,0)</f>
        <v>195.76439999999985</v>
      </c>
      <c r="CV102" s="13">
        <f t="shared" si="95"/>
        <v>48.812154563023455</v>
      </c>
      <c r="CW102" s="20">
        <f t="shared" si="67"/>
        <v>425.9708325305989</v>
      </c>
      <c r="CX102" s="59">
        <f t="shared" si="68"/>
        <v>719.30416586393221</v>
      </c>
      <c r="CY102" s="59">
        <f ca="1">AVERAGE(OFFSET($CX$3,0,0,'Données projet'!$E$13+1,1))-AVERAGE(OFFSET($H$3,0,0,'Données projet'!$E$13+1,1))</f>
        <v>198.78436129430389</v>
      </c>
      <c r="CZ102" s="59">
        <f t="shared" si="96"/>
        <v>198.28846462484438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14.776296344296863</v>
      </c>
      <c r="DG102" s="21">
        <f>EXP(-LN(2)/25)*DG101+(1-EXP(-LN(2)/25))/(LN(2)/25)*Calculateur!DB102*Calculateur!DD102*VLOOKUP('Données projet'!$B$13,Paramètres!$A$1:$I$89,3,0)*0.475*44/12</f>
        <v>3.6772755400344792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18.453571884331343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274.57619581652199</v>
      </c>
      <c r="T103" s="59">
        <f t="shared" si="88"/>
        <v>366.15117322598775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57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278.21846622758881</v>
      </c>
      <c r="AO103" s="59">
        <f t="shared" si="90"/>
        <v>245.37578316242906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4.4823076923076943</v>
      </c>
      <c r="BD103" s="12">
        <f>IF('Données projet'!$A$88&gt;35,BD102+BC103-BL102,IF(A103&lt;'Données projet'!$A$88,$BA$205^A103,IF(A103='Données projet'!$A$88,'Données projet'!$B$88,BD102+BC103-BL102)))</f>
        <v>191.41153846153816</v>
      </c>
      <c r="BE103" s="13">
        <f>BD103*VLOOKUP('Données projet'!$B$11,Paramètres!$A$1:$I$89,3,0)*VLOOKUP('Données projet'!$B$11,Paramètres!$A$1:$I$89,5,0)</f>
        <v>114.46409999999982</v>
      </c>
      <c r="BF103" s="13">
        <f t="shared" si="91"/>
        <v>30.380313875395188</v>
      </c>
      <c r="BG103" s="20">
        <f t="shared" si="61"/>
        <v>252.27068749964624</v>
      </c>
      <c r="BH103" s="59">
        <f t="shared" si="62"/>
        <v>545.60402083297959</v>
      </c>
      <c r="BI103" s="59">
        <f ca="1">AVERAGE(OFFSET($BH$3,0,0,'Données projet'!$E$11+1,1))-AVERAGE(OFFSET($H$3,0,0,'Données projet'!$E$11+1,1))</f>
        <v>187.18641061466138</v>
      </c>
      <c r="BJ103" s="59">
        <f t="shared" si="92"/>
        <v>143.07246221325369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56.03782718715258</v>
      </c>
      <c r="BQ103" s="21">
        <f>EXP(-LN(2)/25)*BQ102+(1-EXP(-LN(2)/25))/(LN(2)/25)*Calculateur!BL103*Calculateur!BN103*VLOOKUP('Données projet'!$B$11,Paramètres!$A$1:$I$89,3,0)*0.475*44/12</f>
        <v>29.169115659354127</v>
      </c>
      <c r="BR103" s="21">
        <f>EXP(-LN(2)/2)*BR102+(1-EXP(-LN(2)/2))/(LN(2)/2)*BL103*BO103*VLOOKUP('Données projet'!$B$11,Paramètres!$A$1:$I$89,3,0)*0.475*44/12</f>
        <v>2.2038223170353457</v>
      </c>
      <c r="BS103" s="22">
        <f t="shared" si="63"/>
        <v>87.410765163542052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7.5015384615384617</v>
      </c>
      <c r="BY103" s="12">
        <f>IF('Données projet'!$A$114&gt;35,BY102+BX103-CG102,IF(A103&lt;'Données projet'!$A$114,$BV$205^A103,IF(A103='Données projet'!$A$114,'Données projet'!$B$114,BY102+BX103-CG102)))</f>
        <v>272.20769230769258</v>
      </c>
      <c r="BZ103" s="13">
        <f>BY103*VLOOKUP('Données projet'!$B$12,Paramètres!$A$1:$I$89,3,0)*VLOOKUP('Données projet'!$B$12,Paramètres!$A$1:$I$89,5,0)</f>
        <v>127.39320000000012</v>
      </c>
      <c r="CA103" s="13">
        <f t="shared" si="93"/>
        <v>33.393296112922592</v>
      </c>
      <c r="CB103" s="20">
        <f t="shared" si="64"/>
        <v>280.03648073000704</v>
      </c>
      <c r="CC103" s="59">
        <f t="shared" si="65"/>
        <v>573.3698140633403</v>
      </c>
      <c r="CD103" s="59">
        <f ca="1">AVERAGE(OFFSET($CC$3,0,0,'Données projet'!$E$12+1,1))-AVERAGE(OFFSET($H$3,0,0,'Données projet'!$E$12+1,1))</f>
        <v>198.17898804494365</v>
      </c>
      <c r="CE103" s="59">
        <f t="shared" si="94"/>
        <v>186.24772922797723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111.7257580894434</v>
      </c>
      <c r="CL103" s="21">
        <f>EXP(-LN(2)/25)*CL102+(1-EXP(-LN(2)/25))/(LN(2)/25)*Calculateur!CG103*Calculateur!CI103*VLOOKUP('Données projet'!$B$12,Paramètres!$A$1:$I$89,3,0)*0.475*44/12</f>
        <v>30.12386721225651</v>
      </c>
      <c r="CM103" s="21">
        <f>EXP(-LN(2)/2)*CM102+(1-EXP(-LN(2)/2))/(LN(2)/2)*CG103*CJ103*VLOOKUP('Données projet'!$B$12,Paramètres!$A$1:$I$89,3,0)*0.475*44/12</f>
        <v>2.9623025631483393</v>
      </c>
      <c r="CN103" s="22">
        <f t="shared" si="66"/>
        <v>144.81192786484826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266.99999999999983</v>
      </c>
      <c r="CU103" s="17">
        <f>CT103*VLOOKUP('Données projet'!$B$13,Paramètres!$A$1:$I$89,3,0)*VLOOKUP('Données projet'!$B$13,Paramètres!$A$1:$I$89,5,0)</f>
        <v>195.76439999999985</v>
      </c>
      <c r="CV103" s="13">
        <f t="shared" si="95"/>
        <v>48.812154563023455</v>
      </c>
      <c r="CW103" s="20">
        <f t="shared" si="67"/>
        <v>425.9708325305989</v>
      </c>
      <c r="CX103" s="59">
        <f t="shared" si="68"/>
        <v>719.30416586393221</v>
      </c>
      <c r="CY103" s="59">
        <f ca="1">AVERAGE(OFFSET($CX$3,0,0,'Données projet'!$E$13+1,1))-AVERAGE(OFFSET($H$3,0,0,'Données projet'!$E$13+1,1))</f>
        <v>198.78436129430389</v>
      </c>
      <c r="CZ103" s="59">
        <f t="shared" si="96"/>
        <v>198.28846462484438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14.486542185636047</v>
      </c>
      <c r="DG103" s="21">
        <f>EXP(-LN(2)/25)*DG102+(1-EXP(-LN(2)/25))/(LN(2)/25)*Calculateur!DB103*Calculateur!DD103*VLOOKUP('Données projet'!$B$13,Paramètres!$A$1:$I$89,3,0)*0.475*44/12</f>
        <v>3.5767202470127204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18.063262432648767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274.57619581652199</v>
      </c>
      <c r="T104" s="59">
        <f t="shared" si="88"/>
        <v>366.15117322598775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57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278.21846622758881</v>
      </c>
      <c r="AO104" s="59">
        <f t="shared" si="90"/>
        <v>245.37578316242906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4.4823076923076943</v>
      </c>
      <c r="BD104" s="12">
        <f>IF('Données projet'!$A$88&gt;35,BD103+BC104-BL103,IF(A104&lt;'Données projet'!$A$88,$BA$205^A104,IF(A104='Données projet'!$A$88,'Données projet'!$B$88,BD103+BC104-BL103)))</f>
        <v>195.89384615384586</v>
      </c>
      <c r="BE104" s="13">
        <f>BD104*VLOOKUP('Données projet'!$B$11,Paramètres!$A$1:$I$89,3,0)*VLOOKUP('Données projet'!$B$11,Paramètres!$A$1:$I$89,5,0)</f>
        <v>117.14451999999983</v>
      </c>
      <c r="BF104" s="13">
        <f t="shared" si="91"/>
        <v>31.008074864544625</v>
      </c>
      <c r="BG104" s="20">
        <f t="shared" si="61"/>
        <v>258.03243605574824</v>
      </c>
      <c r="BH104" s="59">
        <f t="shared" si="62"/>
        <v>551.36576938908161</v>
      </c>
      <c r="BI104" s="59">
        <f ca="1">AVERAGE(OFFSET($BH$3,0,0,'Données projet'!$E$11+1,1))-AVERAGE(OFFSET($H$3,0,0,'Données projet'!$E$11+1,1))</f>
        <v>187.18641061466138</v>
      </c>
      <c r="BJ104" s="59">
        <f t="shared" si="92"/>
        <v>143.07246221325369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54.93895957571214</v>
      </c>
      <c r="BQ104" s="21">
        <f>EXP(-LN(2)/25)*BQ103+(1-EXP(-LN(2)/25))/(LN(2)/25)*Calculateur!BL104*Calculateur!BN104*VLOOKUP('Données projet'!$B$11,Paramètres!$A$1:$I$89,3,0)*0.475*44/12</f>
        <v>28.371484657711964</v>
      </c>
      <c r="BR104" s="21">
        <f>EXP(-LN(2)/2)*BR103+(1-EXP(-LN(2)/2))/(LN(2)/2)*BL104*BO104*VLOOKUP('Données projet'!$B$11,Paramètres!$A$1:$I$89,3,0)*0.475*44/12</f>
        <v>1.5583377049059424</v>
      </c>
      <c r="BS104" s="22">
        <f t="shared" si="63"/>
        <v>84.868781938330045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7.5015384615384617</v>
      </c>
      <c r="BY104" s="12">
        <f>IF('Données projet'!$A$114&gt;35,BY103+BX104-CG103,IF(A104&lt;'Données projet'!$A$114,$BV$205^A104,IF(A104='Données projet'!$A$114,'Données projet'!$B$114,BY103+BX104-CG103)))</f>
        <v>279.70923076923106</v>
      </c>
      <c r="BZ104" s="13">
        <f>BY104*VLOOKUP('Données projet'!$B$12,Paramètres!$A$1:$I$89,3,0)*VLOOKUP('Données projet'!$B$12,Paramètres!$A$1:$I$89,5,0)</f>
        <v>130.90392000000014</v>
      </c>
      <c r="CA104" s="13">
        <f t="shared" si="93"/>
        <v>34.205144397668505</v>
      </c>
      <c r="CB104" s="20">
        <f t="shared" si="64"/>
        <v>287.56495382593954</v>
      </c>
      <c r="CC104" s="59">
        <f t="shared" si="65"/>
        <v>580.89828715927285</v>
      </c>
      <c r="CD104" s="59">
        <f ca="1">AVERAGE(OFFSET($CC$3,0,0,'Données projet'!$E$12+1,1))-AVERAGE(OFFSET($H$3,0,0,'Données projet'!$E$12+1,1))</f>
        <v>198.17898804494365</v>
      </c>
      <c r="CE104" s="59">
        <f t="shared" si="94"/>
        <v>186.24772922797723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109.534884119293</v>
      </c>
      <c r="CL104" s="21">
        <f>EXP(-LN(2)/25)*CL103+(1-EXP(-LN(2)/25))/(LN(2)/25)*Calculateur!CG104*Calculateur!CI104*VLOOKUP('Données projet'!$B$12,Paramètres!$A$1:$I$89,3,0)*0.475*44/12</f>
        <v>29.300128479192029</v>
      </c>
      <c r="CM104" s="21">
        <f>EXP(-LN(2)/2)*CM103+(1-EXP(-LN(2)/2))/(LN(2)/2)*CG104*CJ104*VLOOKUP('Données projet'!$B$12,Paramètres!$A$1:$I$89,3,0)*0.475*44/12</f>
        <v>2.0946642303284819</v>
      </c>
      <c r="CN104" s="22">
        <f t="shared" si="66"/>
        <v>140.92967682881351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266.99999999999983</v>
      </c>
      <c r="CU104" s="17">
        <f>CT104*VLOOKUP('Données projet'!$B$13,Paramètres!$A$1:$I$89,3,0)*VLOOKUP('Données projet'!$B$13,Paramètres!$A$1:$I$89,5,0)</f>
        <v>195.76439999999985</v>
      </c>
      <c r="CV104" s="13">
        <f t="shared" si="95"/>
        <v>48.812154563023455</v>
      </c>
      <c r="CW104" s="20">
        <f t="shared" si="67"/>
        <v>425.9708325305989</v>
      </c>
      <c r="CX104" s="59">
        <f t="shared" si="68"/>
        <v>719.30416586393221</v>
      </c>
      <c r="CY104" s="59">
        <f ca="1">AVERAGE(OFFSET($CX$3,0,0,'Données projet'!$E$13+1,1))-AVERAGE(OFFSET($H$3,0,0,'Données projet'!$E$13+1,1))</f>
        <v>198.78436129430389</v>
      </c>
      <c r="CZ104" s="59">
        <f t="shared" si="96"/>
        <v>198.28846462484438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14.202469929293983</v>
      </c>
      <c r="DG104" s="21">
        <f>EXP(-LN(2)/25)*DG103+(1-EXP(-LN(2)/25))/(LN(2)/25)*Calculateur!DB104*Calculateur!DD104*VLOOKUP('Données projet'!$B$13,Paramètres!$A$1:$I$89,3,0)*0.475*44/12</f>
        <v>3.4789146437666143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17.681384573060598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274.57619581652199</v>
      </c>
      <c r="T105" s="59">
        <f t="shared" si="88"/>
        <v>366.15117322598775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57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278.21846622758881</v>
      </c>
      <c r="AO105" s="59">
        <f t="shared" si="90"/>
        <v>245.37578316242906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4.4823076923076943</v>
      </c>
      <c r="BD105" s="12">
        <f>IF('Données projet'!$A$88&gt;35,BD104+BC105-BL104,IF(A105&lt;'Données projet'!$A$88,$BA$205^A105,IF(A105='Données projet'!$A$88,'Données projet'!$B$88,BD104+BC105-BL104)))</f>
        <v>200.37615384615356</v>
      </c>
      <c r="BE105" s="13">
        <f>BD105*VLOOKUP('Données projet'!$B$11,Paramètres!$A$1:$I$89,3,0)*VLOOKUP('Données projet'!$B$11,Paramètres!$A$1:$I$89,5,0)</f>
        <v>119.82493999999983</v>
      </c>
      <c r="BF105" s="13">
        <f t="shared" si="91"/>
        <v>31.634165955427772</v>
      </c>
      <c r="BG105" s="20">
        <f t="shared" si="61"/>
        <v>263.79127620570301</v>
      </c>
      <c r="BH105" s="59">
        <f t="shared" si="62"/>
        <v>557.12460953903633</v>
      </c>
      <c r="BI105" s="59">
        <f ca="1">AVERAGE(OFFSET($BH$3,0,0,'Données projet'!$E$11+1,1))-AVERAGE(OFFSET($H$3,0,0,'Données projet'!$E$11+1,1))</f>
        <v>187.18641061466138</v>
      </c>
      <c r="BJ105" s="59">
        <f t="shared" si="92"/>
        <v>143.07246221325369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53.861640087888979</v>
      </c>
      <c r="BQ105" s="21">
        <f>EXP(-LN(2)/25)*BQ104+(1-EXP(-LN(2)/25))/(LN(2)/25)*Calculateur!BL105*Calculateur!BN105*VLOOKUP('Données projet'!$B$11,Paramètres!$A$1:$I$89,3,0)*0.475*44/12</f>
        <v>27.595664917755297</v>
      </c>
      <c r="BR105" s="21">
        <f>EXP(-LN(2)/2)*BR104+(1-EXP(-LN(2)/2))/(LN(2)/2)*BL105*BO105*VLOOKUP('Données projet'!$B$11,Paramètres!$A$1:$I$89,3,0)*0.475*44/12</f>
        <v>1.1019111585176729</v>
      </c>
      <c r="BS105" s="22">
        <f t="shared" si="63"/>
        <v>82.559216164161938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7.5015384615384617</v>
      </c>
      <c r="BY105" s="12">
        <f>IF('Données projet'!$A$114&gt;35,BY104+BX105-CG104,IF(A105&lt;'Données projet'!$A$114,$BV$205^A105,IF(A105='Données projet'!$A$114,'Données projet'!$B$114,BY104+BX105-CG104)))</f>
        <v>287.21076923076953</v>
      </c>
      <c r="BZ105" s="13">
        <f>BY105*VLOOKUP('Données projet'!$B$12,Paramètres!$A$1:$I$89,3,0)*VLOOKUP('Données projet'!$B$12,Paramètres!$A$1:$I$89,5,0)</f>
        <v>134.41464000000013</v>
      </c>
      <c r="CA105" s="13">
        <f t="shared" si="93"/>
        <v>35.014461935490388</v>
      </c>
      <c r="CB105" s="20">
        <f t="shared" si="64"/>
        <v>295.08901920431265</v>
      </c>
      <c r="CC105" s="59">
        <f t="shared" si="65"/>
        <v>588.42235253764602</v>
      </c>
      <c r="CD105" s="59">
        <f ca="1">AVERAGE(OFFSET($CC$3,0,0,'Données projet'!$E$12+1,1))-AVERAGE(OFFSET($H$3,0,0,'Données projet'!$E$12+1,1))</f>
        <v>198.17898804494365</v>
      </c>
      <c r="CE105" s="59">
        <f t="shared" si="94"/>
        <v>186.24772922797723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107.38697185139607</v>
      </c>
      <c r="CL105" s="21">
        <f>EXP(-LN(2)/25)*CL104+(1-EXP(-LN(2)/25))/(LN(2)/25)*Calculateur!CG105*Calculateur!CI105*VLOOKUP('Données projet'!$B$12,Paramètres!$A$1:$I$89,3,0)*0.475*44/12</f>
        <v>28.498914925101733</v>
      </c>
      <c r="CM105" s="21">
        <f>EXP(-LN(2)/2)*CM104+(1-EXP(-LN(2)/2))/(LN(2)/2)*CG105*CJ105*VLOOKUP('Données projet'!$B$12,Paramètres!$A$1:$I$89,3,0)*0.475*44/12</f>
        <v>1.4811512815741699</v>
      </c>
      <c r="CN105" s="22">
        <f t="shared" si="66"/>
        <v>137.36703805807198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266.99999999999983</v>
      </c>
      <c r="CU105" s="17">
        <f>CT105*VLOOKUP('Données projet'!$B$13,Paramètres!$A$1:$I$89,3,0)*VLOOKUP('Données projet'!$B$13,Paramètres!$A$1:$I$89,5,0)</f>
        <v>195.76439999999985</v>
      </c>
      <c r="CV105" s="13">
        <f t="shared" si="95"/>
        <v>48.812154563023455</v>
      </c>
      <c r="CW105" s="20">
        <f t="shared" si="67"/>
        <v>425.9708325305989</v>
      </c>
      <c r="CX105" s="59">
        <f t="shared" si="68"/>
        <v>719.30416586393221</v>
      </c>
      <c r="CY105" s="59">
        <f ca="1">AVERAGE(OFFSET($CX$3,0,0,'Données projet'!$E$13+1,1))-AVERAGE(OFFSET($H$3,0,0,'Données projet'!$E$13+1,1))</f>
        <v>198.78436129430389</v>
      </c>
      <c r="CZ105" s="59">
        <f t="shared" si="96"/>
        <v>198.28846462484438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13.923968156631819</v>
      </c>
      <c r="DG105" s="21">
        <f>EXP(-LN(2)/25)*DG104+(1-EXP(-LN(2)/25))/(LN(2)/25)*Calculateur!DB105*Calculateur!DD105*VLOOKUP('Données projet'!$B$13,Paramètres!$A$1:$I$89,3,0)*0.475*44/12</f>
        <v>3.3837835398846461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17.307751696516466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274.57619581652199</v>
      </c>
      <c r="T106" s="59">
        <f t="shared" si="88"/>
        <v>366.15117322598775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57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278.21846622758881</v>
      </c>
      <c r="AO106" s="59">
        <f t="shared" si="90"/>
        <v>245.37578316242906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4.4823076923076943</v>
      </c>
      <c r="BD106" s="12">
        <f>IF('Données projet'!$A$88&gt;35,BD105+BC106-BL105,IF(A106&lt;'Données projet'!$A$88,$BA$205^A106,IF(A106='Données projet'!$A$88,'Données projet'!$B$88,BD105+BC106-BL105)))</f>
        <v>204.85846153846126</v>
      </c>
      <c r="BE106" s="13">
        <f>BD106*VLOOKUP('Données projet'!$B$11,Paramètres!$A$1:$I$89,3,0)*VLOOKUP('Données projet'!$B$11,Paramètres!$A$1:$I$89,5,0)</f>
        <v>122.50535999999984</v>
      </c>
      <c r="BF106" s="13">
        <f t="shared" si="91"/>
        <v>32.258628803642537</v>
      </c>
      <c r="BG106" s="20">
        <f t="shared" si="61"/>
        <v>269.54728049967713</v>
      </c>
      <c r="BH106" s="59">
        <f t="shared" si="62"/>
        <v>562.88061383301044</v>
      </c>
      <c r="BI106" s="59">
        <f ca="1">AVERAGE(OFFSET($BH$3,0,0,'Données projet'!$E$11+1,1))-AVERAGE(OFFSET($H$3,0,0,'Données projet'!$E$11+1,1))</f>
        <v>187.18641061466138</v>
      </c>
      <c r="BJ106" s="59">
        <f t="shared" si="92"/>
        <v>143.07246221325369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52.805446178122033</v>
      </c>
      <c r="BQ106" s="21">
        <f>EXP(-LN(2)/25)*BQ105+(1-EXP(-LN(2)/25))/(LN(2)/25)*Calculateur!BL106*Calculateur!BN106*VLOOKUP('Données projet'!$B$11,Paramètres!$A$1:$I$89,3,0)*0.475*44/12</f>
        <v>26.841060009386332</v>
      </c>
      <c r="BR106" s="21">
        <f>EXP(-LN(2)/2)*BR105+(1-EXP(-LN(2)/2))/(LN(2)/2)*BL106*BO106*VLOOKUP('Données projet'!$B$11,Paramètres!$A$1:$I$89,3,0)*0.475*44/12</f>
        <v>0.77916885245297118</v>
      </c>
      <c r="BS106" s="22">
        <f t="shared" si="63"/>
        <v>80.425675039961334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7.5015384615384617</v>
      </c>
      <c r="BY106" s="12">
        <f>IF('Données projet'!$A$114&gt;35,BY105+BX106-CG105,IF(A106&lt;'Données projet'!$A$114,$BV$205^A106,IF(A106='Données projet'!$A$114,'Données projet'!$B$114,BY105+BX106-CG105)))</f>
        <v>294.712307692308</v>
      </c>
      <c r="BZ106" s="13">
        <f>BY106*VLOOKUP('Données projet'!$B$12,Paramètres!$A$1:$I$89,3,0)*VLOOKUP('Données projet'!$B$12,Paramètres!$A$1:$I$89,5,0)</f>
        <v>137.92536000000015</v>
      </c>
      <c r="CA106" s="13">
        <f t="shared" si="93"/>
        <v>35.82132242479814</v>
      </c>
      <c r="CB106" s="20">
        <f t="shared" si="64"/>
        <v>302.6088052231903</v>
      </c>
      <c r="CC106" s="59">
        <f t="shared" si="65"/>
        <v>595.94213855652356</v>
      </c>
      <c r="CD106" s="59">
        <f ca="1">AVERAGE(OFFSET($CC$3,0,0,'Données projet'!$E$12+1,1))-AVERAGE(OFFSET($H$3,0,0,'Données projet'!$E$12+1,1))</f>
        <v>198.17898804494365</v>
      </c>
      <c r="CE106" s="59">
        <f t="shared" si="94"/>
        <v>186.24772922797723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105.28117883297547</v>
      </c>
      <c r="CL106" s="21">
        <f>EXP(-LN(2)/25)*CL105+(1-EXP(-LN(2)/25))/(LN(2)/25)*Calculateur!CG106*Calculateur!CI106*VLOOKUP('Données projet'!$B$12,Paramètres!$A$1:$I$89,3,0)*0.475*44/12</f>
        <v>27.719610597782026</v>
      </c>
      <c r="CM106" s="21">
        <f>EXP(-LN(2)/2)*CM105+(1-EXP(-LN(2)/2))/(LN(2)/2)*CG106*CJ106*VLOOKUP('Données projet'!$B$12,Paramètres!$A$1:$I$89,3,0)*0.475*44/12</f>
        <v>1.047332115164241</v>
      </c>
      <c r="CN106" s="22">
        <f t="shared" si="66"/>
        <v>134.04812154592173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266.99999999999983</v>
      </c>
      <c r="CU106" s="17">
        <f>CT106*VLOOKUP('Données projet'!$B$13,Paramètres!$A$1:$I$89,3,0)*VLOOKUP('Données projet'!$B$13,Paramètres!$A$1:$I$89,5,0)</f>
        <v>195.76439999999985</v>
      </c>
      <c r="CV106" s="13">
        <f t="shared" si="95"/>
        <v>48.812154563023455</v>
      </c>
      <c r="CW106" s="20">
        <f t="shared" si="67"/>
        <v>425.9708325305989</v>
      </c>
      <c r="CX106" s="59">
        <f t="shared" si="68"/>
        <v>719.30416586393221</v>
      </c>
      <c r="CY106" s="59">
        <f ca="1">AVERAGE(OFFSET($CX$3,0,0,'Données projet'!$E$13+1,1))-AVERAGE(OFFSET($H$3,0,0,'Données projet'!$E$13+1,1))</f>
        <v>198.78436129430389</v>
      </c>
      <c r="CZ106" s="59">
        <f t="shared" si="96"/>
        <v>198.28846462484438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13.650927633862253</v>
      </c>
      <c r="DG106" s="21">
        <f>EXP(-LN(2)/25)*DG105+(1-EXP(-LN(2)/25))/(LN(2)/25)*Calculateur!DB106*Calculateur!DD106*VLOOKUP('Données projet'!$B$13,Paramètres!$A$1:$I$89,3,0)*0.475*44/12</f>
        <v>3.2912538010410577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16.942181434903311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274.57619581652199</v>
      </c>
      <c r="T107" s="59">
        <f t="shared" si="88"/>
        <v>366.15117322598775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57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278.21846622758881</v>
      </c>
      <c r="AO107" s="59">
        <f t="shared" si="90"/>
        <v>245.37578316242906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4.4823076923076943</v>
      </c>
      <c r="BD107" s="12">
        <f>IF('Données projet'!$A$88&gt;35,BD106+BC107-BL106,IF(A107&lt;'Données projet'!$A$88,$BA$205^A107,IF(A107='Données projet'!$A$88,'Données projet'!$B$88,BD106+BC107-BL106)))</f>
        <v>209.34076923076896</v>
      </c>
      <c r="BE107" s="13">
        <f>BD107*VLOOKUP('Données projet'!$B$11,Paramètres!$A$1:$I$89,3,0)*VLOOKUP('Données projet'!$B$11,Paramètres!$A$1:$I$89,5,0)</f>
        <v>125.18577999999984</v>
      </c>
      <c r="BF107" s="13">
        <f t="shared" si="91"/>
        <v>32.881503137838287</v>
      </c>
      <c r="BG107" s="20">
        <f t="shared" si="61"/>
        <v>275.30051813173475</v>
      </c>
      <c r="BH107" s="59">
        <f t="shared" si="62"/>
        <v>568.63385146506812</v>
      </c>
      <c r="BI107" s="59">
        <f ca="1">AVERAGE(OFFSET($BH$3,0,0,'Données projet'!$E$11+1,1))-AVERAGE(OFFSET($H$3,0,0,'Données projet'!$E$11+1,1))</f>
        <v>187.18641061466138</v>
      </c>
      <c r="BJ107" s="59">
        <f t="shared" si="92"/>
        <v>143.07246221325369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51.769963586710936</v>
      </c>
      <c r="BQ107" s="21">
        <f>EXP(-LN(2)/25)*BQ106+(1-EXP(-LN(2)/25))/(LN(2)/25)*Calculateur!BL107*Calculateur!BN107*VLOOKUP('Données projet'!$B$11,Paramètres!$A$1:$I$89,3,0)*0.475*44/12</f>
        <v>26.107089811919664</v>
      </c>
      <c r="BR107" s="21">
        <f>EXP(-LN(2)/2)*BR106+(1-EXP(-LN(2)/2))/(LN(2)/2)*BL107*BO107*VLOOKUP('Données projet'!$B$11,Paramètres!$A$1:$I$89,3,0)*0.475*44/12</f>
        <v>0.55095557925883643</v>
      </c>
      <c r="BS107" s="22">
        <f t="shared" si="63"/>
        <v>78.428008977889448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7.5015384615384617</v>
      </c>
      <c r="BY107" s="12">
        <f>IF('Données projet'!$A$114&gt;35,BY106+BX107-CG106,IF(A107&lt;'Données projet'!$A$114,$BV$205^A107,IF(A107='Données projet'!$A$114,'Données projet'!$B$114,BY106+BX107-CG106)))</f>
        <v>302.21384615384648</v>
      </c>
      <c r="BZ107" s="13">
        <f>BY107*VLOOKUP('Données projet'!$B$12,Paramètres!$A$1:$I$89,3,0)*VLOOKUP('Données projet'!$B$12,Paramètres!$A$1:$I$89,5,0)</f>
        <v>141.43608000000015</v>
      </c>
      <c r="CA107" s="13">
        <f t="shared" si="93"/>
        <v>36.625795598426585</v>
      </c>
      <c r="CB107" s="20">
        <f t="shared" si="64"/>
        <v>310.12443333392656</v>
      </c>
      <c r="CC107" s="59">
        <f t="shared" si="65"/>
        <v>603.45776666725988</v>
      </c>
      <c r="CD107" s="59">
        <f ca="1">AVERAGE(OFFSET($CC$3,0,0,'Données projet'!$E$12+1,1))-AVERAGE(OFFSET($H$3,0,0,'Données projet'!$E$12+1,1))</f>
        <v>198.17898804494365</v>
      </c>
      <c r="CE107" s="59">
        <f t="shared" si="94"/>
        <v>186.24772922797723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103.21667913123919</v>
      </c>
      <c r="CL107" s="21">
        <f>EXP(-LN(2)/25)*CL106+(1-EXP(-LN(2)/25))/(LN(2)/25)*Calculateur!CG107*Calculateur!CI107*VLOOKUP('Données projet'!$B$12,Paramètres!$A$1:$I$89,3,0)*0.475*44/12</f>
        <v>26.96161638827471</v>
      </c>
      <c r="CM107" s="21">
        <f>EXP(-LN(2)/2)*CM106+(1-EXP(-LN(2)/2))/(LN(2)/2)*CG107*CJ107*VLOOKUP('Données projet'!$B$12,Paramètres!$A$1:$I$89,3,0)*0.475*44/12</f>
        <v>0.74057564078708493</v>
      </c>
      <c r="CN107" s="22">
        <f t="shared" si="66"/>
        <v>130.91887116030099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266.99999999999983</v>
      </c>
      <c r="CU107" s="17">
        <f>CT107*VLOOKUP('Données projet'!$B$13,Paramètres!$A$1:$I$89,3,0)*VLOOKUP('Données projet'!$B$13,Paramètres!$A$1:$I$89,5,0)</f>
        <v>195.76439999999985</v>
      </c>
      <c r="CV107" s="13">
        <f t="shared" si="95"/>
        <v>48.812154563023455</v>
      </c>
      <c r="CW107" s="20">
        <f t="shared" si="67"/>
        <v>425.9708325305989</v>
      </c>
      <c r="CX107" s="59">
        <f t="shared" si="68"/>
        <v>719.30416586393221</v>
      </c>
      <c r="CY107" s="59">
        <f ca="1">AVERAGE(OFFSET($CX$3,0,0,'Données projet'!$E$13+1,1))-AVERAGE(OFFSET($H$3,0,0,'Données projet'!$E$13+1,1))</f>
        <v>198.78436129430389</v>
      </c>
      <c r="CZ107" s="59">
        <f t="shared" si="96"/>
        <v>198.28846462484438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13.383241269205921</v>
      </c>
      <c r="DG107" s="21">
        <f>EXP(-LN(2)/25)*DG106+(1-EXP(-LN(2)/25))/(LN(2)/25)*Calculateur!DB107*Calculateur!DD107*VLOOKUP('Données projet'!$B$13,Paramètres!$A$1:$I$89,3,0)*0.475*44/12</f>
        <v>3.2012542927720746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16.584495561977995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274.57619581652199</v>
      </c>
      <c r="T108" s="59">
        <f t="shared" si="88"/>
        <v>366.15117322598775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57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278.21846622758881</v>
      </c>
      <c r="AO108" s="59">
        <f t="shared" si="90"/>
        <v>245.37578316242906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213.82307692307694</v>
      </c>
      <c r="BB108" s="12">
        <f>VLOOKUP(A108,'Données projet'!$A$87:$I$107,9,0)</f>
        <v>4.4823076923076943</v>
      </c>
      <c r="BC108" s="12">
        <f t="array" ref="BC108">INDEX(BB:BB,MIN(IF(ISNUMBER(BB108:BB304),ROW(BB108:BB304),"")))</f>
        <v>4.4823076923076943</v>
      </c>
      <c r="BD108" s="12">
        <f>IF('Données projet'!$A$88&gt;35,BD107+BC108-BL107,IF(A108&lt;'Données projet'!$A$88,$BA$205^A108,IF(A108='Données projet'!$A$88,'Données projet'!$B$88,BD107+BC108-BL107)))</f>
        <v>213.82307692307666</v>
      </c>
      <c r="BE108" s="13">
        <f>BD108*VLOOKUP('Données projet'!$B$11,Paramètres!$A$1:$I$89,3,0)*VLOOKUP('Données projet'!$B$11,Paramètres!$A$1:$I$89,5,0)</f>
        <v>127.86619999999985</v>
      </c>
      <c r="BF108" s="13">
        <f t="shared" si="91"/>
        <v>33.502826888174496</v>
      </c>
      <c r="BG108" s="20">
        <f t="shared" si="61"/>
        <v>281.05105516357031</v>
      </c>
      <c r="BH108" s="59">
        <f t="shared" si="62"/>
        <v>574.38438849690363</v>
      </c>
      <c r="BI108" s="59">
        <f ca="1">AVERAGE(OFFSET($BH$3,0,0,'Données projet'!$E$11+1,1))-AVERAGE(OFFSET($H$3,0,0,'Données projet'!$E$11+1,1))</f>
        <v>187.18641061466138</v>
      </c>
      <c r="BJ108" s="59">
        <f t="shared" si="92"/>
        <v>143.07246221325369</v>
      </c>
      <c r="BK108" s="15">
        <f>IF(ISNA(VLOOKUP(A108,'Données projet'!$A$87:$I$107,3,0)),0,VLOOKUP(A108,'Données projet'!$A$87:$I$107,3,0))</f>
        <v>6</v>
      </c>
      <c r="BL108" s="15">
        <f>IF(ISNA(VLOOKUP(A108,'Données projet'!$A$87:$I$107,4,0)),0,VLOOKUP(A108,'Données projet'!$A$87:$I$107,4,0))</f>
        <v>213.82307692307694</v>
      </c>
      <c r="BM108" s="16">
        <f>IF(ISNA(VLOOKUP(A108,'Données projet'!$A$87:$I$107,5,0)),0%,VLOOKUP(A108,'Données projet'!$A$87:$I$107,5,0)*VLOOKUP('Données projet'!$B$11,Paramètres!$A$1:$I$89,7,0))</f>
        <v>0.3735</v>
      </c>
      <c r="BN108" s="16">
        <f>IF(ISNA(VLOOKUP(A108,'Données projet'!$A$87:$I$107,6,0)),0%,VLOOKUP(A108,'Données projet'!$A$87:$I$107,6,0)*VLOOKUP('Données projet'!$B$11,Paramètres!$A$1:$I$89,7,0))</f>
        <v>4.9500000000000002E-2</v>
      </c>
      <c r="BO108" s="16">
        <f>IF(ISNA(VLOOKUP(A108,'Données projet'!$A$87:$I$107,7,0)),0%,VLOOKUP(A108,'Données projet'!$A$87:$I$107,7,0))</f>
        <v>0.06</v>
      </c>
      <c r="BP108" s="21">
        <f>EXP(-LN(2)/35)*BP107+(1-EXP(-LN(2)/35))/(LN(2)/35)*BL108*BM108*VLOOKUP('Données projet'!$B$11,Paramètres!$A$1:$I$89,3,0)*0.475*44/12</f>
        <v>114.10888553292348</v>
      </c>
      <c r="BQ108" s="21">
        <f>EXP(-LN(2)/25)*BQ107+(1-EXP(-LN(2)/25))/(LN(2)/25)*Calculateur!BL108*Calculateur!BN108*VLOOKUP('Données projet'!$B$11,Paramètres!$A$1:$I$89,3,0)*0.475*44/12</f>
        <v>33.756456952351478</v>
      </c>
      <c r="BR108" s="21">
        <f>EXP(-LN(2)/2)*BR107+(1-EXP(-LN(2)/2))/(LN(2)/2)*BL108*BO108*VLOOKUP('Données projet'!$B$11,Paramètres!$A$1:$I$89,3,0)*0.475*44/12</f>
        <v>9.0760389103452006</v>
      </c>
      <c r="BS108" s="22">
        <f t="shared" si="63"/>
        <v>156.94138139562017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309.71538461538461</v>
      </c>
      <c r="BW108" s="12">
        <f>VLOOKUP(A108,'Données projet'!$A$113:$I$133,9,0)</f>
        <v>7.5015384615384617</v>
      </c>
      <c r="BX108" s="12">
        <f t="array" ref="BX108">INDEX(BW:BW,MIN(IF(ISNUMBER(BW108:BW304),ROW(BW108:BW304),"")))</f>
        <v>7.5015384615384617</v>
      </c>
      <c r="BY108" s="12">
        <f>IF('Données projet'!$A$114&gt;35,BY107+BX108-CG107,IF(A108&lt;'Données projet'!$A$114,$BV$205^A108,IF(A108='Données projet'!$A$114,'Données projet'!$B$114,BY107+BX108-CG107)))</f>
        <v>309.71538461538495</v>
      </c>
      <c r="BZ108" s="13">
        <f>BY108*VLOOKUP('Données projet'!$B$12,Paramètres!$A$1:$I$89,3,0)*VLOOKUP('Données projet'!$B$12,Paramètres!$A$1:$I$89,5,0)</f>
        <v>144.94680000000017</v>
      </c>
      <c r="CA108" s="13">
        <f t="shared" si="93"/>
        <v>37.427947530076956</v>
      </c>
      <c r="CB108" s="20">
        <f t="shared" si="64"/>
        <v>317.63601861488428</v>
      </c>
      <c r="CC108" s="59">
        <f t="shared" si="65"/>
        <v>610.96935194821754</v>
      </c>
      <c r="CD108" s="59">
        <f ca="1">AVERAGE(OFFSET($CC$3,0,0,'Données projet'!$E$12+1,1))-AVERAGE(OFFSET($H$3,0,0,'Données projet'!$E$12+1,1))</f>
        <v>198.17898804494365</v>
      </c>
      <c r="CE108" s="59">
        <f t="shared" si="94"/>
        <v>186.24772922797723</v>
      </c>
      <c r="CF108" s="15">
        <f>IF(ISNA(VLOOKUP(A108,'Données projet'!$A$113:$I$133,3,0)),0,VLOOKUP(A108,'Données projet'!$A$113:$I$133,3,0))</f>
        <v>9</v>
      </c>
      <c r="CG108" s="15">
        <f>IF(ISNA(VLOOKUP(A108,'Données projet'!$A$113:$I$133,4,0)),0,VLOOKUP(A108,'Données projet'!$A$113:$I$133,4,0))</f>
        <v>309.71538461538461</v>
      </c>
      <c r="CH108" s="16">
        <f>IF(ISNA(VLOOKUP(A108,'Données projet'!$A$113:$I$133,5,0)),0%,VLOOKUP(A108,'Données projet'!$A$113:$I$133,5,0)*VLOOKUP('Données projet'!$B$12,Paramètres!$A$1:$I$89,7,0))</f>
        <v>0.38500000000000001</v>
      </c>
      <c r="CI108" s="16">
        <f>IF(ISNA(VLOOKUP(A108,'Données projet'!$A$113:$I$133,6,0)),0%,VLOOKUP(A108,'Données projet'!$A$113:$I$133,6,0)*VLOOKUP('Données projet'!$B$12,Paramètres!$A$1:$I$89,7,0))</f>
        <v>9.240000000000001E-2</v>
      </c>
      <c r="CJ108" s="16">
        <f>IF(ISNA(VLOOKUP(A108,'Données projet'!$A$113:$I$133,7,0)),0%,VLOOKUP(A108,'Données projet'!$A$113:$I$133,7,0))</f>
        <v>0.13200000000000001</v>
      </c>
      <c r="CK108" s="21">
        <f>EXP(-LN(2)/35)*CK107+(1-EXP(-LN(2)/35))/(LN(2)/35)*CG108*CH108*VLOOKUP('Données projet'!$B$12,Paramètres!$A$1:$I$89,3,0)*0.475*44/12</f>
        <v>175.22095304116948</v>
      </c>
      <c r="CL108" s="21">
        <f>EXP(-LN(2)/25)*CL107+(1-EXP(-LN(2)/25))/(LN(2)/25)*Calculateur!CG108*Calculateur!CI108*VLOOKUP('Données projet'!$B$12,Paramètres!$A$1:$I$89,3,0)*0.475*44/12</f>
        <v>43.921184557541437</v>
      </c>
      <c r="CM108" s="21">
        <f>EXP(-LN(2)/2)*CM107+(1-EXP(-LN(2)/2))/(LN(2)/2)*CG108*CJ108*VLOOKUP('Données projet'!$B$12,Paramètres!$A$1:$I$89,3,0)*0.475*44/12</f>
        <v>22.186641244152522</v>
      </c>
      <c r="CN108" s="22">
        <f t="shared" si="66"/>
        <v>241.32877884286344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266.99999999999983</v>
      </c>
      <c r="CU108" s="17">
        <f>CT108*VLOOKUP('Données projet'!$B$13,Paramètres!$A$1:$I$89,3,0)*VLOOKUP('Données projet'!$B$13,Paramètres!$A$1:$I$89,5,0)</f>
        <v>195.76439999999985</v>
      </c>
      <c r="CV108" s="13">
        <f t="shared" si="95"/>
        <v>48.812154563023455</v>
      </c>
      <c r="CW108" s="20">
        <f t="shared" si="67"/>
        <v>425.9708325305989</v>
      </c>
      <c r="CX108" s="59">
        <f t="shared" si="68"/>
        <v>719.30416586393221</v>
      </c>
      <c r="CY108" s="59">
        <f ca="1">AVERAGE(OFFSET($CX$3,0,0,'Données projet'!$E$13+1,1))-AVERAGE(OFFSET($H$3,0,0,'Données projet'!$E$13+1,1))</f>
        <v>198.78436129430389</v>
      </c>
      <c r="CZ108" s="59">
        <f t="shared" si="96"/>
        <v>198.28846462484438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13.120804070887941</v>
      </c>
      <c r="DG108" s="21">
        <f>EXP(-LN(2)/25)*DG107+(1-EXP(-LN(2)/25))/(LN(2)/25)*Calculateur!DB108*Calculateur!DD108*VLOOKUP('Données projet'!$B$13,Paramètres!$A$1:$I$89,3,0)*0.475*44/12</f>
        <v>3.1137158257895754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16.234519896677515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274.57619581652199</v>
      </c>
      <c r="T109" s="59">
        <f t="shared" si="88"/>
        <v>366.15117322598775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57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278.21846622758881</v>
      </c>
      <c r="AO109" s="59">
        <f t="shared" si="90"/>
        <v>245.37578316242906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-2.8421709430404007E-13</v>
      </c>
      <c r="BE109" s="13">
        <f>BD109*VLOOKUP('Données projet'!$B$11,Paramètres!$A$1:$I$89,3,0)*VLOOKUP('Données projet'!$B$11,Paramètres!$A$1:$I$89,5,0)</f>
        <v>-1.69961822393816E-13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187.18641061466138</v>
      </c>
      <c r="BJ109" s="59">
        <f t="shared" si="92"/>
        <v>143.07246221325369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111.87127988717064</v>
      </c>
      <c r="BQ109" s="21">
        <f>EXP(-LN(2)/25)*BQ108+(1-EXP(-LN(2)/25))/(LN(2)/25)*Calculateur!BL109*Calculateur!BN109*VLOOKUP('Données projet'!$B$11,Paramètres!$A$1:$I$89,3,0)*0.475*44/12</f>
        <v>32.833384861814508</v>
      </c>
      <c r="BR109" s="21">
        <f>EXP(-LN(2)/2)*BR108+(1-EXP(-LN(2)/2))/(LN(2)/2)*BL109*BO109*VLOOKUP('Données projet'!$B$11,Paramètres!$A$1:$I$89,3,0)*0.475*44/12</f>
        <v>6.4177286598180556</v>
      </c>
      <c r="BS109" s="22">
        <f t="shared" si="63"/>
        <v>151.12239340880322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3.4106051316484809E-13</v>
      </c>
      <c r="BZ109" s="13">
        <f>BY109*VLOOKUP('Données projet'!$B$12,Paramètres!$A$1:$I$89,3,0)*VLOOKUP('Données projet'!$B$12,Paramètres!$A$1:$I$89,5,0)</f>
        <v>1.5961632016114892E-13</v>
      </c>
      <c r="CA109" s="13">
        <f t="shared" si="93"/>
        <v>2.2708641912150958E-12</v>
      </c>
      <c r="CB109" s="20">
        <f t="shared" si="64"/>
        <v>4.2330868906469593E-12</v>
      </c>
      <c r="CC109" s="59">
        <f t="shared" si="65"/>
        <v>293.33333333333752</v>
      </c>
      <c r="CD109" s="59">
        <f ca="1">AVERAGE(OFFSET($CC$3,0,0,'Données projet'!$E$12+1,1))-AVERAGE(OFFSET($H$3,0,0,'Données projet'!$E$12+1,1))</f>
        <v>198.17898804494365</v>
      </c>
      <c r="CE109" s="59">
        <f t="shared" si="94"/>
        <v>186.24772922797723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171.78497702626055</v>
      </c>
      <c r="CL109" s="21">
        <f>EXP(-LN(2)/25)*CL108+(1-EXP(-LN(2)/25))/(LN(2)/25)*Calculateur!CG109*Calculateur!CI109*VLOOKUP('Données projet'!$B$12,Paramètres!$A$1:$I$89,3,0)*0.475*44/12</f>
        <v>42.72015745610075</v>
      </c>
      <c r="CM109" s="21">
        <f>EXP(-LN(2)/2)*CM108+(1-EXP(-LN(2)/2))/(LN(2)/2)*CG109*CJ109*VLOOKUP('Données projet'!$B$12,Paramètres!$A$1:$I$89,3,0)*0.475*44/12</f>
        <v>15.688324475493388</v>
      </c>
      <c r="CN109" s="22">
        <f t="shared" si="66"/>
        <v>230.19345895785472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266.99999999999983</v>
      </c>
      <c r="CU109" s="17">
        <f>CT109*VLOOKUP('Données projet'!$B$13,Paramètres!$A$1:$I$89,3,0)*VLOOKUP('Données projet'!$B$13,Paramètres!$A$1:$I$89,5,0)</f>
        <v>195.76439999999985</v>
      </c>
      <c r="CV109" s="13">
        <f t="shared" si="95"/>
        <v>48.812154563023455</v>
      </c>
      <c r="CW109" s="20">
        <f t="shared" si="67"/>
        <v>425.9708325305989</v>
      </c>
      <c r="CX109" s="59">
        <f t="shared" si="68"/>
        <v>719.30416586393221</v>
      </c>
      <c r="CY109" s="59">
        <f ca="1">AVERAGE(OFFSET($CX$3,0,0,'Données projet'!$E$13+1,1))-AVERAGE(OFFSET($H$3,0,0,'Données projet'!$E$13+1,1))</f>
        <v>198.78436129430389</v>
      </c>
      <c r="CZ109" s="59">
        <f t="shared" si="96"/>
        <v>198.28846462484438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12.863513105958091</v>
      </c>
      <c r="DG109" s="21">
        <f>EXP(-LN(2)/25)*DG108+(1-EXP(-LN(2)/25))/(LN(2)/25)*Calculateur!DB109*Calculateur!DD109*VLOOKUP('Données projet'!$B$13,Paramètres!$A$1:$I$89,3,0)*0.475*44/12</f>
        <v>3.0285711027901607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15.892084208748251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274.57619581652199</v>
      </c>
      <c r="T110" s="59">
        <f t="shared" si="88"/>
        <v>366.15117322598775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57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278.21846622758881</v>
      </c>
      <c r="AO110" s="59">
        <f t="shared" si="90"/>
        <v>245.37578316242906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-2.8421709430404007E-13</v>
      </c>
      <c r="BE110" s="13">
        <f>BD110*VLOOKUP('Données projet'!$B$11,Paramètres!$A$1:$I$89,3,0)*VLOOKUP('Données projet'!$B$11,Paramètres!$A$1:$I$89,5,0)</f>
        <v>-1.69961822393816E-13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187.18641061466138</v>
      </c>
      <c r="BJ110" s="59">
        <f t="shared" si="92"/>
        <v>143.07246221325369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109.67755232332634</v>
      </c>
      <c r="BQ110" s="21">
        <f>EXP(-LN(2)/25)*BQ109+(1-EXP(-LN(2)/25))/(LN(2)/25)*Calculateur!BL110*Calculateur!BN110*VLOOKUP('Données projet'!$B$11,Paramètres!$A$1:$I$89,3,0)*0.475*44/12</f>
        <v>31.935554226135523</v>
      </c>
      <c r="BR110" s="21">
        <f>EXP(-LN(2)/2)*BR109+(1-EXP(-LN(2)/2))/(LN(2)/2)*BL110*BO110*VLOOKUP('Données projet'!$B$11,Paramètres!$A$1:$I$89,3,0)*0.475*44/12</f>
        <v>4.5380194551726012</v>
      </c>
      <c r="BS110" s="22">
        <f t="shared" si="63"/>
        <v>146.15112600463445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3.4106051316484809E-13</v>
      </c>
      <c r="BZ110" s="13">
        <f>BY110*VLOOKUP('Données projet'!$B$12,Paramètres!$A$1:$I$89,3,0)*VLOOKUP('Données projet'!$B$12,Paramètres!$A$1:$I$89,5,0)</f>
        <v>1.5961632016114892E-13</v>
      </c>
      <c r="CA110" s="13">
        <f t="shared" si="93"/>
        <v>2.2708641912150958E-12</v>
      </c>
      <c r="CB110" s="20">
        <f t="shared" si="64"/>
        <v>4.2330868906469593E-12</v>
      </c>
      <c r="CC110" s="59">
        <f t="shared" si="65"/>
        <v>293.33333333333752</v>
      </c>
      <c r="CD110" s="59">
        <f ca="1">AVERAGE(OFFSET($CC$3,0,0,'Données projet'!$E$12+1,1))-AVERAGE(OFFSET($H$3,0,0,'Données projet'!$E$12+1,1))</f>
        <v>198.17898804494365</v>
      </c>
      <c r="CE110" s="59">
        <f t="shared" si="94"/>
        <v>186.24772922797723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168.41637840526556</v>
      </c>
      <c r="CL110" s="21">
        <f>EXP(-LN(2)/25)*CL109+(1-EXP(-LN(2)/25))/(LN(2)/25)*Calculateur!CG110*Calculateur!CI110*VLOOKUP('Données projet'!$B$12,Paramètres!$A$1:$I$89,3,0)*0.475*44/12</f>
        <v>41.551972503908232</v>
      </c>
      <c r="CM110" s="21">
        <f>EXP(-LN(2)/2)*CM109+(1-EXP(-LN(2)/2))/(LN(2)/2)*CG110*CJ110*VLOOKUP('Données projet'!$B$12,Paramètres!$A$1:$I$89,3,0)*0.475*44/12</f>
        <v>11.093320622076263</v>
      </c>
      <c r="CN110" s="22">
        <f t="shared" si="66"/>
        <v>221.06167153125006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266.99999999999983</v>
      </c>
      <c r="CU110" s="17">
        <f>CT110*VLOOKUP('Données projet'!$B$13,Paramètres!$A$1:$I$89,3,0)*VLOOKUP('Données projet'!$B$13,Paramètres!$A$1:$I$89,5,0)</f>
        <v>195.76439999999985</v>
      </c>
      <c r="CV110" s="13">
        <f t="shared" si="95"/>
        <v>48.812154563023455</v>
      </c>
      <c r="CW110" s="20">
        <f t="shared" si="67"/>
        <v>425.9708325305989</v>
      </c>
      <c r="CX110" s="59">
        <f t="shared" si="68"/>
        <v>719.30416586393221</v>
      </c>
      <c r="CY110" s="59">
        <f ca="1">AVERAGE(OFFSET($CX$3,0,0,'Données projet'!$E$13+1,1))-AVERAGE(OFFSET($H$3,0,0,'Données projet'!$E$13+1,1))</f>
        <v>198.78436129430389</v>
      </c>
      <c r="CZ110" s="59">
        <f t="shared" si="96"/>
        <v>198.28846462484438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12.611267459918523</v>
      </c>
      <c r="DG110" s="21">
        <f>EXP(-LN(2)/25)*DG109+(1-EXP(-LN(2)/25))/(LN(2)/25)*Calculateur!DB110*Calculateur!DD110*VLOOKUP('Données projet'!$B$13,Paramètres!$A$1:$I$89,3,0)*0.475*44/12</f>
        <v>2.9457546667187313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15.557022126637253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274.57619581652199</v>
      </c>
      <c r="T111" s="59">
        <f t="shared" si="88"/>
        <v>366.15117322598775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57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278.21846622758881</v>
      </c>
      <c r="AO111" s="59">
        <f t="shared" si="90"/>
        <v>245.37578316242906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-2.8421709430404007E-13</v>
      </c>
      <c r="BE111" s="13">
        <f>BD111*VLOOKUP('Données projet'!$B$11,Paramètres!$A$1:$I$89,3,0)*VLOOKUP('Données projet'!$B$11,Paramètres!$A$1:$I$89,5,0)</f>
        <v>-1.69961822393816E-13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187.18641061466138</v>
      </c>
      <c r="BJ111" s="59">
        <f t="shared" si="92"/>
        <v>143.07246221325369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107.52684241896732</v>
      </c>
      <c r="BQ111" s="21">
        <f>EXP(-LN(2)/25)*BQ110+(1-EXP(-LN(2)/25))/(LN(2)/25)*Calculateur!BL111*Calculateur!BN111*VLOOKUP('Données projet'!$B$11,Paramètres!$A$1:$I$89,3,0)*0.475*44/12</f>
        <v>31.062274816404038</v>
      </c>
      <c r="BR111" s="21">
        <f>EXP(-LN(2)/2)*BR110+(1-EXP(-LN(2)/2))/(LN(2)/2)*BL111*BO111*VLOOKUP('Données projet'!$B$11,Paramètres!$A$1:$I$89,3,0)*0.475*44/12</f>
        <v>3.2088643299090283</v>
      </c>
      <c r="BS111" s="22">
        <f t="shared" si="63"/>
        <v>141.79798156528039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3.4106051316484809E-13</v>
      </c>
      <c r="BZ111" s="13">
        <f>BY111*VLOOKUP('Données projet'!$B$12,Paramètres!$A$1:$I$89,3,0)*VLOOKUP('Données projet'!$B$12,Paramètres!$A$1:$I$89,5,0)</f>
        <v>1.5961632016114892E-13</v>
      </c>
      <c r="CA111" s="13">
        <f t="shared" si="93"/>
        <v>2.2708641912150958E-12</v>
      </c>
      <c r="CB111" s="20">
        <f t="shared" si="64"/>
        <v>4.2330868906469593E-12</v>
      </c>
      <c r="CC111" s="59">
        <f t="shared" si="65"/>
        <v>293.33333333333752</v>
      </c>
      <c r="CD111" s="59">
        <f ca="1">AVERAGE(OFFSET($CC$3,0,0,'Données projet'!$E$12+1,1))-AVERAGE(OFFSET($H$3,0,0,'Données projet'!$E$12+1,1))</f>
        <v>198.17898804494365</v>
      </c>
      <c r="CE111" s="59">
        <f t="shared" si="94"/>
        <v>186.24772922797723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165.113835948586</v>
      </c>
      <c r="CL111" s="21">
        <f>EXP(-LN(2)/25)*CL110+(1-EXP(-LN(2)/25))/(LN(2)/25)*Calculateur!CG111*Calculateur!CI111*VLOOKUP('Données projet'!$B$12,Paramètres!$A$1:$I$89,3,0)*0.475*44/12</f>
        <v>40.415731630665597</v>
      </c>
      <c r="CM111" s="21">
        <f>EXP(-LN(2)/2)*CM110+(1-EXP(-LN(2)/2))/(LN(2)/2)*CG111*CJ111*VLOOKUP('Données projet'!$B$12,Paramètres!$A$1:$I$89,3,0)*0.475*44/12</f>
        <v>7.844162237746696</v>
      </c>
      <c r="CN111" s="22">
        <f t="shared" si="66"/>
        <v>213.37372981699829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266.99999999999983</v>
      </c>
      <c r="CU111" s="17">
        <f>CT111*VLOOKUP('Données projet'!$B$13,Paramètres!$A$1:$I$89,3,0)*VLOOKUP('Données projet'!$B$13,Paramètres!$A$1:$I$89,5,0)</f>
        <v>195.76439999999985</v>
      </c>
      <c r="CV111" s="13">
        <f t="shared" si="95"/>
        <v>48.812154563023455</v>
      </c>
      <c r="CW111" s="20">
        <f t="shared" si="67"/>
        <v>425.9708325305989</v>
      </c>
      <c r="CX111" s="59">
        <f t="shared" si="68"/>
        <v>719.30416586393221</v>
      </c>
      <c r="CY111" s="59">
        <f ca="1">AVERAGE(OFFSET($CX$3,0,0,'Données projet'!$E$13+1,1))-AVERAGE(OFFSET($H$3,0,0,'Données projet'!$E$13+1,1))</f>
        <v>198.78436129430389</v>
      </c>
      <c r="CZ111" s="59">
        <f t="shared" si="96"/>
        <v>198.28846462484438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12.363968197143137</v>
      </c>
      <c r="DG111" s="21">
        <f>EXP(-LN(2)/25)*DG110+(1-EXP(-LN(2)/25))/(LN(2)/25)*Calculateur!DB111*Calculateur!DD111*VLOOKUP('Données projet'!$B$13,Paramètres!$A$1:$I$89,3,0)*0.475*44/12</f>
        <v>2.8652028504468023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15.22917104758994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274.57619581652199</v>
      </c>
      <c r="T112" s="59">
        <f t="shared" si="88"/>
        <v>366.15117322598775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57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278.21846622758881</v>
      </c>
      <c r="AO112" s="59">
        <f t="shared" si="90"/>
        <v>245.37578316242906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-2.8421709430404007E-13</v>
      </c>
      <c r="BE112" s="13">
        <f>BD112*VLOOKUP('Données projet'!$B$11,Paramètres!$A$1:$I$89,3,0)*VLOOKUP('Données projet'!$B$11,Paramètres!$A$1:$I$89,5,0)</f>
        <v>-1.69961822393816E-13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187.18641061466138</v>
      </c>
      <c r="BJ112" s="59">
        <f t="shared" si="92"/>
        <v>143.07246221325369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105.41830662402927</v>
      </c>
      <c r="BQ112" s="21">
        <f>EXP(-LN(2)/25)*BQ111+(1-EXP(-LN(2)/25))/(LN(2)/25)*Calculateur!BL112*Calculateur!BN112*VLOOKUP('Données projet'!$B$11,Paramètres!$A$1:$I$89,3,0)*0.475*44/12</f>
        <v>30.212875278055431</v>
      </c>
      <c r="BR112" s="21">
        <f>EXP(-LN(2)/2)*BR111+(1-EXP(-LN(2)/2))/(LN(2)/2)*BL112*BO112*VLOOKUP('Données projet'!$B$11,Paramètres!$A$1:$I$89,3,0)*0.475*44/12</f>
        <v>2.269009727586301</v>
      </c>
      <c r="BS112" s="22">
        <f t="shared" si="63"/>
        <v>137.90019162967101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3.4106051316484809E-13</v>
      </c>
      <c r="BZ112" s="13">
        <f>BY112*VLOOKUP('Données projet'!$B$12,Paramètres!$A$1:$I$89,3,0)*VLOOKUP('Données projet'!$B$12,Paramètres!$A$1:$I$89,5,0)</f>
        <v>1.5961632016114892E-13</v>
      </c>
      <c r="CA112" s="13">
        <f t="shared" si="93"/>
        <v>2.2708641912150958E-12</v>
      </c>
      <c r="CB112" s="20">
        <f t="shared" si="64"/>
        <v>4.2330868906469593E-12</v>
      </c>
      <c r="CC112" s="59">
        <f t="shared" si="65"/>
        <v>293.33333333333752</v>
      </c>
      <c r="CD112" s="59">
        <f ca="1">AVERAGE(OFFSET($CC$3,0,0,'Données projet'!$E$12+1,1))-AVERAGE(OFFSET($H$3,0,0,'Données projet'!$E$12+1,1))</f>
        <v>198.17898804494365</v>
      </c>
      <c r="CE112" s="59">
        <f t="shared" si="94"/>
        <v>186.24772922797723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161.87605433512991</v>
      </c>
      <c r="CL112" s="21">
        <f>EXP(-LN(2)/25)*CL111+(1-EXP(-LN(2)/25))/(LN(2)/25)*Calculateur!CG112*Calculateur!CI112*VLOOKUP('Données projet'!$B$12,Paramètres!$A$1:$I$89,3,0)*0.475*44/12</f>
        <v>39.310561323854088</v>
      </c>
      <c r="CM112" s="21">
        <f>EXP(-LN(2)/2)*CM111+(1-EXP(-LN(2)/2))/(LN(2)/2)*CG112*CJ112*VLOOKUP('Données projet'!$B$12,Paramètres!$A$1:$I$89,3,0)*0.475*44/12</f>
        <v>5.5466603110381323</v>
      </c>
      <c r="CN112" s="22">
        <f t="shared" si="66"/>
        <v>206.73327597002213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266.99999999999983</v>
      </c>
      <c r="CU112" s="17">
        <f>CT112*VLOOKUP('Données projet'!$B$13,Paramètres!$A$1:$I$89,3,0)*VLOOKUP('Données projet'!$B$13,Paramètres!$A$1:$I$89,5,0)</f>
        <v>195.76439999999985</v>
      </c>
      <c r="CV112" s="13">
        <f t="shared" si="95"/>
        <v>48.812154563023455</v>
      </c>
      <c r="CW112" s="20">
        <f t="shared" si="67"/>
        <v>425.9708325305989</v>
      </c>
      <c r="CX112" s="59">
        <f t="shared" si="68"/>
        <v>719.30416586393221</v>
      </c>
      <c r="CY112" s="59">
        <f ca="1">AVERAGE(OFFSET($CX$3,0,0,'Données projet'!$E$13+1,1))-AVERAGE(OFFSET($H$3,0,0,'Données projet'!$E$13+1,1))</f>
        <v>198.78436129430389</v>
      </c>
      <c r="CZ112" s="59">
        <f t="shared" si="96"/>
        <v>198.28846462484438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12.121518322073122</v>
      </c>
      <c r="DG112" s="21">
        <f>EXP(-LN(2)/25)*DG111+(1-EXP(-LN(2)/25))/(LN(2)/25)*Calculateur!DB112*Calculateur!DD112*VLOOKUP('Données projet'!$B$13,Paramètres!$A$1:$I$89,3,0)*0.475*44/12</f>
        <v>2.7868537278268652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14.908372049899988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274.57619581652199</v>
      </c>
      <c r="T113" s="59">
        <f t="shared" si="88"/>
        <v>366.15117322598775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57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278.21846622758881</v>
      </c>
      <c r="AO113" s="59">
        <f t="shared" si="90"/>
        <v>245.37578316242906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-2.8421709430404007E-13</v>
      </c>
      <c r="BE113" s="13">
        <f>BD113*VLOOKUP('Données projet'!$B$11,Paramètres!$A$1:$I$89,3,0)*VLOOKUP('Données projet'!$B$11,Paramètres!$A$1:$I$89,5,0)</f>
        <v>-1.69961822393816E-13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187.18641061466138</v>
      </c>
      <c r="BJ113" s="59">
        <f t="shared" si="92"/>
        <v>143.07246221325369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103.35111792995012</v>
      </c>
      <c r="BQ113" s="21">
        <f>EXP(-LN(2)/25)*BQ112+(1-EXP(-LN(2)/25))/(LN(2)/25)*Calculateur!BL113*Calculateur!BN113*VLOOKUP('Données projet'!$B$11,Paramètres!$A$1:$I$89,3,0)*0.475*44/12</f>
        <v>29.386702614750948</v>
      </c>
      <c r="BR113" s="21">
        <f>EXP(-LN(2)/2)*BR112+(1-EXP(-LN(2)/2))/(LN(2)/2)*BL113*BO113*VLOOKUP('Données projet'!$B$11,Paramètres!$A$1:$I$89,3,0)*0.475*44/12</f>
        <v>1.6044321649545146</v>
      </c>
      <c r="BS113" s="22">
        <f t="shared" si="63"/>
        <v>134.34225270965558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3.4106051316484809E-13</v>
      </c>
      <c r="BZ113" s="13">
        <f>BY113*VLOOKUP('Données projet'!$B$12,Paramètres!$A$1:$I$89,3,0)*VLOOKUP('Données projet'!$B$12,Paramètres!$A$1:$I$89,5,0)</f>
        <v>1.5961632016114892E-13</v>
      </c>
      <c r="CA113" s="13">
        <f t="shared" si="93"/>
        <v>2.2708641912150958E-12</v>
      </c>
      <c r="CB113" s="20">
        <f t="shared" si="64"/>
        <v>4.2330868906469593E-12</v>
      </c>
      <c r="CC113" s="59">
        <f t="shared" si="65"/>
        <v>293.33333333333752</v>
      </c>
      <c r="CD113" s="59">
        <f ca="1">AVERAGE(OFFSET($CC$3,0,0,'Données projet'!$E$12+1,1))-AVERAGE(OFFSET($H$3,0,0,'Données projet'!$E$12+1,1))</f>
        <v>198.17898804494365</v>
      </c>
      <c r="CE113" s="59">
        <f t="shared" si="94"/>
        <v>186.24772922797723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158.70176364426192</v>
      </c>
      <c r="CL113" s="21">
        <f>EXP(-LN(2)/25)*CL112+(1-EXP(-LN(2)/25))/(LN(2)/25)*Calculateur!CG113*Calculateur!CI113*VLOOKUP('Données projet'!$B$12,Paramètres!$A$1:$I$89,3,0)*0.475*44/12</f>
        <v>38.235611957200724</v>
      </c>
      <c r="CM113" s="21">
        <f>EXP(-LN(2)/2)*CM112+(1-EXP(-LN(2)/2))/(LN(2)/2)*CG113*CJ113*VLOOKUP('Données projet'!$B$12,Paramètres!$A$1:$I$89,3,0)*0.475*44/12</f>
        <v>3.9220811188733484</v>
      </c>
      <c r="CN113" s="22">
        <f t="shared" si="66"/>
        <v>200.85945672033597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266.99999999999983</v>
      </c>
      <c r="CU113" s="17">
        <f>CT113*VLOOKUP('Données projet'!$B$13,Paramètres!$A$1:$I$89,3,0)*VLOOKUP('Données projet'!$B$13,Paramètres!$A$1:$I$89,5,0)</f>
        <v>195.76439999999985</v>
      </c>
      <c r="CV113" s="13">
        <f t="shared" si="95"/>
        <v>48.812154563023455</v>
      </c>
      <c r="CW113" s="20">
        <f t="shared" si="67"/>
        <v>425.9708325305989</v>
      </c>
      <c r="CX113" s="59">
        <f t="shared" si="68"/>
        <v>719.30416586393221</v>
      </c>
      <c r="CY113" s="59">
        <f ca="1">AVERAGE(OFFSET($CX$3,0,0,'Données projet'!$E$13+1,1))-AVERAGE(OFFSET($H$3,0,0,'Données projet'!$E$13+1,1))</f>
        <v>198.78436129430389</v>
      </c>
      <c r="CZ113" s="59">
        <f t="shared" si="96"/>
        <v>198.28846462484438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11.883822741173407</v>
      </c>
      <c r="DG113" s="21">
        <f>EXP(-LN(2)/25)*DG112+(1-EXP(-LN(2)/25))/(LN(2)/25)*Calculateur!DB113*Calculateur!DD113*VLOOKUP('Données projet'!$B$13,Paramètres!$A$1:$I$89,3,0)*0.475*44/12</f>
        <v>2.7106470660851714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14.594469807258578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274.57619581652199</v>
      </c>
      <c r="T114" s="59">
        <f t="shared" si="88"/>
        <v>366.15117322598775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57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278.21846622758881</v>
      </c>
      <c r="AO114" s="59">
        <f t="shared" si="90"/>
        <v>245.37578316242906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-2.8421709430404007E-13</v>
      </c>
      <c r="BE114" s="13">
        <f>BD114*VLOOKUP('Données projet'!$B$11,Paramètres!$A$1:$I$89,3,0)*VLOOKUP('Données projet'!$B$11,Paramètres!$A$1:$I$89,5,0)</f>
        <v>-1.69961822393816E-13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187.18641061466138</v>
      </c>
      <c r="BJ114" s="59">
        <f t="shared" si="92"/>
        <v>143.07246221325369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101.32446554530125</v>
      </c>
      <c r="BQ114" s="21">
        <f>EXP(-LN(2)/25)*BQ113+(1-EXP(-LN(2)/25))/(LN(2)/25)*Calculateur!BL114*Calculateur!BN114*VLOOKUP('Données projet'!$B$11,Paramètres!$A$1:$I$89,3,0)*0.475*44/12</f>
        <v>28.583121686371058</v>
      </c>
      <c r="BR114" s="21">
        <f>EXP(-LN(2)/2)*BR113+(1-EXP(-LN(2)/2))/(LN(2)/2)*BL114*BO114*VLOOKUP('Données projet'!$B$11,Paramètres!$A$1:$I$89,3,0)*0.475*44/12</f>
        <v>1.1345048637931507</v>
      </c>
      <c r="BS114" s="22">
        <f t="shared" si="63"/>
        <v>131.04209209546548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3.4106051316484809E-13</v>
      </c>
      <c r="BZ114" s="13">
        <f>BY114*VLOOKUP('Données projet'!$B$12,Paramètres!$A$1:$I$89,3,0)*VLOOKUP('Données projet'!$B$12,Paramètres!$A$1:$I$89,5,0)</f>
        <v>1.5961632016114892E-13</v>
      </c>
      <c r="CA114" s="13">
        <f t="shared" si="93"/>
        <v>2.2708641912150958E-12</v>
      </c>
      <c r="CB114" s="20">
        <f t="shared" si="64"/>
        <v>4.2330868906469593E-12</v>
      </c>
      <c r="CC114" s="59">
        <f t="shared" si="65"/>
        <v>293.33333333333752</v>
      </c>
      <c r="CD114" s="59">
        <f ca="1">AVERAGE(OFFSET($CC$3,0,0,'Données projet'!$E$12+1,1))-AVERAGE(OFFSET($H$3,0,0,'Données projet'!$E$12+1,1))</f>
        <v>198.17898804494365</v>
      </c>
      <c r="CE114" s="59">
        <f t="shared" si="94"/>
        <v>186.24772922797723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155.5897188577157</v>
      </c>
      <c r="CL114" s="21">
        <f>EXP(-LN(2)/25)*CL113+(1-EXP(-LN(2)/25))/(LN(2)/25)*Calculateur!CG114*Calculateur!CI114*VLOOKUP('Données projet'!$B$12,Paramètres!$A$1:$I$89,3,0)*0.475*44/12</f>
        <v>37.19005713750763</v>
      </c>
      <c r="CM114" s="21">
        <f>EXP(-LN(2)/2)*CM113+(1-EXP(-LN(2)/2))/(LN(2)/2)*CG114*CJ114*VLOOKUP('Données projet'!$B$12,Paramètres!$A$1:$I$89,3,0)*0.475*44/12</f>
        <v>2.7733301555190666</v>
      </c>
      <c r="CN114" s="22">
        <f t="shared" si="66"/>
        <v>195.55310615074239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266.99999999999983</v>
      </c>
      <c r="CU114" s="17">
        <f>CT114*VLOOKUP('Données projet'!$B$13,Paramètres!$A$1:$I$89,3,0)*VLOOKUP('Données projet'!$B$13,Paramètres!$A$1:$I$89,5,0)</f>
        <v>195.76439999999985</v>
      </c>
      <c r="CV114" s="13">
        <f t="shared" si="95"/>
        <v>48.812154563023455</v>
      </c>
      <c r="CW114" s="20">
        <f t="shared" si="67"/>
        <v>425.9708325305989</v>
      </c>
      <c r="CX114" s="59">
        <f t="shared" si="68"/>
        <v>719.30416586393221</v>
      </c>
      <c r="CY114" s="59">
        <f ca="1">AVERAGE(OFFSET($CX$3,0,0,'Données projet'!$E$13+1,1))-AVERAGE(OFFSET($H$3,0,0,'Données projet'!$E$13+1,1))</f>
        <v>198.78436129430389</v>
      </c>
      <c r="CZ114" s="59">
        <f t="shared" si="96"/>
        <v>198.28846462484438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11.650788225635146</v>
      </c>
      <c r="DG114" s="21">
        <f>EXP(-LN(2)/25)*DG113+(1-EXP(-LN(2)/25))/(LN(2)/25)*Calculateur!DB114*Calculateur!DD114*VLOOKUP('Données projet'!$B$13,Paramètres!$A$1:$I$89,3,0)*0.475*44/12</f>
        <v>2.6365242795163386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14.287312505151485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274.57619581652199</v>
      </c>
      <c r="T115" s="59">
        <f t="shared" si="88"/>
        <v>366.15117322598775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57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278.21846622758881</v>
      </c>
      <c r="AO115" s="59">
        <f t="shared" si="90"/>
        <v>245.37578316242906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-2.8421709430404007E-13</v>
      </c>
      <c r="BE115" s="13">
        <f>BD115*VLOOKUP('Données projet'!$B$11,Paramètres!$A$1:$I$89,3,0)*VLOOKUP('Données projet'!$B$11,Paramètres!$A$1:$I$89,5,0)</f>
        <v>-1.69961822393816E-13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187.18641061466138</v>
      </c>
      <c r="BJ115" s="59">
        <f t="shared" si="92"/>
        <v>143.07246221325369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99.337554577779457</v>
      </c>
      <c r="BQ115" s="21">
        <f>EXP(-LN(2)/25)*BQ114+(1-EXP(-LN(2)/25))/(LN(2)/25)*Calculateur!BL115*Calculateur!BN115*VLOOKUP('Données projet'!$B$11,Paramètres!$A$1:$I$89,3,0)*0.475*44/12</f>
        <v>27.801514720736201</v>
      </c>
      <c r="BR115" s="21">
        <f>EXP(-LN(2)/2)*BR114+(1-EXP(-LN(2)/2))/(LN(2)/2)*BL115*BO115*VLOOKUP('Données projet'!$B$11,Paramètres!$A$1:$I$89,3,0)*0.475*44/12</f>
        <v>0.8022160824772574</v>
      </c>
      <c r="BS115" s="22">
        <f t="shared" si="63"/>
        <v>127.94128538099292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3.4106051316484809E-13</v>
      </c>
      <c r="BZ115" s="13">
        <f>BY115*VLOOKUP('Données projet'!$B$12,Paramètres!$A$1:$I$89,3,0)*VLOOKUP('Données projet'!$B$12,Paramètres!$A$1:$I$89,5,0)</f>
        <v>1.5961632016114892E-13</v>
      </c>
      <c r="CA115" s="13">
        <f t="shared" si="93"/>
        <v>2.2708641912150958E-12</v>
      </c>
      <c r="CB115" s="20">
        <f t="shared" si="64"/>
        <v>4.2330868906469593E-12</v>
      </c>
      <c r="CC115" s="59">
        <f t="shared" si="65"/>
        <v>293.33333333333752</v>
      </c>
      <c r="CD115" s="59">
        <f ca="1">AVERAGE(OFFSET($CC$3,0,0,'Données projet'!$E$12+1,1))-AVERAGE(OFFSET($H$3,0,0,'Données projet'!$E$12+1,1))</f>
        <v>198.17898804494365</v>
      </c>
      <c r="CE115" s="59">
        <f t="shared" si="94"/>
        <v>186.24772922797723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152.53869937127376</v>
      </c>
      <c r="CL115" s="21">
        <f>EXP(-LN(2)/25)*CL114+(1-EXP(-LN(2)/25))/(LN(2)/25)*Calculateur!CG115*Calculateur!CI115*VLOOKUP('Données projet'!$B$12,Paramètres!$A$1:$I$89,3,0)*0.475*44/12</f>
        <v>36.173093069342379</v>
      </c>
      <c r="CM115" s="21">
        <f>EXP(-LN(2)/2)*CM114+(1-EXP(-LN(2)/2))/(LN(2)/2)*CG115*CJ115*VLOOKUP('Données projet'!$B$12,Paramètres!$A$1:$I$89,3,0)*0.475*44/12</f>
        <v>1.9610405594366747</v>
      </c>
      <c r="CN115" s="22">
        <f t="shared" si="66"/>
        <v>190.6728330000528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266.99999999999983</v>
      </c>
      <c r="CU115" s="17">
        <f>CT115*VLOOKUP('Données projet'!$B$13,Paramètres!$A$1:$I$89,3,0)*VLOOKUP('Données projet'!$B$13,Paramètres!$A$1:$I$89,5,0)</f>
        <v>195.76439999999985</v>
      </c>
      <c r="CV115" s="13">
        <f t="shared" si="95"/>
        <v>48.812154563023455</v>
      </c>
      <c r="CW115" s="20">
        <f t="shared" si="67"/>
        <v>425.9708325305989</v>
      </c>
      <c r="CX115" s="59">
        <f t="shared" si="68"/>
        <v>719.30416586393221</v>
      </c>
      <c r="CY115" s="59">
        <f ca="1">AVERAGE(OFFSET($CX$3,0,0,'Données projet'!$E$13+1,1))-AVERAGE(OFFSET($H$3,0,0,'Données projet'!$E$13+1,1))</f>
        <v>198.78436129430389</v>
      </c>
      <c r="CZ115" s="59">
        <f t="shared" si="96"/>
        <v>198.28846462484438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11.422323374809572</v>
      </c>
      <c r="DG115" s="21">
        <f>EXP(-LN(2)/25)*DG114+(1-EXP(-LN(2)/25))/(LN(2)/25)*Calculateur!DB115*Calculateur!DD115*VLOOKUP('Données projet'!$B$13,Paramètres!$A$1:$I$89,3,0)*0.475*44/12</f>
        <v>2.5644283844441782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13.98675175925375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274.57619581652199</v>
      </c>
      <c r="T116" s="59">
        <f t="shared" si="88"/>
        <v>366.15117322598775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57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278.21846622758881</v>
      </c>
      <c r="AO116" s="59">
        <f t="shared" si="90"/>
        <v>245.37578316242906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-2.8421709430404007E-13</v>
      </c>
      <c r="BE116" s="13">
        <f>BD116*VLOOKUP('Données projet'!$B$11,Paramètres!$A$1:$I$89,3,0)*VLOOKUP('Données projet'!$B$11,Paramètres!$A$1:$I$89,5,0)</f>
        <v>-1.69961822393816E-13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187.18641061466138</v>
      </c>
      <c r="BJ116" s="59">
        <f t="shared" si="92"/>
        <v>143.07246221325369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97.389605722434737</v>
      </c>
      <c r="BQ116" s="21">
        <f>EXP(-LN(2)/25)*BQ115+(1-EXP(-LN(2)/25))/(LN(2)/25)*Calculateur!BL116*Calculateur!BN116*VLOOKUP('Données projet'!$B$11,Paramètres!$A$1:$I$89,3,0)*0.475*44/12</f>
        <v>27.041280838679551</v>
      </c>
      <c r="BR116" s="21">
        <f>EXP(-LN(2)/2)*BR115+(1-EXP(-LN(2)/2))/(LN(2)/2)*BL116*BO116*VLOOKUP('Données projet'!$B$11,Paramètres!$A$1:$I$89,3,0)*0.475*44/12</f>
        <v>0.56725243189657548</v>
      </c>
      <c r="BS116" s="22">
        <f t="shared" si="63"/>
        <v>124.99813899301087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3.4106051316484809E-13</v>
      </c>
      <c r="BZ116" s="13">
        <f>BY116*VLOOKUP('Données projet'!$B$12,Paramètres!$A$1:$I$89,3,0)*VLOOKUP('Données projet'!$B$12,Paramètres!$A$1:$I$89,5,0)</f>
        <v>1.5961632016114892E-13</v>
      </c>
      <c r="CA116" s="13">
        <f t="shared" si="93"/>
        <v>2.2708641912150958E-12</v>
      </c>
      <c r="CB116" s="20">
        <f t="shared" si="64"/>
        <v>4.2330868906469593E-12</v>
      </c>
      <c r="CC116" s="59">
        <f t="shared" si="65"/>
        <v>293.33333333333752</v>
      </c>
      <c r="CD116" s="59">
        <f ca="1">AVERAGE(OFFSET($CC$3,0,0,'Données projet'!$E$12+1,1))-AVERAGE(OFFSET($H$3,0,0,'Données projet'!$E$12+1,1))</f>
        <v>198.17898804494365</v>
      </c>
      <c r="CE116" s="59">
        <f t="shared" si="94"/>
        <v>186.24772922797723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149.54750851602282</v>
      </c>
      <c r="CL116" s="21">
        <f>EXP(-LN(2)/25)*CL115+(1-EXP(-LN(2)/25))/(LN(2)/25)*Calculateur!CG116*Calculateur!CI116*VLOOKUP('Données projet'!$B$12,Paramètres!$A$1:$I$89,3,0)*0.475*44/12</f>
        <v>35.183937937100922</v>
      </c>
      <c r="CM116" s="21">
        <f>EXP(-LN(2)/2)*CM115+(1-EXP(-LN(2)/2))/(LN(2)/2)*CG116*CJ116*VLOOKUP('Données projet'!$B$12,Paramètres!$A$1:$I$89,3,0)*0.475*44/12</f>
        <v>1.3866650777595335</v>
      </c>
      <c r="CN116" s="22">
        <f t="shared" si="66"/>
        <v>186.11811153088328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266.99999999999983</v>
      </c>
      <c r="CU116" s="17">
        <f>CT116*VLOOKUP('Données projet'!$B$13,Paramètres!$A$1:$I$89,3,0)*VLOOKUP('Données projet'!$B$13,Paramètres!$A$1:$I$89,5,0)</f>
        <v>195.76439999999985</v>
      </c>
      <c r="CV116" s="13">
        <f t="shared" si="95"/>
        <v>48.812154563023455</v>
      </c>
      <c r="CW116" s="20">
        <f t="shared" si="67"/>
        <v>425.9708325305989</v>
      </c>
      <c r="CX116" s="59">
        <f t="shared" si="68"/>
        <v>719.30416586393221</v>
      </c>
      <c r="CY116" s="59">
        <f ca="1">AVERAGE(OFFSET($CX$3,0,0,'Données projet'!$E$13+1,1))-AVERAGE(OFFSET($H$3,0,0,'Données projet'!$E$13+1,1))</f>
        <v>198.78436129430389</v>
      </c>
      <c r="CZ116" s="59">
        <f t="shared" si="96"/>
        <v>198.28846462484438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11.198338580358888</v>
      </c>
      <c r="DG116" s="21">
        <f>EXP(-LN(2)/25)*DG115+(1-EXP(-LN(2)/25))/(LN(2)/25)*Calculateur!DB116*Calculateur!DD116*VLOOKUP('Données projet'!$B$13,Paramètres!$A$1:$I$89,3,0)*0.475*44/12</f>
        <v>2.4943039554141246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13.692642535773013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274.57619581652199</v>
      </c>
      <c r="T117" s="59">
        <f t="shared" si="88"/>
        <v>366.15117322598775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57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278.21846622758881</v>
      </c>
      <c r="AO117" s="59">
        <f t="shared" si="90"/>
        <v>245.37578316242906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-2.8421709430404007E-13</v>
      </c>
      <c r="BE117" s="13">
        <f>BD117*VLOOKUP('Données projet'!$B$11,Paramètres!$A$1:$I$89,3,0)*VLOOKUP('Données projet'!$B$11,Paramètres!$A$1:$I$89,5,0)</f>
        <v>-1.69961822393816E-13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187.18641061466138</v>
      </c>
      <c r="BJ117" s="59">
        <f t="shared" si="92"/>
        <v>143.07246221325369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95.479854956011849</v>
      </c>
      <c r="BQ117" s="21">
        <f>EXP(-LN(2)/25)*BQ116+(1-EXP(-LN(2)/25))/(LN(2)/25)*Calculateur!BL117*Calculateur!BN117*VLOOKUP('Données projet'!$B$11,Paramètres!$A$1:$I$89,3,0)*0.475*44/12</f>
        <v>26.301835592106702</v>
      </c>
      <c r="BR117" s="21">
        <f>EXP(-LN(2)/2)*BR116+(1-EXP(-LN(2)/2))/(LN(2)/2)*BL117*BO117*VLOOKUP('Données projet'!$B$11,Paramètres!$A$1:$I$89,3,0)*0.475*44/12</f>
        <v>0.40110804123862875</v>
      </c>
      <c r="BS117" s="22">
        <f t="shared" si="63"/>
        <v>122.18279858935718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3.4106051316484809E-13</v>
      </c>
      <c r="BZ117" s="13">
        <f>BY117*VLOOKUP('Données projet'!$B$12,Paramètres!$A$1:$I$89,3,0)*VLOOKUP('Données projet'!$B$12,Paramètres!$A$1:$I$89,5,0)</f>
        <v>1.5961632016114892E-13</v>
      </c>
      <c r="CA117" s="13">
        <f t="shared" si="93"/>
        <v>2.2708641912150958E-12</v>
      </c>
      <c r="CB117" s="20">
        <f t="shared" si="64"/>
        <v>4.2330868906469593E-12</v>
      </c>
      <c r="CC117" s="59">
        <f t="shared" si="65"/>
        <v>293.33333333333752</v>
      </c>
      <c r="CD117" s="59">
        <f ca="1">AVERAGE(OFFSET($CC$3,0,0,'Données projet'!$E$12+1,1))-AVERAGE(OFFSET($H$3,0,0,'Données projet'!$E$12+1,1))</f>
        <v>198.17898804494365</v>
      </c>
      <c r="CE117" s="59">
        <f t="shared" si="94"/>
        <v>186.24772922797723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146.61497308899706</v>
      </c>
      <c r="CL117" s="21">
        <f>EXP(-LN(2)/25)*CL116+(1-EXP(-LN(2)/25))/(LN(2)/25)*Calculateur!CG117*Calculateur!CI117*VLOOKUP('Données projet'!$B$12,Paramètres!$A$1:$I$89,3,0)*0.475*44/12</f>
        <v>34.221831303968017</v>
      </c>
      <c r="CM117" s="21">
        <f>EXP(-LN(2)/2)*CM116+(1-EXP(-LN(2)/2))/(LN(2)/2)*CG117*CJ117*VLOOKUP('Données projet'!$B$12,Paramètres!$A$1:$I$89,3,0)*0.475*44/12</f>
        <v>0.98052027971833744</v>
      </c>
      <c r="CN117" s="22">
        <f t="shared" si="66"/>
        <v>181.81732467268341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266.99999999999983</v>
      </c>
      <c r="CU117" s="17">
        <f>CT117*VLOOKUP('Données projet'!$B$13,Paramètres!$A$1:$I$89,3,0)*VLOOKUP('Données projet'!$B$13,Paramètres!$A$1:$I$89,5,0)</f>
        <v>195.76439999999985</v>
      </c>
      <c r="CV117" s="13">
        <f t="shared" si="95"/>
        <v>48.812154563023455</v>
      </c>
      <c r="CW117" s="20">
        <f t="shared" si="67"/>
        <v>425.9708325305989</v>
      </c>
      <c r="CX117" s="59">
        <f t="shared" si="68"/>
        <v>719.30416586393221</v>
      </c>
      <c r="CY117" s="59">
        <f ca="1">AVERAGE(OFFSET($CX$3,0,0,'Données projet'!$E$13+1,1))-AVERAGE(OFFSET($H$3,0,0,'Données projet'!$E$13+1,1))</f>
        <v>198.78436129430389</v>
      </c>
      <c r="CZ117" s="59">
        <f t="shared" si="96"/>
        <v>198.28846462484438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10.978745991110147</v>
      </c>
      <c r="DG117" s="21">
        <f>EXP(-LN(2)/25)*DG116+(1-EXP(-LN(2)/25))/(LN(2)/25)*Calculateur!DB117*Calculateur!DD117*VLOOKUP('Données projet'!$B$13,Paramètres!$A$1:$I$89,3,0)*0.475*44/12</f>
        <v>2.4260970825835813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13.404843073693728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274.57619581652199</v>
      </c>
      <c r="T118" s="59">
        <f t="shared" si="88"/>
        <v>366.15117322598775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57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278.21846622758881</v>
      </c>
      <c r="AO118" s="59">
        <f t="shared" si="90"/>
        <v>245.37578316242906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-2.8421709430404007E-13</v>
      </c>
      <c r="BE118" s="13">
        <f>BD118*VLOOKUP('Données projet'!$B$11,Paramètres!$A$1:$I$89,3,0)*VLOOKUP('Données projet'!$B$11,Paramètres!$A$1:$I$89,5,0)</f>
        <v>-1.69961822393816E-13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187.18641061466138</v>
      </c>
      <c r="BJ118" s="59">
        <f t="shared" si="92"/>
        <v>143.07246221325369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93.607553237285558</v>
      </c>
      <c r="BQ118" s="21">
        <f>EXP(-LN(2)/25)*BQ117+(1-EXP(-LN(2)/25))/(LN(2)/25)*Calculateur!BL118*Calculateur!BN118*VLOOKUP('Données projet'!$B$11,Paramètres!$A$1:$I$89,3,0)*0.475*44/12</f>
        <v>25.582610514687126</v>
      </c>
      <c r="BR118" s="21">
        <f>EXP(-LN(2)/2)*BR117+(1-EXP(-LN(2)/2))/(LN(2)/2)*BL118*BO118*VLOOKUP('Données projet'!$B$11,Paramètres!$A$1:$I$89,3,0)*0.475*44/12</f>
        <v>0.28362621594828774</v>
      </c>
      <c r="BS118" s="22">
        <f t="shared" si="63"/>
        <v>119.47378996792096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3.4106051316484809E-13</v>
      </c>
      <c r="BZ118" s="13">
        <f>BY118*VLOOKUP('Données projet'!$B$12,Paramètres!$A$1:$I$89,3,0)*VLOOKUP('Données projet'!$B$12,Paramètres!$A$1:$I$89,5,0)</f>
        <v>1.5961632016114892E-13</v>
      </c>
      <c r="CA118" s="13">
        <f t="shared" si="93"/>
        <v>2.2708641912150958E-12</v>
      </c>
      <c r="CB118" s="20">
        <f t="shared" si="64"/>
        <v>4.2330868906469593E-12</v>
      </c>
      <c r="CC118" s="59">
        <f t="shared" si="65"/>
        <v>293.33333333333752</v>
      </c>
      <c r="CD118" s="59">
        <f ca="1">AVERAGE(OFFSET($CC$3,0,0,'Données projet'!$E$12+1,1))-AVERAGE(OFFSET($H$3,0,0,'Données projet'!$E$12+1,1))</f>
        <v>198.17898804494365</v>
      </c>
      <c r="CE118" s="59">
        <f t="shared" si="94"/>
        <v>186.24772922797723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143.7399428930253</v>
      </c>
      <c r="CL118" s="21">
        <f>EXP(-LN(2)/25)*CL117+(1-EXP(-LN(2)/25))/(LN(2)/25)*Calculateur!CG118*Calculateur!CI118*VLOOKUP('Données projet'!$B$12,Paramètres!$A$1:$I$89,3,0)*0.475*44/12</f>
        <v>33.286033527313116</v>
      </c>
      <c r="CM118" s="21">
        <f>EXP(-LN(2)/2)*CM117+(1-EXP(-LN(2)/2))/(LN(2)/2)*CG118*CJ118*VLOOKUP('Données projet'!$B$12,Paramètres!$A$1:$I$89,3,0)*0.475*44/12</f>
        <v>0.69333253887976687</v>
      </c>
      <c r="CN118" s="22">
        <f t="shared" si="66"/>
        <v>177.71930895921818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266.99999999999983</v>
      </c>
      <c r="CU118" s="17">
        <f>CT118*VLOOKUP('Données projet'!$B$13,Paramètres!$A$1:$I$89,3,0)*VLOOKUP('Données projet'!$B$13,Paramètres!$A$1:$I$89,5,0)</f>
        <v>195.76439999999985</v>
      </c>
      <c r="CV118" s="13">
        <f t="shared" si="95"/>
        <v>48.812154563023455</v>
      </c>
      <c r="CW118" s="20">
        <f t="shared" si="67"/>
        <v>425.9708325305989</v>
      </c>
      <c r="CX118" s="59">
        <f t="shared" si="68"/>
        <v>719.30416586393221</v>
      </c>
      <c r="CY118" s="59">
        <f ca="1">AVERAGE(OFFSET($CX$3,0,0,'Données projet'!$E$13+1,1))-AVERAGE(OFFSET($H$3,0,0,'Données projet'!$E$13+1,1))</f>
        <v>198.78436129430389</v>
      </c>
      <c r="CZ118" s="59">
        <f t="shared" si="96"/>
        <v>198.28846462484438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10.763459478598319</v>
      </c>
      <c r="DG118" s="21">
        <f>EXP(-LN(2)/25)*DG117+(1-EXP(-LN(2)/25))/(LN(2)/25)*Calculateur!DB118*Calculateur!DD118*VLOOKUP('Données projet'!$B$13,Paramètres!$A$1:$I$89,3,0)*0.475*44/12</f>
        <v>2.3597553302774328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13.123214808875751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274.57619581652199</v>
      </c>
      <c r="T119" s="59">
        <f t="shared" si="88"/>
        <v>366.15117322598775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57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278.21846622758881</v>
      </c>
      <c r="AO119" s="59">
        <f t="shared" si="90"/>
        <v>245.37578316242906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-2.8421709430404007E-13</v>
      </c>
      <c r="BE119" s="13">
        <f>BD119*VLOOKUP('Données projet'!$B$11,Paramètres!$A$1:$I$89,3,0)*VLOOKUP('Données projet'!$B$11,Paramètres!$A$1:$I$89,5,0)</f>
        <v>-1.69961822393816E-13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187.18641061466138</v>
      </c>
      <c r="BJ119" s="59">
        <f t="shared" si="92"/>
        <v>143.07246221325369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91.771966213272208</v>
      </c>
      <c r="BQ119" s="21">
        <f>EXP(-LN(2)/25)*BQ118+(1-EXP(-LN(2)/25))/(LN(2)/25)*Calculateur!BL119*Calculateur!BN119*VLOOKUP('Données projet'!$B$11,Paramètres!$A$1:$I$89,3,0)*0.475*44/12</f>
        <v>24.883052684831988</v>
      </c>
      <c r="BR119" s="21">
        <f>EXP(-LN(2)/2)*BR118+(1-EXP(-LN(2)/2))/(LN(2)/2)*BL119*BO119*VLOOKUP('Données projet'!$B$11,Paramètres!$A$1:$I$89,3,0)*0.475*44/12</f>
        <v>0.20055402061931438</v>
      </c>
      <c r="BS119" s="22">
        <f t="shared" si="63"/>
        <v>116.85557291872351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3.4106051316484809E-13</v>
      </c>
      <c r="BZ119" s="13">
        <f>BY119*VLOOKUP('Données projet'!$B$12,Paramètres!$A$1:$I$89,3,0)*VLOOKUP('Données projet'!$B$12,Paramètres!$A$1:$I$89,5,0)</f>
        <v>1.5961632016114892E-13</v>
      </c>
      <c r="CA119" s="13">
        <f t="shared" si="93"/>
        <v>2.2708641912150958E-12</v>
      </c>
      <c r="CB119" s="20">
        <f t="shared" si="64"/>
        <v>4.2330868906469593E-12</v>
      </c>
      <c r="CC119" s="59">
        <f t="shared" si="65"/>
        <v>293.33333333333752</v>
      </c>
      <c r="CD119" s="59">
        <f ca="1">AVERAGE(OFFSET($CC$3,0,0,'Données projet'!$E$12+1,1))-AVERAGE(OFFSET($H$3,0,0,'Données projet'!$E$12+1,1))</f>
        <v>198.17898804494365</v>
      </c>
      <c r="CE119" s="59">
        <f t="shared" si="94"/>
        <v>186.24772922797723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140.92129028560129</v>
      </c>
      <c r="CL119" s="21">
        <f>EXP(-LN(2)/25)*CL118+(1-EXP(-LN(2)/25))/(LN(2)/25)*Calculateur!CG119*Calculateur!CI119*VLOOKUP('Données projet'!$B$12,Paramètres!$A$1:$I$89,3,0)*0.475*44/12</f>
        <v>32.375825190072312</v>
      </c>
      <c r="CM119" s="21">
        <f>EXP(-LN(2)/2)*CM118+(1-EXP(-LN(2)/2))/(LN(2)/2)*CG119*CJ119*VLOOKUP('Données projet'!$B$12,Paramètres!$A$1:$I$89,3,0)*0.475*44/12</f>
        <v>0.49026013985916878</v>
      </c>
      <c r="CN119" s="22">
        <f t="shared" si="66"/>
        <v>173.78737561553277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266.99999999999983</v>
      </c>
      <c r="CU119" s="17">
        <f>CT119*VLOOKUP('Données projet'!$B$13,Paramètres!$A$1:$I$89,3,0)*VLOOKUP('Données projet'!$B$13,Paramètres!$A$1:$I$89,5,0)</f>
        <v>195.76439999999985</v>
      </c>
      <c r="CV119" s="13">
        <f t="shared" si="95"/>
        <v>48.812154563023455</v>
      </c>
      <c r="CW119" s="20">
        <f t="shared" si="67"/>
        <v>425.9708325305989</v>
      </c>
      <c r="CX119" s="59">
        <f t="shared" si="68"/>
        <v>719.30416586393221</v>
      </c>
      <c r="CY119" s="59">
        <f ca="1">AVERAGE(OFFSET($CX$3,0,0,'Données projet'!$E$13+1,1))-AVERAGE(OFFSET($H$3,0,0,'Données projet'!$E$13+1,1))</f>
        <v>198.78436129430389</v>
      </c>
      <c r="CZ119" s="59">
        <f t="shared" si="96"/>
        <v>198.28846462484438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10.552394603285043</v>
      </c>
      <c r="DG119" s="21">
        <f>EXP(-LN(2)/25)*DG118+(1-EXP(-LN(2)/25))/(LN(2)/25)*Calculateur!DB119*Calculateur!DD119*VLOOKUP('Données projet'!$B$13,Paramètres!$A$1:$I$89,3,0)*0.475*44/12</f>
        <v>2.2952276966768568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12.8476222999619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274.57619581652199</v>
      </c>
      <c r="T120" s="59">
        <f t="shared" si="88"/>
        <v>366.15117322598775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57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278.21846622758881</v>
      </c>
      <c r="AO120" s="59">
        <f t="shared" si="90"/>
        <v>245.37578316242906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-2.8421709430404007E-13</v>
      </c>
      <c r="BE120" s="13">
        <f>BD120*VLOOKUP('Données projet'!$B$11,Paramètres!$A$1:$I$89,3,0)*VLOOKUP('Données projet'!$B$11,Paramètres!$A$1:$I$89,5,0)</f>
        <v>-1.69961822393816E-13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187.18641061466138</v>
      </c>
      <c r="BJ120" s="59">
        <f t="shared" si="92"/>
        <v>143.07246221325369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89.972373931202227</v>
      </c>
      <c r="BQ120" s="21">
        <f>EXP(-LN(2)/25)*BQ119+(1-EXP(-LN(2)/25))/(LN(2)/25)*Calculateur!BL120*Calculateur!BN120*VLOOKUP('Données projet'!$B$11,Paramètres!$A$1:$I$89,3,0)*0.475*44/12</f>
        <v>24.202624300622386</v>
      </c>
      <c r="BR120" s="21">
        <f>EXP(-LN(2)/2)*BR119+(1-EXP(-LN(2)/2))/(LN(2)/2)*BL120*BO120*VLOOKUP('Données projet'!$B$11,Paramètres!$A$1:$I$89,3,0)*0.475*44/12</f>
        <v>0.14181310797414387</v>
      </c>
      <c r="BS120" s="22">
        <f t="shared" si="63"/>
        <v>114.31681133979876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3.4106051316484809E-13</v>
      </c>
      <c r="BZ120" s="13">
        <f>BY120*VLOOKUP('Données projet'!$B$12,Paramètres!$A$1:$I$89,3,0)*VLOOKUP('Données projet'!$B$12,Paramètres!$A$1:$I$89,5,0)</f>
        <v>1.5961632016114892E-13</v>
      </c>
      <c r="CA120" s="13">
        <f t="shared" si="93"/>
        <v>2.2708641912150958E-12</v>
      </c>
      <c r="CB120" s="20">
        <f t="shared" si="64"/>
        <v>4.2330868906469593E-12</v>
      </c>
      <c r="CC120" s="59">
        <f t="shared" si="65"/>
        <v>293.33333333333752</v>
      </c>
      <c r="CD120" s="59">
        <f ca="1">AVERAGE(OFFSET($CC$3,0,0,'Données projet'!$E$12+1,1))-AVERAGE(OFFSET($H$3,0,0,'Données projet'!$E$12+1,1))</f>
        <v>198.17898804494365</v>
      </c>
      <c r="CE120" s="59">
        <f t="shared" si="94"/>
        <v>186.24772922797723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138.15790973660052</v>
      </c>
      <c r="CL120" s="21">
        <f>EXP(-LN(2)/25)*CL119+(1-EXP(-LN(2)/25))/(LN(2)/25)*Calculateur!CG120*Calculateur!CI120*VLOOKUP('Données projet'!$B$12,Paramètres!$A$1:$I$89,3,0)*0.475*44/12</f>
        <v>31.490506547679136</v>
      </c>
      <c r="CM120" s="21">
        <f>EXP(-LN(2)/2)*CM119+(1-EXP(-LN(2)/2))/(LN(2)/2)*CG120*CJ120*VLOOKUP('Données projet'!$B$12,Paramètres!$A$1:$I$89,3,0)*0.475*44/12</f>
        <v>0.34666626943988349</v>
      </c>
      <c r="CN120" s="22">
        <f t="shared" si="66"/>
        <v>169.99508255371953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266.99999999999983</v>
      </c>
      <c r="CU120" s="17">
        <f>CT120*VLOOKUP('Données projet'!$B$13,Paramètres!$A$1:$I$89,3,0)*VLOOKUP('Données projet'!$B$13,Paramètres!$A$1:$I$89,5,0)</f>
        <v>195.76439999999985</v>
      </c>
      <c r="CV120" s="13">
        <f t="shared" si="95"/>
        <v>48.812154563023455</v>
      </c>
      <c r="CW120" s="20">
        <f t="shared" si="67"/>
        <v>425.9708325305989</v>
      </c>
      <c r="CX120" s="59">
        <f t="shared" si="68"/>
        <v>719.30416586393221</v>
      </c>
      <c r="CY120" s="59">
        <f ca="1">AVERAGE(OFFSET($CX$3,0,0,'Données projet'!$E$13+1,1))-AVERAGE(OFFSET($H$3,0,0,'Données projet'!$E$13+1,1))</f>
        <v>198.78436129430389</v>
      </c>
      <c r="CZ120" s="59">
        <f t="shared" si="96"/>
        <v>198.28846462484438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10.345468581439796</v>
      </c>
      <c r="DG120" s="21">
        <f>EXP(-LN(2)/25)*DG119+(1-EXP(-LN(2)/25))/(LN(2)/25)*Calculateur!DB120*Calculateur!DD120*VLOOKUP('Données projet'!$B$13,Paramètres!$A$1:$I$89,3,0)*0.475*44/12</f>
        <v>2.2324645746104492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12.577933156050246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274.57619581652199</v>
      </c>
      <c r="T121" s="59">
        <f t="shared" si="88"/>
        <v>366.15117322598775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57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278.21846622758881</v>
      </c>
      <c r="AO121" s="59">
        <f t="shared" si="90"/>
        <v>245.37578316242906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-2.8421709430404007E-13</v>
      </c>
      <c r="BE121" s="13">
        <f>BD121*VLOOKUP('Données projet'!$B$11,Paramètres!$A$1:$I$89,3,0)*VLOOKUP('Données projet'!$B$11,Paramètres!$A$1:$I$89,5,0)</f>
        <v>-1.69961822393816E-13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187.18641061466138</v>
      </c>
      <c r="BJ121" s="59">
        <f t="shared" si="92"/>
        <v>143.07246221325369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88.208070556140726</v>
      </c>
      <c r="BQ121" s="21">
        <f>EXP(-LN(2)/25)*BQ120+(1-EXP(-LN(2)/25))/(LN(2)/25)*Calculateur!BL121*Calculateur!BN121*VLOOKUP('Données projet'!$B$11,Paramètres!$A$1:$I$89,3,0)*0.475*44/12</f>
        <v>23.540802266361169</v>
      </c>
      <c r="BR121" s="21">
        <f>EXP(-LN(2)/2)*BR120+(1-EXP(-LN(2)/2))/(LN(2)/2)*BL121*BO121*VLOOKUP('Données projet'!$B$11,Paramètres!$A$1:$I$89,3,0)*0.475*44/12</f>
        <v>0.10027701030965719</v>
      </c>
      <c r="BS121" s="22">
        <f t="shared" si="63"/>
        <v>111.84914983281155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3.4106051316484809E-13</v>
      </c>
      <c r="BZ121" s="13">
        <f>BY121*VLOOKUP('Données projet'!$B$12,Paramètres!$A$1:$I$89,3,0)*VLOOKUP('Données projet'!$B$12,Paramètres!$A$1:$I$89,5,0)</f>
        <v>1.5961632016114892E-13</v>
      </c>
      <c r="CA121" s="13">
        <f t="shared" si="93"/>
        <v>2.2708641912150958E-12</v>
      </c>
      <c r="CB121" s="20">
        <f t="shared" si="64"/>
        <v>4.2330868906469593E-12</v>
      </c>
      <c r="CC121" s="59">
        <f t="shared" si="65"/>
        <v>293.33333333333752</v>
      </c>
      <c r="CD121" s="59">
        <f ca="1">AVERAGE(OFFSET($CC$3,0,0,'Données projet'!$E$12+1,1))-AVERAGE(OFFSET($H$3,0,0,'Données projet'!$E$12+1,1))</f>
        <v>198.17898804494365</v>
      </c>
      <c r="CE121" s="59">
        <f t="shared" si="94"/>
        <v>186.24772922797723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135.44871739466996</v>
      </c>
      <c r="CL121" s="21">
        <f>EXP(-LN(2)/25)*CL120+(1-EXP(-LN(2)/25))/(LN(2)/25)*Calculateur!CG121*Calculateur!CI121*VLOOKUP('Données projet'!$B$12,Paramètres!$A$1:$I$89,3,0)*0.475*44/12</f>
        <v>30.629396990119083</v>
      </c>
      <c r="CM121" s="21">
        <f>EXP(-LN(2)/2)*CM120+(1-EXP(-LN(2)/2))/(LN(2)/2)*CG121*CJ121*VLOOKUP('Données projet'!$B$12,Paramètres!$A$1:$I$89,3,0)*0.475*44/12</f>
        <v>0.24513006992958444</v>
      </c>
      <c r="CN121" s="22">
        <f t="shared" si="66"/>
        <v>166.32324445471863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266.99999999999983</v>
      </c>
      <c r="CU121" s="17">
        <f>CT121*VLOOKUP('Données projet'!$B$13,Paramètres!$A$1:$I$89,3,0)*VLOOKUP('Données projet'!$B$13,Paramètres!$A$1:$I$89,5,0)</f>
        <v>195.76439999999985</v>
      </c>
      <c r="CV121" s="13">
        <f t="shared" si="95"/>
        <v>48.812154563023455</v>
      </c>
      <c r="CW121" s="20">
        <f t="shared" si="67"/>
        <v>425.9708325305989</v>
      </c>
      <c r="CX121" s="59">
        <f t="shared" si="68"/>
        <v>719.30416586393221</v>
      </c>
      <c r="CY121" s="59">
        <f ca="1">AVERAGE(OFFSET($CX$3,0,0,'Données projet'!$E$13+1,1))-AVERAGE(OFFSET($H$3,0,0,'Données projet'!$E$13+1,1))</f>
        <v>198.78436129430389</v>
      </c>
      <c r="CZ121" s="59">
        <f t="shared" si="96"/>
        <v>198.28846462484438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10.142600252670524</v>
      </c>
      <c r="DG121" s="21">
        <f>EXP(-LN(2)/25)*DG120+(1-EXP(-LN(2)/25))/(LN(2)/25)*Calculateur!DB121*Calculateur!DD121*VLOOKUP('Données projet'!$B$13,Paramètres!$A$1:$I$89,3,0)*0.475*44/12</f>
        <v>2.171417713417517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12.314017966088041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274.57619581652199</v>
      </c>
      <c r="T122" s="59">
        <f t="shared" si="88"/>
        <v>366.15117322598775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57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278.21846622758881</v>
      </c>
      <c r="AO122" s="59">
        <f t="shared" si="90"/>
        <v>245.37578316242906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-2.8421709430404007E-13</v>
      </c>
      <c r="BE122" s="13">
        <f>BD122*VLOOKUP('Données projet'!$B$11,Paramètres!$A$1:$I$89,3,0)*VLOOKUP('Données projet'!$B$11,Paramètres!$A$1:$I$89,5,0)</f>
        <v>-1.69961822393816E-13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187.18641061466138</v>
      </c>
      <c r="BJ122" s="59">
        <f t="shared" si="92"/>
        <v>143.07246221325369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86.478364094145377</v>
      </c>
      <c r="BQ122" s="21">
        <f>EXP(-LN(2)/25)*BQ121+(1-EXP(-LN(2)/25))/(LN(2)/25)*Calculateur!BL122*Calculateur!BN122*VLOOKUP('Données projet'!$B$11,Paramètres!$A$1:$I$89,3,0)*0.475*44/12</f>
        <v>22.897077790430536</v>
      </c>
      <c r="BR122" s="21">
        <f>EXP(-LN(2)/2)*BR121+(1-EXP(-LN(2)/2))/(LN(2)/2)*BL122*BO122*VLOOKUP('Données projet'!$B$11,Paramètres!$A$1:$I$89,3,0)*0.475*44/12</f>
        <v>7.0906553987071935E-2</v>
      </c>
      <c r="BS122" s="22">
        <f t="shared" si="63"/>
        <v>109.44634843856298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3.4106051316484809E-13</v>
      </c>
      <c r="BZ122" s="13">
        <f>BY122*VLOOKUP('Données projet'!$B$12,Paramètres!$A$1:$I$89,3,0)*VLOOKUP('Données projet'!$B$12,Paramètres!$A$1:$I$89,5,0)</f>
        <v>1.5961632016114892E-13</v>
      </c>
      <c r="CA122" s="13">
        <f t="shared" si="93"/>
        <v>2.2708641912150958E-12</v>
      </c>
      <c r="CB122" s="20">
        <f t="shared" si="64"/>
        <v>4.2330868906469593E-12</v>
      </c>
      <c r="CC122" s="59">
        <f t="shared" si="65"/>
        <v>293.33333333333752</v>
      </c>
      <c r="CD122" s="59">
        <f ca="1">AVERAGE(OFFSET($CC$3,0,0,'Données projet'!$E$12+1,1))-AVERAGE(OFFSET($H$3,0,0,'Données projet'!$E$12+1,1))</f>
        <v>198.17898804494365</v>
      </c>
      <c r="CE122" s="59">
        <f t="shared" si="94"/>
        <v>186.24772922797723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132.79265066212048</v>
      </c>
      <c r="CL122" s="21">
        <f>EXP(-LN(2)/25)*CL121+(1-EXP(-LN(2)/25))/(LN(2)/25)*Calculateur!CG122*Calculateur!CI122*VLOOKUP('Données projet'!$B$12,Paramètres!$A$1:$I$89,3,0)*0.475*44/12</f>
        <v>29.791834518694294</v>
      </c>
      <c r="CM122" s="21">
        <f>EXP(-LN(2)/2)*CM121+(1-EXP(-LN(2)/2))/(LN(2)/2)*CG122*CJ122*VLOOKUP('Données projet'!$B$12,Paramètres!$A$1:$I$89,3,0)*0.475*44/12</f>
        <v>0.17333313471994177</v>
      </c>
      <c r="CN122" s="22">
        <f t="shared" si="66"/>
        <v>162.75781831553471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266.99999999999983</v>
      </c>
      <c r="CU122" s="17">
        <f>CT122*VLOOKUP('Données projet'!$B$13,Paramètres!$A$1:$I$89,3,0)*VLOOKUP('Données projet'!$B$13,Paramètres!$A$1:$I$89,5,0)</f>
        <v>195.76439999999985</v>
      </c>
      <c r="CV122" s="13">
        <f t="shared" si="95"/>
        <v>48.812154563023455</v>
      </c>
      <c r="CW122" s="20">
        <f t="shared" si="67"/>
        <v>425.9708325305989</v>
      </c>
      <c r="CX122" s="59">
        <f t="shared" si="68"/>
        <v>719.30416586393221</v>
      </c>
      <c r="CY122" s="59">
        <f ca="1">AVERAGE(OFFSET($CX$3,0,0,'Données projet'!$E$13+1,1))-AVERAGE(OFFSET($H$3,0,0,'Données projet'!$E$13+1,1))</f>
        <v>198.78436129430389</v>
      </c>
      <c r="CZ122" s="59">
        <f t="shared" si="96"/>
        <v>198.28846462484438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9.9437100480909564</v>
      </c>
      <c r="DG122" s="21">
        <f>EXP(-LN(2)/25)*DG121+(1-EXP(-LN(2)/25))/(LN(2)/25)*Calculateur!DB122*Calculateur!DD122*VLOOKUP('Données projet'!$B$13,Paramètres!$A$1:$I$89,3,0)*0.475*44/12</f>
        <v>2.1120401818542205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12.055750229945177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274.57619581652199</v>
      </c>
      <c r="T123" s="59">
        <f t="shared" si="88"/>
        <v>366.15117322598775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57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278.21846622758881</v>
      </c>
      <c r="AO123" s="59">
        <f t="shared" si="90"/>
        <v>245.37578316242906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-2.8421709430404007E-13</v>
      </c>
      <c r="BE123" s="13">
        <f>BD123*VLOOKUP('Données projet'!$B$11,Paramètres!$A$1:$I$89,3,0)*VLOOKUP('Données projet'!$B$11,Paramètres!$A$1:$I$89,5,0)</f>
        <v>-1.69961822393816E-13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187.18641061466138</v>
      </c>
      <c r="BJ123" s="59">
        <f t="shared" si="92"/>
        <v>143.07246221325369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84.782576120852994</v>
      </c>
      <c r="BQ123" s="21">
        <f>EXP(-LN(2)/25)*BQ122+(1-EXP(-LN(2)/25))/(LN(2)/25)*Calculateur!BL123*Calculateur!BN123*VLOOKUP('Données projet'!$B$11,Paramètres!$A$1:$I$89,3,0)*0.475*44/12</f>
        <v>22.270955994146224</v>
      </c>
      <c r="BR123" s="21">
        <f>EXP(-LN(2)/2)*BR122+(1-EXP(-LN(2)/2))/(LN(2)/2)*BL123*BO123*VLOOKUP('Données projet'!$B$11,Paramètres!$A$1:$I$89,3,0)*0.475*44/12</f>
        <v>5.0138505154828594E-2</v>
      </c>
      <c r="BS123" s="22">
        <f t="shared" si="63"/>
        <v>107.10367062015405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3.4106051316484809E-13</v>
      </c>
      <c r="BZ123" s="13">
        <f>BY123*VLOOKUP('Données projet'!$B$12,Paramètres!$A$1:$I$89,3,0)*VLOOKUP('Données projet'!$B$12,Paramètres!$A$1:$I$89,5,0)</f>
        <v>1.5961632016114892E-13</v>
      </c>
      <c r="CA123" s="13">
        <f t="shared" si="93"/>
        <v>2.2708641912150958E-12</v>
      </c>
      <c r="CB123" s="20">
        <f t="shared" si="64"/>
        <v>4.2330868906469593E-12</v>
      </c>
      <c r="CC123" s="59">
        <f t="shared" si="65"/>
        <v>293.33333333333752</v>
      </c>
      <c r="CD123" s="59">
        <f ca="1">AVERAGE(OFFSET($CC$3,0,0,'Données projet'!$E$12+1,1))-AVERAGE(OFFSET($H$3,0,0,'Données projet'!$E$12+1,1))</f>
        <v>198.17898804494365</v>
      </c>
      <c r="CE123" s="59">
        <f t="shared" si="94"/>
        <v>186.24772922797723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130.18866777815555</v>
      </c>
      <c r="CL123" s="21">
        <f>EXP(-LN(2)/25)*CL122+(1-EXP(-LN(2)/25))/(LN(2)/25)*Calculateur!CG123*Calculateur!CI123*VLOOKUP('Données projet'!$B$12,Paramètres!$A$1:$I$89,3,0)*0.475*44/12</f>
        <v>28.977175237096112</v>
      </c>
      <c r="CM123" s="21">
        <f>EXP(-LN(2)/2)*CM122+(1-EXP(-LN(2)/2))/(LN(2)/2)*CG123*CJ123*VLOOKUP('Données projet'!$B$12,Paramètres!$A$1:$I$89,3,0)*0.475*44/12</f>
        <v>0.12256503496479224</v>
      </c>
      <c r="CN123" s="22">
        <f t="shared" si="66"/>
        <v>159.28840805021645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266.99999999999983</v>
      </c>
      <c r="CU123" s="17">
        <f>CT123*VLOOKUP('Données projet'!$B$13,Paramètres!$A$1:$I$89,3,0)*VLOOKUP('Données projet'!$B$13,Paramètres!$A$1:$I$89,5,0)</f>
        <v>195.76439999999985</v>
      </c>
      <c r="CV123" s="13">
        <f t="shared" si="95"/>
        <v>48.812154563023455</v>
      </c>
      <c r="CW123" s="20">
        <f t="shared" si="67"/>
        <v>425.9708325305989</v>
      </c>
      <c r="CX123" s="59">
        <f t="shared" si="68"/>
        <v>719.30416586393221</v>
      </c>
      <c r="CY123" s="59">
        <f ca="1">AVERAGE(OFFSET($CX$3,0,0,'Données projet'!$E$13+1,1))-AVERAGE(OFFSET($H$3,0,0,'Données projet'!$E$13+1,1))</f>
        <v>198.78436129430389</v>
      </c>
      <c r="CZ123" s="59">
        <f t="shared" si="96"/>
        <v>198.28846462484438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9.7487199591121474</v>
      </c>
      <c r="DG123" s="21">
        <f>EXP(-LN(2)/25)*DG122+(1-EXP(-LN(2)/25))/(LN(2)/25)*Calculateur!DB123*Calculateur!DD123*VLOOKUP('Données projet'!$B$13,Paramètres!$A$1:$I$89,3,0)*0.475*44/12</f>
        <v>2.0542863320140508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11.803006291126199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274.57619581652199</v>
      </c>
      <c r="T124" s="59">
        <f t="shared" si="88"/>
        <v>366.15117322598775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57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278.21846622758881</v>
      </c>
      <c r="AO124" s="59">
        <f t="shared" si="90"/>
        <v>245.37578316242906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-2.8421709430404007E-13</v>
      </c>
      <c r="BE124" s="13">
        <f>BD124*VLOOKUP('Données projet'!$B$11,Paramètres!$A$1:$I$89,3,0)*VLOOKUP('Données projet'!$B$11,Paramètres!$A$1:$I$89,5,0)</f>
        <v>-1.69961822393816E-13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187.18641061466138</v>
      </c>
      <c r="BJ124" s="59">
        <f t="shared" si="92"/>
        <v>143.07246221325369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83.120041515388337</v>
      </c>
      <c r="BQ124" s="21">
        <f>EXP(-LN(2)/25)*BQ123+(1-EXP(-LN(2)/25))/(LN(2)/25)*Calculateur!BL124*Calculateur!BN124*VLOOKUP('Données projet'!$B$11,Paramètres!$A$1:$I$89,3,0)*0.475*44/12</f>
        <v>21.661955531307619</v>
      </c>
      <c r="BR124" s="21">
        <f>EXP(-LN(2)/2)*BR123+(1-EXP(-LN(2)/2))/(LN(2)/2)*BL124*BO124*VLOOKUP('Données projet'!$B$11,Paramètres!$A$1:$I$89,3,0)*0.475*44/12</f>
        <v>3.5453276993535968E-2</v>
      </c>
      <c r="BS124" s="22">
        <f t="shared" si="63"/>
        <v>104.81745032368949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3.4106051316484809E-13</v>
      </c>
      <c r="BZ124" s="13">
        <f>BY124*VLOOKUP('Données projet'!$B$12,Paramètres!$A$1:$I$89,3,0)*VLOOKUP('Données projet'!$B$12,Paramètres!$A$1:$I$89,5,0)</f>
        <v>1.5961632016114892E-13</v>
      </c>
      <c r="CA124" s="13">
        <f t="shared" si="93"/>
        <v>2.2708641912150958E-12</v>
      </c>
      <c r="CB124" s="20">
        <f t="shared" si="64"/>
        <v>4.2330868906469593E-12</v>
      </c>
      <c r="CC124" s="59">
        <f t="shared" si="65"/>
        <v>293.33333333333752</v>
      </c>
      <c r="CD124" s="59">
        <f ca="1">AVERAGE(OFFSET($CC$3,0,0,'Données projet'!$E$12+1,1))-AVERAGE(OFFSET($H$3,0,0,'Données projet'!$E$12+1,1))</f>
        <v>198.17898804494365</v>
      </c>
      <c r="CE124" s="59">
        <f t="shared" si="94"/>
        <v>186.24772922797723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127.63574741027244</v>
      </c>
      <c r="CL124" s="21">
        <f>EXP(-LN(2)/25)*CL123+(1-EXP(-LN(2)/25))/(LN(2)/25)*Calculateur!CG124*Calculateur!CI124*VLOOKUP('Données projet'!$B$12,Paramètres!$A$1:$I$89,3,0)*0.475*44/12</f>
        <v>28.184792856394303</v>
      </c>
      <c r="CM124" s="21">
        <f>EXP(-LN(2)/2)*CM123+(1-EXP(-LN(2)/2))/(LN(2)/2)*CG124*CJ124*VLOOKUP('Données projet'!$B$12,Paramètres!$A$1:$I$89,3,0)*0.475*44/12</f>
        <v>8.66665673599709E-2</v>
      </c>
      <c r="CN124" s="22">
        <f t="shared" si="66"/>
        <v>155.90720683402671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266.99999999999983</v>
      </c>
      <c r="CU124" s="17">
        <f>CT124*VLOOKUP('Données projet'!$B$13,Paramètres!$A$1:$I$89,3,0)*VLOOKUP('Données projet'!$B$13,Paramètres!$A$1:$I$89,5,0)</f>
        <v>195.76439999999985</v>
      </c>
      <c r="CV124" s="13">
        <f t="shared" si="95"/>
        <v>48.812154563023455</v>
      </c>
      <c r="CW124" s="20">
        <f t="shared" si="67"/>
        <v>425.9708325305989</v>
      </c>
      <c r="CX124" s="59">
        <f t="shared" si="68"/>
        <v>719.30416586393221</v>
      </c>
      <c r="CY124" s="59">
        <f ca="1">AVERAGE(OFFSET($CX$3,0,0,'Données projet'!$E$13+1,1))-AVERAGE(OFFSET($H$3,0,0,'Données projet'!$E$13+1,1))</f>
        <v>198.78436129430389</v>
      </c>
      <c r="CZ124" s="59">
        <f t="shared" si="96"/>
        <v>198.28846462484438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9.557553506846002</v>
      </c>
      <c r="DG124" s="21">
        <f>EXP(-LN(2)/25)*DG123+(1-EXP(-LN(2)/25))/(LN(2)/25)*Calculateur!DB124*Calculateur!DD124*VLOOKUP('Données projet'!$B$13,Paramètres!$A$1:$I$89,3,0)*0.475*44/12</f>
        <v>1.9981117642349036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11.555665271080905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274.57619581652199</v>
      </c>
      <c r="T125" s="59">
        <f t="shared" si="88"/>
        <v>366.15117322598775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57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278.21846622758881</v>
      </c>
      <c r="AO125" s="59">
        <f t="shared" si="90"/>
        <v>245.37578316242906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-2.8421709430404007E-13</v>
      </c>
      <c r="BE125" s="13">
        <f>BD125*VLOOKUP('Données projet'!$B$11,Paramètres!$A$1:$I$89,3,0)*VLOOKUP('Données projet'!$B$11,Paramètres!$A$1:$I$89,5,0)</f>
        <v>-1.69961822393816E-13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187.18641061466138</v>
      </c>
      <c r="BJ125" s="59">
        <f t="shared" si="92"/>
        <v>143.07246221325369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81.490108199490862</v>
      </c>
      <c r="BQ125" s="21">
        <f>EXP(-LN(2)/25)*BQ124+(1-EXP(-LN(2)/25))/(LN(2)/25)*Calculateur!BL125*Calculateur!BN125*VLOOKUP('Données projet'!$B$11,Paramètres!$A$1:$I$89,3,0)*0.475*44/12</f>
        <v>21.069608218151281</v>
      </c>
      <c r="BR125" s="21">
        <f>EXP(-LN(2)/2)*BR124+(1-EXP(-LN(2)/2))/(LN(2)/2)*BL125*BO125*VLOOKUP('Données projet'!$B$11,Paramètres!$A$1:$I$89,3,0)*0.475*44/12</f>
        <v>2.5069252577414297E-2</v>
      </c>
      <c r="BS125" s="22">
        <f t="shared" si="63"/>
        <v>102.58478567021955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3.4106051316484809E-13</v>
      </c>
      <c r="BZ125" s="13">
        <f>BY125*VLOOKUP('Données projet'!$B$12,Paramètres!$A$1:$I$89,3,0)*VLOOKUP('Données projet'!$B$12,Paramètres!$A$1:$I$89,5,0)</f>
        <v>1.5961632016114892E-13</v>
      </c>
      <c r="CA125" s="13">
        <f t="shared" si="93"/>
        <v>2.2708641912150958E-12</v>
      </c>
      <c r="CB125" s="20">
        <f t="shared" si="64"/>
        <v>4.2330868906469593E-12</v>
      </c>
      <c r="CC125" s="59">
        <f t="shared" si="65"/>
        <v>293.33333333333752</v>
      </c>
      <c r="CD125" s="59">
        <f ca="1">AVERAGE(OFFSET($CC$3,0,0,'Données projet'!$E$12+1,1))-AVERAGE(OFFSET($H$3,0,0,'Données projet'!$E$12+1,1))</f>
        <v>198.17898804494365</v>
      </c>
      <c r="CE125" s="59">
        <f t="shared" si="94"/>
        <v>186.24772922797723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125.13288825367586</v>
      </c>
      <c r="CL125" s="21">
        <f>EXP(-LN(2)/25)*CL124+(1-EXP(-LN(2)/25))/(LN(2)/25)*Calculateur!CG125*Calculateur!CI125*VLOOKUP('Données projet'!$B$12,Paramètres!$A$1:$I$89,3,0)*0.475*44/12</f>
        <v>27.414078213562362</v>
      </c>
      <c r="CM125" s="21">
        <f>EXP(-LN(2)/2)*CM124+(1-EXP(-LN(2)/2))/(LN(2)/2)*CG125*CJ125*VLOOKUP('Données projet'!$B$12,Paramètres!$A$1:$I$89,3,0)*0.475*44/12</f>
        <v>6.1282517482396132E-2</v>
      </c>
      <c r="CN125" s="22">
        <f t="shared" si="66"/>
        <v>152.60824898472063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266.99999999999983</v>
      </c>
      <c r="CU125" s="17">
        <f>CT125*VLOOKUP('Données projet'!$B$13,Paramètres!$A$1:$I$89,3,0)*VLOOKUP('Données projet'!$B$13,Paramètres!$A$1:$I$89,5,0)</f>
        <v>195.76439999999985</v>
      </c>
      <c r="CV125" s="13">
        <f t="shared" si="95"/>
        <v>48.812154563023455</v>
      </c>
      <c r="CW125" s="20">
        <f t="shared" si="67"/>
        <v>425.9708325305989</v>
      </c>
      <c r="CX125" s="59">
        <f t="shared" si="68"/>
        <v>719.30416586393221</v>
      </c>
      <c r="CY125" s="59">
        <f ca="1">AVERAGE(OFFSET($CX$3,0,0,'Données projet'!$E$13+1,1))-AVERAGE(OFFSET($H$3,0,0,'Données projet'!$E$13+1,1))</f>
        <v>198.78436129430389</v>
      </c>
      <c r="CZ125" s="59">
        <f t="shared" si="96"/>
        <v>198.28846462484438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9.3701357121087732</v>
      </c>
      <c r="DG125" s="21">
        <f>EXP(-LN(2)/25)*DG124+(1-EXP(-LN(2)/25))/(LN(2)/25)*Calculateur!DB125*Calculateur!DD125*VLOOKUP('Données projet'!$B$13,Paramètres!$A$1:$I$89,3,0)*0.475*44/12</f>
        <v>1.9434732929657692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11.313609005074543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274.57619581652199</v>
      </c>
      <c r="T126" s="59">
        <f t="shared" si="88"/>
        <v>366.15117322598775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57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278.21846622758881</v>
      </c>
      <c r="AO126" s="59">
        <f t="shared" si="90"/>
        <v>245.37578316242906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-2.8421709430404007E-13</v>
      </c>
      <c r="BE126" s="13">
        <f>BD126*VLOOKUP('Données projet'!$B$11,Paramètres!$A$1:$I$89,3,0)*VLOOKUP('Données projet'!$B$11,Paramètres!$A$1:$I$89,5,0)</f>
        <v>-1.69961822393816E-13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187.18641061466138</v>
      </c>
      <c r="BJ126" s="59">
        <f t="shared" si="92"/>
        <v>143.07246221325369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79.892136881756983</v>
      </c>
      <c r="BQ126" s="21">
        <f>EXP(-LN(2)/25)*BQ125+(1-EXP(-LN(2)/25))/(LN(2)/25)*Calculateur!BL126*Calculateur!BN126*VLOOKUP('Données projet'!$B$11,Paramètres!$A$1:$I$89,3,0)*0.475*44/12</f>
        <v>20.493458673423394</v>
      </c>
      <c r="BR126" s="21">
        <f>EXP(-LN(2)/2)*BR125+(1-EXP(-LN(2)/2))/(LN(2)/2)*BL126*BO126*VLOOKUP('Données projet'!$B$11,Paramètres!$A$1:$I$89,3,0)*0.475*44/12</f>
        <v>1.7726638496767984E-2</v>
      </c>
      <c r="BS126" s="22">
        <f t="shared" si="63"/>
        <v>100.40332219367714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3.4106051316484809E-13</v>
      </c>
      <c r="BZ126" s="13">
        <f>BY126*VLOOKUP('Données projet'!$B$12,Paramètres!$A$1:$I$89,3,0)*VLOOKUP('Données projet'!$B$12,Paramètres!$A$1:$I$89,5,0)</f>
        <v>1.5961632016114892E-13</v>
      </c>
      <c r="CA126" s="13">
        <f t="shared" si="93"/>
        <v>2.2708641912150958E-12</v>
      </c>
      <c r="CB126" s="20">
        <f t="shared" si="64"/>
        <v>4.2330868906469593E-12</v>
      </c>
      <c r="CC126" s="59">
        <f t="shared" si="65"/>
        <v>293.33333333333752</v>
      </c>
      <c r="CD126" s="59">
        <f ca="1">AVERAGE(OFFSET($CC$3,0,0,'Données projet'!$E$12+1,1))-AVERAGE(OFFSET($H$3,0,0,'Données projet'!$E$12+1,1))</f>
        <v>198.17898804494365</v>
      </c>
      <c r="CE126" s="59">
        <f t="shared" si="94"/>
        <v>186.24772922797723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122.67910863854679</v>
      </c>
      <c r="CL126" s="21">
        <f>EXP(-LN(2)/25)*CL125+(1-EXP(-LN(2)/25))/(LN(2)/25)*Calculateur!CG126*Calculateur!CI126*VLOOKUP('Données projet'!$B$12,Paramètres!$A$1:$I$89,3,0)*0.475*44/12</f>
        <v>26.664438803168782</v>
      </c>
      <c r="CM126" s="21">
        <f>EXP(-LN(2)/2)*CM125+(1-EXP(-LN(2)/2))/(LN(2)/2)*CG126*CJ126*VLOOKUP('Données projet'!$B$12,Paramètres!$A$1:$I$89,3,0)*0.475*44/12</f>
        <v>4.3333283679985457E-2</v>
      </c>
      <c r="CN126" s="22">
        <f t="shared" si="66"/>
        <v>149.38688072539557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266.99999999999983</v>
      </c>
      <c r="CU126" s="17">
        <f>CT126*VLOOKUP('Données projet'!$B$13,Paramètres!$A$1:$I$89,3,0)*VLOOKUP('Données projet'!$B$13,Paramètres!$A$1:$I$89,5,0)</f>
        <v>195.76439999999985</v>
      </c>
      <c r="CV126" s="13">
        <f t="shared" si="95"/>
        <v>48.812154563023455</v>
      </c>
      <c r="CW126" s="20">
        <f t="shared" si="67"/>
        <v>425.9708325305989</v>
      </c>
      <c r="CX126" s="59">
        <f t="shared" si="68"/>
        <v>719.30416586393221</v>
      </c>
      <c r="CY126" s="59">
        <f ca="1">AVERAGE(OFFSET($CX$3,0,0,'Données projet'!$E$13+1,1))-AVERAGE(OFFSET($H$3,0,0,'Données projet'!$E$13+1,1))</f>
        <v>198.78436129430389</v>
      </c>
      <c r="CZ126" s="59">
        <f t="shared" si="96"/>
        <v>198.28846462484438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9.1863930660127728</v>
      </c>
      <c r="DG126" s="21">
        <f>EXP(-LN(2)/25)*DG125+(1-EXP(-LN(2)/25))/(LN(2)/25)*Calculateur!DB126*Calculateur!DD126*VLOOKUP('Données projet'!$B$13,Paramètres!$A$1:$I$89,3,0)*0.475*44/12</f>
        <v>1.8903289135668015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11.076721979579574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274.57619581652199</v>
      </c>
      <c r="T127" s="59">
        <f t="shared" si="88"/>
        <v>366.15117322598775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57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278.21846622758881</v>
      </c>
      <c r="AO127" s="59">
        <f t="shared" si="90"/>
        <v>245.37578316242906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-2.8421709430404007E-13</v>
      </c>
      <c r="BE127" s="13">
        <f>BD127*VLOOKUP('Données projet'!$B$11,Paramètres!$A$1:$I$89,3,0)*VLOOKUP('Données projet'!$B$11,Paramètres!$A$1:$I$89,5,0)</f>
        <v>-1.69961822393816E-13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187.18641061466138</v>
      </c>
      <c r="BJ127" s="59">
        <f t="shared" si="92"/>
        <v>143.07246221325369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78.325500806897594</v>
      </c>
      <c r="BQ127" s="21">
        <f>EXP(-LN(2)/25)*BQ126+(1-EXP(-LN(2)/25))/(LN(2)/25)*Calculateur!BL127*Calculateur!BN127*VLOOKUP('Données projet'!$B$11,Paramètres!$A$1:$I$89,3,0)*0.475*44/12</f>
        <v>19.933063968294476</v>
      </c>
      <c r="BR127" s="21">
        <f>EXP(-LN(2)/2)*BR126+(1-EXP(-LN(2)/2))/(LN(2)/2)*BL127*BO127*VLOOKUP('Données projet'!$B$11,Paramètres!$A$1:$I$89,3,0)*0.475*44/12</f>
        <v>1.2534626288707149E-2</v>
      </c>
      <c r="BS127" s="22">
        <f t="shared" si="63"/>
        <v>98.271099401480782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3.4106051316484809E-13</v>
      </c>
      <c r="BZ127" s="13">
        <f>BY127*VLOOKUP('Données projet'!$B$12,Paramètres!$A$1:$I$89,3,0)*VLOOKUP('Données projet'!$B$12,Paramètres!$A$1:$I$89,5,0)</f>
        <v>1.5961632016114892E-13</v>
      </c>
      <c r="CA127" s="13">
        <f t="shared" si="93"/>
        <v>2.2708641912150958E-12</v>
      </c>
      <c r="CB127" s="20">
        <f t="shared" si="64"/>
        <v>4.2330868906469593E-12</v>
      </c>
      <c r="CC127" s="59">
        <f t="shared" si="65"/>
        <v>293.33333333333752</v>
      </c>
      <c r="CD127" s="59">
        <f ca="1">AVERAGE(OFFSET($CC$3,0,0,'Données projet'!$E$12+1,1))-AVERAGE(OFFSET($H$3,0,0,'Données projet'!$E$12+1,1))</f>
        <v>198.17898804494365</v>
      </c>
      <c r="CE127" s="59">
        <f t="shared" si="94"/>
        <v>186.24772922797723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120.27344614501263</v>
      </c>
      <c r="CL127" s="21">
        <f>EXP(-LN(2)/25)*CL126+(1-EXP(-LN(2)/25))/(LN(2)/25)*Calculateur!CG127*Calculateur!CI127*VLOOKUP('Données projet'!$B$12,Paramètres!$A$1:$I$89,3,0)*0.475*44/12</f>
        <v>25.935298321874239</v>
      </c>
      <c r="CM127" s="21">
        <f>EXP(-LN(2)/2)*CM126+(1-EXP(-LN(2)/2))/(LN(2)/2)*CG127*CJ127*VLOOKUP('Données projet'!$B$12,Paramètres!$A$1:$I$89,3,0)*0.475*44/12</f>
        <v>3.0641258741198069E-2</v>
      </c>
      <c r="CN127" s="22">
        <f t="shared" si="66"/>
        <v>146.23938572562804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266.99999999999983</v>
      </c>
      <c r="CU127" s="17">
        <f>CT127*VLOOKUP('Données projet'!$B$13,Paramètres!$A$1:$I$89,3,0)*VLOOKUP('Données projet'!$B$13,Paramètres!$A$1:$I$89,5,0)</f>
        <v>195.76439999999985</v>
      </c>
      <c r="CV127" s="13">
        <f t="shared" si="95"/>
        <v>48.812154563023455</v>
      </c>
      <c r="CW127" s="20">
        <f t="shared" si="67"/>
        <v>425.9708325305989</v>
      </c>
      <c r="CX127" s="59">
        <f t="shared" si="68"/>
        <v>719.30416586393221</v>
      </c>
      <c r="CY127" s="59">
        <f ca="1">AVERAGE(OFFSET($CX$3,0,0,'Données projet'!$E$13+1,1))-AVERAGE(OFFSET($H$3,0,0,'Données projet'!$E$13+1,1))</f>
        <v>198.78436129430389</v>
      </c>
      <c r="CZ127" s="59">
        <f t="shared" si="96"/>
        <v>198.28846462484438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9.0062535011347684</v>
      </c>
      <c r="DG127" s="21">
        <f>EXP(-LN(2)/25)*DG126+(1-EXP(-LN(2)/25))/(LN(2)/25)*Calculateur!DB127*Calculateur!DD127*VLOOKUP('Données projet'!$B$13,Paramètres!$A$1:$I$89,3,0)*0.475*44/12</f>
        <v>1.8386377700172403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10.844891271152008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274.57619581652199</v>
      </c>
      <c r="T128" s="59">
        <f t="shared" si="88"/>
        <v>366.15117322598775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57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278.21846622758881</v>
      </c>
      <c r="AO128" s="59">
        <f t="shared" si="90"/>
        <v>245.37578316242906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-2.8421709430404007E-13</v>
      </c>
      <c r="BE128" s="13">
        <f>BD128*VLOOKUP('Données projet'!$B$11,Paramètres!$A$1:$I$89,3,0)*VLOOKUP('Données projet'!$B$11,Paramètres!$A$1:$I$89,5,0)</f>
        <v>-1.69961822393816E-13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187.18641061466138</v>
      </c>
      <c r="BJ128" s="59">
        <f t="shared" si="92"/>
        <v>143.07246221325369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76.789585509912555</v>
      </c>
      <c r="BQ128" s="21">
        <f>EXP(-LN(2)/25)*BQ127+(1-EXP(-LN(2)/25))/(LN(2)/25)*Calculateur!BL128*Calculateur!BN128*VLOOKUP('Données projet'!$B$11,Paramètres!$A$1:$I$89,3,0)*0.475*44/12</f>
        <v>19.387993285847188</v>
      </c>
      <c r="BR128" s="21">
        <f>EXP(-LN(2)/2)*BR127+(1-EXP(-LN(2)/2))/(LN(2)/2)*BL128*BO128*VLOOKUP('Données projet'!$B$11,Paramètres!$A$1:$I$89,3,0)*0.475*44/12</f>
        <v>8.8633192483839919E-3</v>
      </c>
      <c r="BS128" s="22">
        <f t="shared" si="63"/>
        <v>96.18644211500812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3.4106051316484809E-13</v>
      </c>
      <c r="BZ128" s="13">
        <f>BY128*VLOOKUP('Données projet'!$B$12,Paramètres!$A$1:$I$89,3,0)*VLOOKUP('Données projet'!$B$12,Paramètres!$A$1:$I$89,5,0)</f>
        <v>1.5961632016114892E-13</v>
      </c>
      <c r="CA128" s="13">
        <f t="shared" si="93"/>
        <v>2.2708641912150958E-12</v>
      </c>
      <c r="CB128" s="20">
        <f t="shared" si="64"/>
        <v>4.2330868906469593E-12</v>
      </c>
      <c r="CC128" s="59">
        <f t="shared" si="65"/>
        <v>293.33333333333752</v>
      </c>
      <c r="CD128" s="59">
        <f ca="1">AVERAGE(OFFSET($CC$3,0,0,'Données projet'!$E$12+1,1))-AVERAGE(OFFSET($H$3,0,0,'Données projet'!$E$12+1,1))</f>
        <v>198.17898804494365</v>
      </c>
      <c r="CE128" s="59">
        <f t="shared" si="94"/>
        <v>186.24772922797723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117.91495722566742</v>
      </c>
      <c r="CL128" s="21">
        <f>EXP(-LN(2)/25)*CL127+(1-EXP(-LN(2)/25))/(LN(2)/25)*Calculateur!CG128*Calculateur!CI128*VLOOKUP('Données projet'!$B$12,Paramètres!$A$1:$I$89,3,0)*0.475*44/12</f>
        <v>25.226096225384524</v>
      </c>
      <c r="CM128" s="21">
        <f>EXP(-LN(2)/2)*CM127+(1-EXP(-LN(2)/2))/(LN(2)/2)*CG128*CJ128*VLOOKUP('Données projet'!$B$12,Paramètres!$A$1:$I$89,3,0)*0.475*44/12</f>
        <v>2.1666641839992732E-2</v>
      </c>
      <c r="CN128" s="22">
        <f t="shared" si="66"/>
        <v>143.16272009289196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266.99999999999983</v>
      </c>
      <c r="CU128" s="17">
        <f>CT128*VLOOKUP('Données projet'!$B$13,Paramètres!$A$1:$I$89,3,0)*VLOOKUP('Données projet'!$B$13,Paramètres!$A$1:$I$89,5,0)</f>
        <v>195.76439999999985</v>
      </c>
      <c r="CV128" s="13">
        <f t="shared" si="95"/>
        <v>48.812154563023455</v>
      </c>
      <c r="CW128" s="20">
        <f t="shared" si="67"/>
        <v>425.9708325305989</v>
      </c>
      <c r="CX128" s="59">
        <f t="shared" si="68"/>
        <v>719.30416586393221</v>
      </c>
      <c r="CY128" s="59">
        <f ca="1">AVERAGE(OFFSET($CX$3,0,0,'Données projet'!$E$13+1,1))-AVERAGE(OFFSET($H$3,0,0,'Données projet'!$E$13+1,1))</f>
        <v>198.78436129430389</v>
      </c>
      <c r="CZ128" s="59">
        <f t="shared" si="96"/>
        <v>198.28846462484438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8.8296463632497364</v>
      </c>
      <c r="DG128" s="21">
        <f>EXP(-LN(2)/25)*DG127+(1-EXP(-LN(2)/25))/(LN(2)/25)*Calculateur!DB128*Calculateur!DD128*VLOOKUP('Données projet'!$B$13,Paramètres!$A$1:$I$89,3,0)*0.475*44/12</f>
        <v>1.7883601235063609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10.618006486756098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274.57619581652199</v>
      </c>
      <c r="T129" s="59">
        <f t="shared" si="88"/>
        <v>366.15117322598775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57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278.21846622758881</v>
      </c>
      <c r="AO129" s="59">
        <f t="shared" si="90"/>
        <v>245.37578316242906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-2.8421709430404007E-13</v>
      </c>
      <c r="BE129" s="13">
        <f>BD129*VLOOKUP('Données projet'!$B$11,Paramètres!$A$1:$I$89,3,0)*VLOOKUP('Données projet'!$B$11,Paramètres!$A$1:$I$89,5,0)</f>
        <v>-1.69961822393816E-13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187.18641061466138</v>
      </c>
      <c r="BJ129" s="59">
        <f t="shared" si="92"/>
        <v>143.07246221325369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75.283788575085566</v>
      </c>
      <c r="BQ129" s="21">
        <f>EXP(-LN(2)/25)*BQ128+(1-EXP(-LN(2)/25))/(LN(2)/25)*Calculateur!BL129*Calculateur!BN129*VLOOKUP('Données projet'!$B$11,Paramètres!$A$1:$I$89,3,0)*0.475*44/12</f>
        <v>18.857827589875441</v>
      </c>
      <c r="BR129" s="21">
        <f>EXP(-LN(2)/2)*BR128+(1-EXP(-LN(2)/2))/(LN(2)/2)*BL129*BO129*VLOOKUP('Données projet'!$B$11,Paramètres!$A$1:$I$89,3,0)*0.475*44/12</f>
        <v>6.2673131443535743E-3</v>
      </c>
      <c r="BS129" s="22">
        <f t="shared" si="63"/>
        <v>94.147883478105356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3.4106051316484809E-13</v>
      </c>
      <c r="BZ129" s="13">
        <f>BY129*VLOOKUP('Données projet'!$B$12,Paramètres!$A$1:$I$89,3,0)*VLOOKUP('Données projet'!$B$12,Paramètres!$A$1:$I$89,5,0)</f>
        <v>1.5961632016114892E-13</v>
      </c>
      <c r="CA129" s="13">
        <f t="shared" si="93"/>
        <v>2.2708641912150958E-12</v>
      </c>
      <c r="CB129" s="20">
        <f t="shared" si="64"/>
        <v>4.2330868906469593E-12</v>
      </c>
      <c r="CC129" s="59">
        <f t="shared" si="65"/>
        <v>293.33333333333752</v>
      </c>
      <c r="CD129" s="59">
        <f ca="1">AVERAGE(OFFSET($CC$3,0,0,'Données projet'!$E$12+1,1))-AVERAGE(OFFSET($H$3,0,0,'Données projet'!$E$12+1,1))</f>
        <v>198.17898804494365</v>
      </c>
      <c r="CE129" s="59">
        <f t="shared" si="94"/>
        <v>186.24772922797723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115.60271683549438</v>
      </c>
      <c r="CL129" s="21">
        <f>EXP(-LN(2)/25)*CL128+(1-EXP(-LN(2)/25))/(LN(2)/25)*Calculateur!CG129*Calculateur!CI129*VLOOKUP('Données projet'!$B$12,Paramètres!$A$1:$I$89,3,0)*0.475*44/12</f>
        <v>24.536287297518637</v>
      </c>
      <c r="CM129" s="21">
        <f>EXP(-LN(2)/2)*CM128+(1-EXP(-LN(2)/2))/(LN(2)/2)*CG129*CJ129*VLOOKUP('Données projet'!$B$12,Paramètres!$A$1:$I$89,3,0)*0.475*44/12</f>
        <v>1.5320629370599036E-2</v>
      </c>
      <c r="CN129" s="22">
        <f t="shared" si="66"/>
        <v>140.1543247623836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266.99999999999983</v>
      </c>
      <c r="CU129" s="17">
        <f>CT129*VLOOKUP('Données projet'!$B$13,Paramètres!$A$1:$I$89,3,0)*VLOOKUP('Données projet'!$B$13,Paramètres!$A$1:$I$89,5,0)</f>
        <v>195.76439999999985</v>
      </c>
      <c r="CV129" s="13">
        <f t="shared" si="95"/>
        <v>48.812154563023455</v>
      </c>
      <c r="CW129" s="20">
        <f t="shared" si="67"/>
        <v>425.9708325305989</v>
      </c>
      <c r="CX129" s="59">
        <f t="shared" si="68"/>
        <v>719.30416586393221</v>
      </c>
      <c r="CY129" s="59">
        <f ca="1">AVERAGE(OFFSET($CX$3,0,0,'Données projet'!$E$13+1,1))-AVERAGE(OFFSET($H$3,0,0,'Données projet'!$E$13+1,1))</f>
        <v>198.78436129430389</v>
      </c>
      <c r="CZ129" s="59">
        <f t="shared" si="96"/>
        <v>198.28846462484438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8.6565023836189123</v>
      </c>
      <c r="DG129" s="21">
        <f>EXP(-LN(2)/25)*DG128+(1-EXP(-LN(2)/25))/(LN(2)/25)*Calculateur!DB129*Calculateur!DD129*VLOOKUP('Données projet'!$B$13,Paramètres!$A$1:$I$89,3,0)*0.475*44/12</f>
        <v>1.7394573218833078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10.39595970550222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274.57619581652199</v>
      </c>
      <c r="T130" s="59">
        <f t="shared" si="88"/>
        <v>366.15117322598775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57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278.21846622758881</v>
      </c>
      <c r="AO130" s="59">
        <f t="shared" si="90"/>
        <v>245.37578316242906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-2.8421709430404007E-13</v>
      </c>
      <c r="BE130" s="13">
        <f>BD130*VLOOKUP('Données projet'!$B$11,Paramètres!$A$1:$I$89,3,0)*VLOOKUP('Données projet'!$B$11,Paramètres!$A$1:$I$89,5,0)</f>
        <v>-1.69961822393816E-13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187.18641061466138</v>
      </c>
      <c r="BJ130" s="59">
        <f t="shared" si="92"/>
        <v>143.07246221325369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73.807519399705086</v>
      </c>
      <c r="BQ130" s="21">
        <f>EXP(-LN(2)/25)*BQ129+(1-EXP(-LN(2)/25))/(LN(2)/25)*Calculateur!BL130*Calculateur!BN130*VLOOKUP('Données projet'!$B$11,Paramètres!$A$1:$I$89,3,0)*0.475*44/12</f>
        <v>18.342159302740246</v>
      </c>
      <c r="BR130" s="21">
        <f>EXP(-LN(2)/2)*BR129+(1-EXP(-LN(2)/2))/(LN(2)/2)*BL130*BO130*VLOOKUP('Données projet'!$B$11,Paramètres!$A$1:$I$89,3,0)*0.475*44/12</f>
        <v>4.431659624191996E-3</v>
      </c>
      <c r="BS130" s="22">
        <f t="shared" si="63"/>
        <v>92.154110362069517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3.4106051316484809E-13</v>
      </c>
      <c r="BZ130" s="13">
        <f>BY130*VLOOKUP('Données projet'!$B$12,Paramètres!$A$1:$I$89,3,0)*VLOOKUP('Données projet'!$B$12,Paramètres!$A$1:$I$89,5,0)</f>
        <v>1.5961632016114892E-13</v>
      </c>
      <c r="CA130" s="13">
        <f t="shared" si="93"/>
        <v>2.2708641912150958E-12</v>
      </c>
      <c r="CB130" s="20">
        <f t="shared" si="64"/>
        <v>4.2330868906469593E-12</v>
      </c>
      <c r="CC130" s="59">
        <f t="shared" si="65"/>
        <v>293.33333333333752</v>
      </c>
      <c r="CD130" s="59">
        <f ca="1">AVERAGE(OFFSET($CC$3,0,0,'Données projet'!$E$12+1,1))-AVERAGE(OFFSET($H$3,0,0,'Données projet'!$E$12+1,1))</f>
        <v>198.17898804494365</v>
      </c>
      <c r="CE130" s="59">
        <f t="shared" si="94"/>
        <v>186.24772922797723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113.33581806904525</v>
      </c>
      <c r="CL130" s="21">
        <f>EXP(-LN(2)/25)*CL129+(1-EXP(-LN(2)/25))/(LN(2)/25)*Calculateur!CG130*Calculateur!CI130*VLOOKUP('Données projet'!$B$12,Paramètres!$A$1:$I$89,3,0)*0.475*44/12</f>
        <v>23.865341231060718</v>
      </c>
      <c r="CM130" s="21">
        <f>EXP(-LN(2)/2)*CM129+(1-EXP(-LN(2)/2))/(LN(2)/2)*CG130*CJ130*VLOOKUP('Données projet'!$B$12,Paramètres!$A$1:$I$89,3,0)*0.475*44/12</f>
        <v>1.0833320919996368E-2</v>
      </c>
      <c r="CN130" s="22">
        <f t="shared" si="66"/>
        <v>137.21199262102596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266.99999999999983</v>
      </c>
      <c r="CU130" s="17">
        <f>CT130*VLOOKUP('Données projet'!$B$13,Paramètres!$A$1:$I$89,3,0)*VLOOKUP('Données projet'!$B$13,Paramètres!$A$1:$I$89,5,0)</f>
        <v>195.76439999999985</v>
      </c>
      <c r="CV130" s="13">
        <f t="shared" si="95"/>
        <v>48.812154563023455</v>
      </c>
      <c r="CW130" s="20">
        <f t="shared" si="67"/>
        <v>425.9708325305989</v>
      </c>
      <c r="CX130" s="59">
        <f t="shared" si="68"/>
        <v>719.30416586393221</v>
      </c>
      <c r="CY130" s="59">
        <f ca="1">AVERAGE(OFFSET($CX$3,0,0,'Données projet'!$E$13+1,1))-AVERAGE(OFFSET($H$3,0,0,'Données projet'!$E$13+1,1))</f>
        <v>198.78436129430389</v>
      </c>
      <c r="CZ130" s="59">
        <f t="shared" si="96"/>
        <v>198.28846462484438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8.4867536518212479</v>
      </c>
      <c r="DG130" s="21">
        <f>EXP(-LN(2)/25)*DG129+(1-EXP(-LN(2)/25))/(LN(2)/25)*Calculateur!DB130*Calculateur!DD130*VLOOKUP('Données projet'!$B$13,Paramètres!$A$1:$I$89,3,0)*0.475*44/12</f>
        <v>1.6918917699423237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10.178645421763571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274.57619581652199</v>
      </c>
      <c r="T131" s="59">
        <f t="shared" si="88"/>
        <v>366.15117322598775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57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278.21846622758881</v>
      </c>
      <c r="AO131" s="59">
        <f t="shared" si="90"/>
        <v>245.37578316242906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-2.8421709430404007E-13</v>
      </c>
      <c r="BE131" s="13">
        <f>BD131*VLOOKUP('Données projet'!$B$11,Paramètres!$A$1:$I$89,3,0)*VLOOKUP('Données projet'!$B$11,Paramètres!$A$1:$I$89,5,0)</f>
        <v>-1.69961822393816E-13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187.18641061466138</v>
      </c>
      <c r="BJ131" s="59">
        <f t="shared" si="92"/>
        <v>143.07246221325369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72.360198962418536</v>
      </c>
      <c r="BQ131" s="21">
        <f>EXP(-LN(2)/25)*BQ130+(1-EXP(-LN(2)/25))/(LN(2)/25)*Calculateur!BL131*Calculateur!BN131*VLOOKUP('Données projet'!$B$11,Paramètres!$A$1:$I$89,3,0)*0.475*44/12</f>
        <v>17.840591992034579</v>
      </c>
      <c r="BR131" s="21">
        <f>EXP(-LN(2)/2)*BR130+(1-EXP(-LN(2)/2))/(LN(2)/2)*BL131*BO131*VLOOKUP('Données projet'!$B$11,Paramètres!$A$1:$I$89,3,0)*0.475*44/12</f>
        <v>3.1336565721767871E-3</v>
      </c>
      <c r="BS131" s="22">
        <f t="shared" si="63"/>
        <v>90.203924611025286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3.4106051316484809E-13</v>
      </c>
      <c r="BZ131" s="13">
        <f>BY131*VLOOKUP('Données projet'!$B$12,Paramètres!$A$1:$I$89,3,0)*VLOOKUP('Données projet'!$B$12,Paramètres!$A$1:$I$89,5,0)</f>
        <v>1.5961632016114892E-13</v>
      </c>
      <c r="CA131" s="13">
        <f t="shared" si="93"/>
        <v>2.2708641912150958E-12</v>
      </c>
      <c r="CB131" s="20">
        <f t="shared" si="64"/>
        <v>4.2330868906469593E-12</v>
      </c>
      <c r="CC131" s="59">
        <f t="shared" si="65"/>
        <v>293.33333333333752</v>
      </c>
      <c r="CD131" s="59">
        <f ca="1">AVERAGE(OFFSET($CC$3,0,0,'Données projet'!$E$12+1,1))-AVERAGE(OFFSET($H$3,0,0,'Données projet'!$E$12+1,1))</f>
        <v>198.17898804494365</v>
      </c>
      <c r="CE131" s="59">
        <f t="shared" si="94"/>
        <v>186.24772922797723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111.11337180473447</v>
      </c>
      <c r="CL131" s="21">
        <f>EXP(-LN(2)/25)*CL130+(1-EXP(-LN(2)/25))/(LN(2)/25)*Calculateur!CG131*Calculateur!CI131*VLOOKUP('Données projet'!$B$12,Paramètres!$A$1:$I$89,3,0)*0.475*44/12</f>
        <v>23.212742220073611</v>
      </c>
      <c r="CM131" s="21">
        <f>EXP(-LN(2)/2)*CM130+(1-EXP(-LN(2)/2))/(LN(2)/2)*CG131*CJ131*VLOOKUP('Données projet'!$B$12,Paramètres!$A$1:$I$89,3,0)*0.475*44/12</f>
        <v>7.6603146852995199E-3</v>
      </c>
      <c r="CN131" s="22">
        <f t="shared" si="66"/>
        <v>134.33377433949337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266.99999999999983</v>
      </c>
      <c r="CU131" s="17">
        <f>CT131*VLOOKUP('Données projet'!$B$13,Paramètres!$A$1:$I$89,3,0)*VLOOKUP('Données projet'!$B$13,Paramètres!$A$1:$I$89,5,0)</f>
        <v>195.76439999999985</v>
      </c>
      <c r="CV131" s="13">
        <f t="shared" si="95"/>
        <v>48.812154563023455</v>
      </c>
      <c r="CW131" s="20">
        <f t="shared" si="67"/>
        <v>425.9708325305989</v>
      </c>
      <c r="CX131" s="59">
        <f t="shared" si="68"/>
        <v>719.30416586393221</v>
      </c>
      <c r="CY131" s="59">
        <f ca="1">AVERAGE(OFFSET($CX$3,0,0,'Données projet'!$E$13+1,1))-AVERAGE(OFFSET($H$3,0,0,'Données projet'!$E$13+1,1))</f>
        <v>198.78436129430389</v>
      </c>
      <c r="CZ131" s="59">
        <f t="shared" si="96"/>
        <v>198.28846462484438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8.3203335891176327</v>
      </c>
      <c r="DG131" s="21">
        <f>EXP(-LN(2)/25)*DG130+(1-EXP(-LN(2)/25))/(LN(2)/25)*Calculateur!DB131*Calculateur!DD131*VLOOKUP('Données projet'!$B$13,Paramètres!$A$1:$I$89,3,0)*0.475*44/12</f>
        <v>1.6456269005205295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9.9659604896381619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274.57619581652199</v>
      </c>
      <c r="T132" s="59">
        <f t="shared" si="88"/>
        <v>366.15117322598775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111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278.21846622758881</v>
      </c>
      <c r="AO132" s="59">
        <f t="shared" si="90"/>
        <v>245.37578316242906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-2.8421709430404007E-13</v>
      </c>
      <c r="BE132" s="13">
        <f>BD132*VLOOKUP('Données projet'!$B$11,Paramètres!$A$1:$I$89,3,0)*VLOOKUP('Données projet'!$B$11,Paramètres!$A$1:$I$89,5,0)</f>
        <v>-1.69961822393816E-13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187.18641061466138</v>
      </c>
      <c r="BJ132" s="59">
        <f t="shared" si="92"/>
        <v>143.07246221325369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70.941259596128873</v>
      </c>
      <c r="BQ132" s="21">
        <f>EXP(-LN(2)/25)*BQ131+(1-EXP(-LN(2)/25))/(LN(2)/25)*Calculateur!BL132*Calculateur!BN132*VLOOKUP('Données projet'!$B$11,Paramètres!$A$1:$I$89,3,0)*0.475*44/12</f>
        <v>17.352740065816434</v>
      </c>
      <c r="BR132" s="21">
        <f>EXP(-LN(2)/2)*BR131+(1-EXP(-LN(2)/2))/(LN(2)/2)*BL132*BO132*VLOOKUP('Données projet'!$B$11,Paramètres!$A$1:$I$89,3,0)*0.475*44/12</f>
        <v>2.215829812095998E-3</v>
      </c>
      <c r="BS132" s="22">
        <f t="shared" ref="BS132:BS153" si="117">SUM(BP132:BR132)</f>
        <v>88.296215491757408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3.4106051316484809E-13</v>
      </c>
      <c r="BZ132" s="13">
        <f>BY132*VLOOKUP('Données projet'!$B$12,Paramètres!$A$1:$I$89,3,0)*VLOOKUP('Données projet'!$B$12,Paramètres!$A$1:$I$89,5,0)</f>
        <v>1.5961632016114892E-13</v>
      </c>
      <c r="CA132" s="13">
        <f t="shared" si="93"/>
        <v>2.2708641912150958E-12</v>
      </c>
      <c r="CB132" s="20">
        <f t="shared" ref="CB132:CB153" si="118">(BZ132+CA132)*0.475*44/12</f>
        <v>4.2330868906469593E-12</v>
      </c>
      <c r="CC132" s="59">
        <f t="shared" ref="CC132:CC195" si="119">CB132+(BT132+BU132)*44/12</f>
        <v>293.33333333333752</v>
      </c>
      <c r="CD132" s="59">
        <f ca="1">AVERAGE(OFFSET($CC$3,0,0,'Données projet'!$E$12+1,1))-AVERAGE(OFFSET($H$3,0,0,'Données projet'!$E$12+1,1))</f>
        <v>198.17898804494365</v>
      </c>
      <c r="CE132" s="59">
        <f t="shared" si="94"/>
        <v>186.24772922797723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108.93450635610846</v>
      </c>
      <c r="CL132" s="21">
        <f>EXP(-LN(2)/25)*CL131+(1-EXP(-LN(2)/25))/(LN(2)/25)*Calculateur!CG132*Calculateur!CI132*VLOOKUP('Données projet'!$B$12,Paramètres!$A$1:$I$89,3,0)*0.475*44/12</f>
        <v>22.577988563360638</v>
      </c>
      <c r="CM132" s="21">
        <f>EXP(-LN(2)/2)*CM131+(1-EXP(-LN(2)/2))/(LN(2)/2)*CG132*CJ132*VLOOKUP('Données projet'!$B$12,Paramètres!$A$1:$I$89,3,0)*0.475*44/12</f>
        <v>5.4166604599981847E-3</v>
      </c>
      <c r="CN132" s="22">
        <f t="shared" ref="CN132:CN153" si="120">SUM(CK132:CM132)</f>
        <v>131.51791157992909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266.99999999999983</v>
      </c>
      <c r="CU132" s="17">
        <f>CT132*VLOOKUP('Données projet'!$B$13,Paramètres!$A$1:$I$89,3,0)*VLOOKUP('Données projet'!$B$13,Paramètres!$A$1:$I$89,5,0)</f>
        <v>195.76439999999985</v>
      </c>
      <c r="CV132" s="13">
        <f t="shared" si="95"/>
        <v>48.812154563023455</v>
      </c>
      <c r="CW132" s="20">
        <f t="shared" ref="CW132:CW153" si="121">(CU132+CV132)*0.475*44/12</f>
        <v>425.9708325305989</v>
      </c>
      <c r="CX132" s="59">
        <f t="shared" ref="CX132:CX195" si="122">CW132+(CO132+CP132)*44/12</f>
        <v>719.30416586393221</v>
      </c>
      <c r="CY132" s="59">
        <f ca="1">AVERAGE(OFFSET($CX$3,0,0,'Données projet'!$E$13+1,1))-AVERAGE(OFFSET($H$3,0,0,'Données projet'!$E$13+1,1))</f>
        <v>198.78436129430389</v>
      </c>
      <c r="CZ132" s="59">
        <f t="shared" si="96"/>
        <v>198.28846462484438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8.1571769223374204</v>
      </c>
      <c r="DG132" s="21">
        <f>EXP(-LN(2)/25)*DG131+(1-EXP(-LN(2)/25))/(LN(2)/25)*Calculateur!DB132*Calculateur!DD132*VLOOKUP('Données projet'!$B$13,Paramètres!$A$1:$I$89,3,0)*0.475*44/12</f>
        <v>1.600627146386038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9.7578040687234591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274.57619581652199</v>
      </c>
      <c r="T133" s="59">
        <f t="shared" ref="T133:T196" si="142">$T$3</f>
        <v>366.15117322598775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111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278.21846622758881</v>
      </c>
      <c r="AO133" s="59">
        <f t="shared" ref="AO133:AO196" si="144">$AO$3</f>
        <v>245.37578316242906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-2.8421709430404007E-13</v>
      </c>
      <c r="BE133" s="13">
        <f>BD133*VLOOKUP('Données projet'!$B$11,Paramètres!$A$1:$I$89,3,0)*VLOOKUP('Données projet'!$B$11,Paramètres!$A$1:$I$89,5,0)</f>
        <v>-1.69961822393816E-13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187.18641061466138</v>
      </c>
      <c r="BJ133" s="59">
        <f t="shared" ref="BJ133:BJ196" si="146">$BJ$3</f>
        <v>143.07246221325369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69.550144765344598</v>
      </c>
      <c r="BQ133" s="21">
        <f>EXP(-LN(2)/25)*BQ132+(1-EXP(-LN(2)/25))/(LN(2)/25)*Calculateur!BL133*Calculateur!BN133*VLOOKUP('Données projet'!$B$11,Paramètres!$A$1:$I$89,3,0)*0.475*44/12</f>
        <v>16.878228476175742</v>
      </c>
      <c r="BR133" s="21">
        <f>EXP(-LN(2)/2)*BR132+(1-EXP(-LN(2)/2))/(LN(2)/2)*BL133*BO133*VLOOKUP('Données projet'!$B$11,Paramètres!$A$1:$I$89,3,0)*0.475*44/12</f>
        <v>1.5668282860883936E-3</v>
      </c>
      <c r="BS133" s="22">
        <f t="shared" si="117"/>
        <v>86.429940069806435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3.4106051316484809E-13</v>
      </c>
      <c r="BZ133" s="13">
        <f>BY133*VLOOKUP('Données projet'!$B$12,Paramètres!$A$1:$I$89,3,0)*VLOOKUP('Données projet'!$B$12,Paramètres!$A$1:$I$89,5,0)</f>
        <v>1.5961632016114892E-13</v>
      </c>
      <c r="CA133" s="13">
        <f t="shared" ref="CA133:CA153" si="147">EXP(-1.0587+0.8836*LN(BZ133)+0.284)</f>
        <v>2.2708641912150958E-12</v>
      </c>
      <c r="CB133" s="20">
        <f t="shared" si="118"/>
        <v>4.2330868906469593E-12</v>
      </c>
      <c r="CC133" s="59">
        <f t="shared" si="119"/>
        <v>293.33333333333752</v>
      </c>
      <c r="CD133" s="59">
        <f ca="1">AVERAGE(OFFSET($CC$3,0,0,'Données projet'!$E$12+1,1))-AVERAGE(OFFSET($H$3,0,0,'Données projet'!$E$12+1,1))</f>
        <v>198.17898804494365</v>
      </c>
      <c r="CE133" s="59">
        <f t="shared" ref="CE133:CE196" si="148">$CE$3</f>
        <v>186.24772922797723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106.79836712995329</v>
      </c>
      <c r="CL133" s="21">
        <f>EXP(-LN(2)/25)*CL132+(1-EXP(-LN(2)/25))/(LN(2)/25)*Calculateur!CG133*Calculateur!CI133*VLOOKUP('Données projet'!$B$12,Paramètres!$A$1:$I$89,3,0)*0.475*44/12</f>
        <v>21.960592278770726</v>
      </c>
      <c r="CM133" s="21">
        <f>EXP(-LN(2)/2)*CM132+(1-EXP(-LN(2)/2))/(LN(2)/2)*CG133*CJ133*VLOOKUP('Données projet'!$B$12,Paramètres!$A$1:$I$89,3,0)*0.475*44/12</f>
        <v>3.8301573426497604E-3</v>
      </c>
      <c r="CN133" s="22">
        <f t="shared" si="120"/>
        <v>128.76278956606669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266.99999999999983</v>
      </c>
      <c r="CU133" s="17">
        <f>CT133*VLOOKUP('Données projet'!$B$13,Paramètres!$A$1:$I$89,3,0)*VLOOKUP('Données projet'!$B$13,Paramètres!$A$1:$I$89,5,0)</f>
        <v>195.76439999999985</v>
      </c>
      <c r="CV133" s="13">
        <f t="shared" ref="CV133:CV153" si="149">EXP(-1.0587+0.8836*LN(CU133)+0.284)</f>
        <v>48.812154563023455</v>
      </c>
      <c r="CW133" s="20">
        <f t="shared" si="121"/>
        <v>425.9708325305989</v>
      </c>
      <c r="CX133" s="59">
        <f t="shared" si="122"/>
        <v>719.30416586393221</v>
      </c>
      <c r="CY133" s="59">
        <f ca="1">AVERAGE(OFFSET($CX$3,0,0,'Données projet'!$E$13+1,1))-AVERAGE(OFFSET($H$3,0,0,'Données projet'!$E$13+1,1))</f>
        <v>198.78436129430389</v>
      </c>
      <c r="CZ133" s="59">
        <f t="shared" ref="CZ133:CZ196" si="150">$CZ$3</f>
        <v>198.28846462484438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7.9972196582770279</v>
      </c>
      <c r="DG133" s="21">
        <f>EXP(-LN(2)/25)*DG132+(1-EXP(-LN(2)/25))/(LN(2)/25)*Calculateur!DB133*Calculateur!DD133*VLOOKUP('Données projet'!$B$13,Paramètres!$A$1:$I$89,3,0)*0.475*44/12</f>
        <v>1.5568579128947884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9.5540775711718169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274.57619581652199</v>
      </c>
      <c r="T134" s="59">
        <f t="shared" si="142"/>
        <v>366.15117322598775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111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278.21846622758881</v>
      </c>
      <c r="AO134" s="59">
        <f t="shared" si="144"/>
        <v>245.37578316242906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-2.8421709430404007E-13</v>
      </c>
      <c r="BE134" s="13">
        <f>BD134*VLOOKUP('Données projet'!$B$11,Paramètres!$A$1:$I$89,3,0)*VLOOKUP('Données projet'!$B$11,Paramètres!$A$1:$I$89,5,0)</f>
        <v>-1.69961822393816E-13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187.18641061466138</v>
      </c>
      <c r="BJ134" s="59">
        <f t="shared" si="146"/>
        <v>143.07246221325369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68.186308847895731</v>
      </c>
      <c r="BQ134" s="21">
        <f>EXP(-LN(2)/25)*BQ133+(1-EXP(-LN(2)/25))/(LN(2)/25)*Calculateur!BL134*Calculateur!BN134*VLOOKUP('Données projet'!$B$11,Paramètres!$A$1:$I$89,3,0)*0.475*44/12</f>
        <v>16.416692430907258</v>
      </c>
      <c r="BR134" s="21">
        <f>EXP(-LN(2)/2)*BR133+(1-EXP(-LN(2)/2))/(LN(2)/2)*BL134*BO134*VLOOKUP('Données projet'!$B$11,Paramètres!$A$1:$I$89,3,0)*0.475*44/12</f>
        <v>1.107914906047999E-3</v>
      </c>
      <c r="BS134" s="22">
        <f t="shared" si="117"/>
        <v>84.604109193709036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3.4106051316484809E-13</v>
      </c>
      <c r="BZ134" s="13">
        <f>BY134*VLOOKUP('Données projet'!$B$12,Paramètres!$A$1:$I$89,3,0)*VLOOKUP('Données projet'!$B$12,Paramètres!$A$1:$I$89,5,0)</f>
        <v>1.5961632016114892E-13</v>
      </c>
      <c r="CA134" s="13">
        <f t="shared" si="147"/>
        <v>2.2708641912150958E-12</v>
      </c>
      <c r="CB134" s="20">
        <f t="shared" si="118"/>
        <v>4.2330868906469593E-12</v>
      </c>
      <c r="CC134" s="59">
        <f t="shared" si="119"/>
        <v>293.33333333333752</v>
      </c>
      <c r="CD134" s="59">
        <f ca="1">AVERAGE(OFFSET($CC$3,0,0,'Données projet'!$E$12+1,1))-AVERAGE(OFFSET($H$3,0,0,'Données projet'!$E$12+1,1))</f>
        <v>198.17898804494365</v>
      </c>
      <c r="CE134" s="59">
        <f t="shared" si="148"/>
        <v>186.24772922797723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104.70411629110676</v>
      </c>
      <c r="CL134" s="21">
        <f>EXP(-LN(2)/25)*CL133+(1-EXP(-LN(2)/25))/(LN(2)/25)*Calculateur!CG134*Calculateur!CI134*VLOOKUP('Données projet'!$B$12,Paramètres!$A$1:$I$89,3,0)*0.475*44/12</f>
        <v>21.360078728050382</v>
      </c>
      <c r="CM134" s="21">
        <f>EXP(-LN(2)/2)*CM133+(1-EXP(-LN(2)/2))/(LN(2)/2)*CG134*CJ134*VLOOKUP('Données projet'!$B$12,Paramètres!$A$1:$I$89,3,0)*0.475*44/12</f>
        <v>2.7083302299990928E-3</v>
      </c>
      <c r="CN134" s="22">
        <f t="shared" si="120"/>
        <v>126.06690334938713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266.99999999999983</v>
      </c>
      <c r="CU134" s="17">
        <f>CT134*VLOOKUP('Données projet'!$B$13,Paramètres!$A$1:$I$89,3,0)*VLOOKUP('Données projet'!$B$13,Paramètres!$A$1:$I$89,5,0)</f>
        <v>195.76439999999985</v>
      </c>
      <c r="CV134" s="13">
        <f t="shared" si="149"/>
        <v>48.812154563023455</v>
      </c>
      <c r="CW134" s="20">
        <f t="shared" si="121"/>
        <v>425.9708325305989</v>
      </c>
      <c r="CX134" s="59">
        <f t="shared" si="122"/>
        <v>719.30416586393221</v>
      </c>
      <c r="CY134" s="59">
        <f ca="1">AVERAGE(OFFSET($CX$3,0,0,'Données projet'!$E$13+1,1))-AVERAGE(OFFSET($H$3,0,0,'Données projet'!$E$13+1,1))</f>
        <v>198.78436129430389</v>
      </c>
      <c r="CZ134" s="59">
        <f t="shared" si="150"/>
        <v>198.28846462484438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7.8403990586005623</v>
      </c>
      <c r="DG134" s="21">
        <f>EXP(-LN(2)/25)*DG133+(1-EXP(-LN(2)/25))/(LN(2)/25)*Calculateur!DB134*Calculateur!DD134*VLOOKUP('Données projet'!$B$13,Paramètres!$A$1:$I$89,3,0)*0.475*44/12</f>
        <v>1.514285551395081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9.354684609995644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274.57619581652199</v>
      </c>
      <c r="T135" s="59">
        <f t="shared" si="142"/>
        <v>366.15117322598775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111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278.21846622758881</v>
      </c>
      <c r="AO135" s="59">
        <f t="shared" si="144"/>
        <v>245.37578316242906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-2.8421709430404007E-13</v>
      </c>
      <c r="BE135" s="13">
        <f>BD135*VLOOKUP('Données projet'!$B$11,Paramètres!$A$1:$I$89,3,0)*VLOOKUP('Données projet'!$B$11,Paramètres!$A$1:$I$89,5,0)</f>
        <v>-1.69961822393816E-13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187.18641061466138</v>
      </c>
      <c r="BJ135" s="59">
        <f t="shared" si="146"/>
        <v>143.07246221325369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66.84921692093026</v>
      </c>
      <c r="BQ135" s="21">
        <f>EXP(-LN(2)/25)*BQ134+(1-EXP(-LN(2)/25))/(LN(2)/25)*Calculateur!BL135*Calculateur!BN135*VLOOKUP('Données projet'!$B$11,Paramètres!$A$1:$I$89,3,0)*0.475*44/12</f>
        <v>15.967777113067765</v>
      </c>
      <c r="BR135" s="21">
        <f>EXP(-LN(2)/2)*BR134+(1-EXP(-LN(2)/2))/(LN(2)/2)*BL135*BO135*VLOOKUP('Données projet'!$B$11,Paramètres!$A$1:$I$89,3,0)*0.475*44/12</f>
        <v>7.8341414304419679E-4</v>
      </c>
      <c r="BS135" s="22">
        <f t="shared" si="117"/>
        <v>82.817777448141072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3.4106051316484809E-13</v>
      </c>
      <c r="BZ135" s="13">
        <f>BY135*VLOOKUP('Données projet'!$B$12,Paramètres!$A$1:$I$89,3,0)*VLOOKUP('Données projet'!$B$12,Paramètres!$A$1:$I$89,5,0)</f>
        <v>1.5961632016114892E-13</v>
      </c>
      <c r="CA135" s="13">
        <f t="shared" si="147"/>
        <v>2.2708641912150958E-12</v>
      </c>
      <c r="CB135" s="20">
        <f t="shared" si="118"/>
        <v>4.2330868906469593E-12</v>
      </c>
      <c r="CC135" s="59">
        <f t="shared" si="119"/>
        <v>293.33333333333752</v>
      </c>
      <c r="CD135" s="59">
        <f ca="1">AVERAGE(OFFSET($CC$3,0,0,'Données projet'!$E$12+1,1))-AVERAGE(OFFSET($H$3,0,0,'Données projet'!$E$12+1,1))</f>
        <v>198.17898804494365</v>
      </c>
      <c r="CE135" s="59">
        <f t="shared" si="148"/>
        <v>186.24772922797723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102.65093243384312</v>
      </c>
      <c r="CL135" s="21">
        <f>EXP(-LN(2)/25)*CL134+(1-EXP(-LN(2)/25))/(LN(2)/25)*Calculateur!CG135*Calculateur!CI135*VLOOKUP('Données projet'!$B$12,Paramètres!$A$1:$I$89,3,0)*0.475*44/12</f>
        <v>20.775986251954123</v>
      </c>
      <c r="CM135" s="21">
        <f>EXP(-LN(2)/2)*CM134+(1-EXP(-LN(2)/2))/(LN(2)/2)*CG135*CJ135*VLOOKUP('Données projet'!$B$12,Paramètres!$A$1:$I$89,3,0)*0.475*44/12</f>
        <v>1.9150786713248806E-3</v>
      </c>
      <c r="CN135" s="22">
        <f t="shared" si="120"/>
        <v>123.42883376446858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266.99999999999983</v>
      </c>
      <c r="CU135" s="17">
        <f>CT135*VLOOKUP('Données projet'!$B$13,Paramètres!$A$1:$I$89,3,0)*VLOOKUP('Données projet'!$B$13,Paramètres!$A$1:$I$89,5,0)</f>
        <v>195.76439999999985</v>
      </c>
      <c r="CV135" s="13">
        <f t="shared" si="149"/>
        <v>48.812154563023455</v>
      </c>
      <c r="CW135" s="20">
        <f t="shared" si="121"/>
        <v>425.9708325305989</v>
      </c>
      <c r="CX135" s="59">
        <f t="shared" si="122"/>
        <v>719.30416586393221</v>
      </c>
      <c r="CY135" s="59">
        <f ca="1">AVERAGE(OFFSET($CX$3,0,0,'Données projet'!$E$13+1,1))-AVERAGE(OFFSET($H$3,0,0,'Données projet'!$E$13+1,1))</f>
        <v>198.78436129430389</v>
      </c>
      <c r="CZ135" s="59">
        <f t="shared" si="150"/>
        <v>198.28846462484438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7.6866536152326308</v>
      </c>
      <c r="DG135" s="21">
        <f>EXP(-LN(2)/25)*DG134+(1-EXP(-LN(2)/25))/(LN(2)/25)*Calculateur!DB135*Calculateur!DD135*VLOOKUP('Données projet'!$B$13,Paramètres!$A$1:$I$89,3,0)*0.475*44/12</f>
        <v>1.4728773333593663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9.1595309485919962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274.57619581652199</v>
      </c>
      <c r="T136" s="59">
        <f t="shared" si="142"/>
        <v>366.15117322598775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111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278.21846622758881</v>
      </c>
      <c r="AO136" s="59">
        <f t="shared" si="144"/>
        <v>245.37578316242906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-2.8421709430404007E-13</v>
      </c>
      <c r="BE136" s="13">
        <f>BD136*VLOOKUP('Données projet'!$B$11,Paramètres!$A$1:$I$89,3,0)*VLOOKUP('Données projet'!$B$11,Paramètres!$A$1:$I$89,5,0)</f>
        <v>-1.69961822393816E-13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187.18641061466138</v>
      </c>
      <c r="BJ136" s="59">
        <f t="shared" si="146"/>
        <v>143.07246221325369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65.538344551107045</v>
      </c>
      <c r="BQ136" s="21">
        <f>EXP(-LN(2)/25)*BQ135+(1-EXP(-LN(2)/25))/(LN(2)/25)*Calculateur!BL136*Calculateur!BN136*VLOOKUP('Données projet'!$B$11,Paramètres!$A$1:$I$89,3,0)*0.475*44/12</f>
        <v>15.531137408202023</v>
      </c>
      <c r="BR136" s="21">
        <f>EXP(-LN(2)/2)*BR135+(1-EXP(-LN(2)/2))/(LN(2)/2)*BL136*BO136*VLOOKUP('Données projet'!$B$11,Paramètres!$A$1:$I$89,3,0)*0.475*44/12</f>
        <v>5.5395745302399949E-4</v>
      </c>
      <c r="BS136" s="22">
        <f t="shared" si="117"/>
        <v>81.070035916762095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3.4106051316484809E-13</v>
      </c>
      <c r="BZ136" s="13">
        <f>BY136*VLOOKUP('Données projet'!$B$12,Paramètres!$A$1:$I$89,3,0)*VLOOKUP('Données projet'!$B$12,Paramètres!$A$1:$I$89,5,0)</f>
        <v>1.5961632016114892E-13</v>
      </c>
      <c r="CA136" s="13">
        <f t="shared" si="147"/>
        <v>2.2708641912150958E-12</v>
      </c>
      <c r="CB136" s="20">
        <f t="shared" si="118"/>
        <v>4.2330868906469593E-12</v>
      </c>
      <c r="CC136" s="59">
        <f t="shared" si="119"/>
        <v>293.33333333333752</v>
      </c>
      <c r="CD136" s="59">
        <f ca="1">AVERAGE(OFFSET($CC$3,0,0,'Données projet'!$E$12+1,1))-AVERAGE(OFFSET($H$3,0,0,'Données projet'!$E$12+1,1))</f>
        <v>198.17898804494365</v>
      </c>
      <c r="CE136" s="59">
        <f t="shared" si="148"/>
        <v>186.24772922797723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100.63801025970193</v>
      </c>
      <c r="CL136" s="21">
        <f>EXP(-LN(2)/25)*CL135+(1-EXP(-LN(2)/25))/(LN(2)/25)*Calculateur!CG136*Calculateur!CI136*VLOOKUP('Données projet'!$B$12,Paramètres!$A$1:$I$89,3,0)*0.475*44/12</f>
        <v>20.207865815332806</v>
      </c>
      <c r="CM136" s="21">
        <f>EXP(-LN(2)/2)*CM135+(1-EXP(-LN(2)/2))/(LN(2)/2)*CG136*CJ136*VLOOKUP('Données projet'!$B$12,Paramètres!$A$1:$I$89,3,0)*0.475*44/12</f>
        <v>1.3541651149995466E-3</v>
      </c>
      <c r="CN136" s="22">
        <f t="shared" si="120"/>
        <v>120.84723024014974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266.99999999999983</v>
      </c>
      <c r="CU136" s="17">
        <f>CT136*VLOOKUP('Données projet'!$B$13,Paramètres!$A$1:$I$89,3,0)*VLOOKUP('Données projet'!$B$13,Paramètres!$A$1:$I$89,5,0)</f>
        <v>195.76439999999985</v>
      </c>
      <c r="CV136" s="13">
        <f t="shared" si="149"/>
        <v>48.812154563023455</v>
      </c>
      <c r="CW136" s="20">
        <f t="shared" si="121"/>
        <v>425.9708325305989</v>
      </c>
      <c r="CX136" s="59">
        <f t="shared" si="122"/>
        <v>719.30416586393221</v>
      </c>
      <c r="CY136" s="59">
        <f ca="1">AVERAGE(OFFSET($CX$3,0,0,'Données projet'!$E$13+1,1))-AVERAGE(OFFSET($H$3,0,0,'Données projet'!$E$13+1,1))</f>
        <v>198.78436129430389</v>
      </c>
      <c r="CZ136" s="59">
        <f t="shared" si="150"/>
        <v>198.28846462484438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7.5359230262336832</v>
      </c>
      <c r="DG136" s="21">
        <f>EXP(-LN(2)/25)*DG135+(1-EXP(-LN(2)/25))/(LN(2)/25)*Calculateur!DB136*Calculateur!DD136*VLOOKUP('Données projet'!$B$13,Paramètres!$A$1:$I$89,3,0)*0.475*44/12</f>
        <v>1.4326014252234018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8.9685244514570854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274.57619581652199</v>
      </c>
      <c r="T137" s="59">
        <f t="shared" si="142"/>
        <v>366.15117322598775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111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278.21846622758881</v>
      </c>
      <c r="AO137" s="59">
        <f t="shared" si="144"/>
        <v>245.37578316242906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-2.8421709430404007E-13</v>
      </c>
      <c r="BE137" s="13">
        <f>BD137*VLOOKUP('Données projet'!$B$11,Paramètres!$A$1:$I$89,3,0)*VLOOKUP('Données projet'!$B$11,Paramètres!$A$1:$I$89,5,0)</f>
        <v>-1.69961822393816E-13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187.18641061466138</v>
      </c>
      <c r="BJ137" s="59">
        <f t="shared" si="146"/>
        <v>143.07246221325369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64.253177588902858</v>
      </c>
      <c r="BQ137" s="21">
        <f>EXP(-LN(2)/25)*BQ136+(1-EXP(-LN(2)/25))/(LN(2)/25)*Calculateur!BL137*Calculateur!BN137*VLOOKUP('Données projet'!$B$11,Paramètres!$A$1:$I$89,3,0)*0.475*44/12</f>
        <v>15.106437639027719</v>
      </c>
      <c r="BR137" s="21">
        <f>EXP(-LN(2)/2)*BR136+(1-EXP(-LN(2)/2))/(LN(2)/2)*BL137*BO137*VLOOKUP('Données projet'!$B$11,Paramètres!$A$1:$I$89,3,0)*0.475*44/12</f>
        <v>3.9170707152209839E-4</v>
      </c>
      <c r="BS137" s="22">
        <f t="shared" si="117"/>
        <v>79.360006935002104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3.4106051316484809E-13</v>
      </c>
      <c r="BZ137" s="13">
        <f>BY137*VLOOKUP('Données projet'!$B$12,Paramètres!$A$1:$I$89,3,0)*VLOOKUP('Données projet'!$B$12,Paramètres!$A$1:$I$89,5,0)</f>
        <v>1.5961632016114892E-13</v>
      </c>
      <c r="CA137" s="13">
        <f t="shared" si="147"/>
        <v>2.2708641912150958E-12</v>
      </c>
      <c r="CB137" s="20">
        <f t="shared" si="118"/>
        <v>4.2330868906469593E-12</v>
      </c>
      <c r="CC137" s="59">
        <f t="shared" si="119"/>
        <v>293.33333333333752</v>
      </c>
      <c r="CD137" s="59">
        <f ca="1">AVERAGE(OFFSET($CC$3,0,0,'Données projet'!$E$12+1,1))-AVERAGE(OFFSET($H$3,0,0,'Données projet'!$E$12+1,1))</f>
        <v>198.17898804494365</v>
      </c>
      <c r="CE137" s="59">
        <f t="shared" si="148"/>
        <v>186.24772922797723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98.66456026163435</v>
      </c>
      <c r="CL137" s="21">
        <f>EXP(-LN(2)/25)*CL136+(1-EXP(-LN(2)/25))/(LN(2)/25)*Calculateur!CG137*Calculateur!CI137*VLOOKUP('Données projet'!$B$12,Paramètres!$A$1:$I$89,3,0)*0.475*44/12</f>
        <v>19.655280661927051</v>
      </c>
      <c r="CM137" s="21">
        <f>EXP(-LN(2)/2)*CM136+(1-EXP(-LN(2)/2))/(LN(2)/2)*CG137*CJ137*VLOOKUP('Données projet'!$B$12,Paramètres!$A$1:$I$89,3,0)*0.475*44/12</f>
        <v>9.5753933566244042E-4</v>
      </c>
      <c r="CN137" s="22">
        <f t="shared" si="120"/>
        <v>118.32079846289706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266.99999999999983</v>
      </c>
      <c r="CU137" s="17">
        <f>CT137*VLOOKUP('Données projet'!$B$13,Paramètres!$A$1:$I$89,3,0)*VLOOKUP('Données projet'!$B$13,Paramètres!$A$1:$I$89,5,0)</f>
        <v>195.76439999999985</v>
      </c>
      <c r="CV137" s="13">
        <f t="shared" si="149"/>
        <v>48.812154563023455</v>
      </c>
      <c r="CW137" s="20">
        <f t="shared" si="121"/>
        <v>425.9708325305989</v>
      </c>
      <c r="CX137" s="59">
        <f t="shared" si="122"/>
        <v>719.30416586393221</v>
      </c>
      <c r="CY137" s="59">
        <f ca="1">AVERAGE(OFFSET($CX$3,0,0,'Données projet'!$E$13+1,1))-AVERAGE(OFFSET($H$3,0,0,'Données projet'!$E$13+1,1))</f>
        <v>198.78436129430389</v>
      </c>
      <c r="CZ137" s="59">
        <f t="shared" si="150"/>
        <v>198.28846462484438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7.3881481721484237</v>
      </c>
      <c r="DG137" s="21">
        <f>EXP(-LN(2)/25)*DG136+(1-EXP(-LN(2)/25))/(LN(2)/25)*Calculateur!DB137*Calculateur!DD137*VLOOKUP('Données projet'!$B$13,Paramètres!$A$1:$I$89,3,0)*0.475*44/12</f>
        <v>1.3934268639134333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8.7815750360618576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274.57619581652199</v>
      </c>
      <c r="T138" s="59">
        <f t="shared" si="142"/>
        <v>366.15117322598775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111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278.21846622758881</v>
      </c>
      <c r="AO138" s="59">
        <f t="shared" si="144"/>
        <v>245.37578316242906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-2.8421709430404007E-13</v>
      </c>
      <c r="BE138" s="13">
        <f>BD138*VLOOKUP('Données projet'!$B$11,Paramètres!$A$1:$I$89,3,0)*VLOOKUP('Données projet'!$B$11,Paramètres!$A$1:$I$89,5,0)</f>
        <v>-1.69961822393816E-13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187.18641061466138</v>
      </c>
      <c r="BJ138" s="59">
        <f t="shared" si="146"/>
        <v>143.07246221325369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62.993211966953055</v>
      </c>
      <c r="BQ138" s="21">
        <f>EXP(-LN(2)/25)*BQ137+(1-EXP(-LN(2)/25))/(LN(2)/25)*Calculateur!BL138*Calculateur!BN138*VLOOKUP('Données projet'!$B$11,Paramètres!$A$1:$I$89,3,0)*0.475*44/12</f>
        <v>14.693351307375478</v>
      </c>
      <c r="BR138" s="21">
        <f>EXP(-LN(2)/2)*BR137+(1-EXP(-LN(2)/2))/(LN(2)/2)*BL138*BO138*VLOOKUP('Données projet'!$B$11,Paramètres!$A$1:$I$89,3,0)*0.475*44/12</f>
        <v>2.7697872651199975E-4</v>
      </c>
      <c r="BS138" s="22">
        <f t="shared" si="117"/>
        <v>77.686840253055053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3.4106051316484809E-13</v>
      </c>
      <c r="BZ138" s="13">
        <f>BY138*VLOOKUP('Données projet'!$B$12,Paramètres!$A$1:$I$89,3,0)*VLOOKUP('Données projet'!$B$12,Paramètres!$A$1:$I$89,5,0)</f>
        <v>1.5961632016114892E-13</v>
      </c>
      <c r="CA138" s="13">
        <f t="shared" si="147"/>
        <v>2.2708641912150958E-12</v>
      </c>
      <c r="CB138" s="20">
        <f t="shared" si="118"/>
        <v>4.2330868906469593E-12</v>
      </c>
      <c r="CC138" s="59">
        <f t="shared" si="119"/>
        <v>293.33333333333752</v>
      </c>
      <c r="CD138" s="59">
        <f ca="1">AVERAGE(OFFSET($CC$3,0,0,'Données projet'!$E$12+1,1))-AVERAGE(OFFSET($H$3,0,0,'Données projet'!$E$12+1,1))</f>
        <v>198.17898804494365</v>
      </c>
      <c r="CE138" s="59">
        <f t="shared" si="148"/>
        <v>186.24772922797723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96.729808414343239</v>
      </c>
      <c r="CL138" s="21">
        <f>EXP(-LN(2)/25)*CL137+(1-EXP(-LN(2)/25))/(LN(2)/25)*Calculateur!CG138*Calculateur!CI138*VLOOKUP('Données projet'!$B$12,Paramètres!$A$1:$I$89,3,0)*0.475*44/12</f>
        <v>19.117805978600369</v>
      </c>
      <c r="CM138" s="21">
        <f>EXP(-LN(2)/2)*CM137+(1-EXP(-LN(2)/2))/(LN(2)/2)*CG138*CJ138*VLOOKUP('Données projet'!$B$12,Paramètres!$A$1:$I$89,3,0)*0.475*44/12</f>
        <v>6.7708255749977342E-4</v>
      </c>
      <c r="CN138" s="22">
        <f t="shared" si="120"/>
        <v>115.84829147550111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266.99999999999983</v>
      </c>
      <c r="CU138" s="17">
        <f>CT138*VLOOKUP('Données projet'!$B$13,Paramètres!$A$1:$I$89,3,0)*VLOOKUP('Données projet'!$B$13,Paramètres!$A$1:$I$89,5,0)</f>
        <v>195.76439999999985</v>
      </c>
      <c r="CV138" s="13">
        <f t="shared" si="149"/>
        <v>48.812154563023455</v>
      </c>
      <c r="CW138" s="20">
        <f t="shared" si="121"/>
        <v>425.9708325305989</v>
      </c>
      <c r="CX138" s="59">
        <f t="shared" si="122"/>
        <v>719.30416586393221</v>
      </c>
      <c r="CY138" s="59">
        <f ca="1">AVERAGE(OFFSET($CX$3,0,0,'Données projet'!$E$13+1,1))-AVERAGE(OFFSET($H$3,0,0,'Données projet'!$E$13+1,1))</f>
        <v>198.78436129430389</v>
      </c>
      <c r="CZ138" s="59">
        <f t="shared" si="150"/>
        <v>198.28846462484438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7.2432710928180155</v>
      </c>
      <c r="DG138" s="21">
        <f>EXP(-LN(2)/25)*DG137+(1-EXP(-LN(2)/25))/(LN(2)/25)*Calculateur!DB138*Calculateur!DD138*VLOOKUP('Données projet'!$B$13,Paramètres!$A$1:$I$89,3,0)*0.475*44/12</f>
        <v>1.3553235330425863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8.5985946258606027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274.57619581652199</v>
      </c>
      <c r="T139" s="59">
        <f t="shared" si="142"/>
        <v>366.15117322598775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111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278.21846622758881</v>
      </c>
      <c r="AO139" s="59">
        <f t="shared" si="144"/>
        <v>245.37578316242906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-2.8421709430404007E-13</v>
      </c>
      <c r="BE139" s="13">
        <f>BD139*VLOOKUP('Données projet'!$B$11,Paramètres!$A$1:$I$89,3,0)*VLOOKUP('Données projet'!$B$11,Paramètres!$A$1:$I$89,5,0)</f>
        <v>-1.69961822393816E-13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187.18641061466138</v>
      </c>
      <c r="BJ139" s="59">
        <f t="shared" si="146"/>
        <v>143.07246221325369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61.757953502346538</v>
      </c>
      <c r="BQ139" s="21">
        <f>EXP(-LN(2)/25)*BQ138+(1-EXP(-LN(2)/25))/(LN(2)/25)*Calculateur!BL139*Calculateur!BN139*VLOOKUP('Données projet'!$B$11,Paramètres!$A$1:$I$89,3,0)*0.475*44/12</f>
        <v>14.291560843185533</v>
      </c>
      <c r="BR139" s="21">
        <f>EXP(-LN(2)/2)*BR138+(1-EXP(-LN(2)/2))/(LN(2)/2)*BL139*BO139*VLOOKUP('Données projet'!$B$11,Paramètres!$A$1:$I$89,3,0)*0.475*44/12</f>
        <v>1.958535357610492E-4</v>
      </c>
      <c r="BS139" s="22">
        <f t="shared" si="117"/>
        <v>76.049710199067832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3.4106051316484809E-13</v>
      </c>
      <c r="BZ139" s="13">
        <f>BY139*VLOOKUP('Données projet'!$B$12,Paramètres!$A$1:$I$89,3,0)*VLOOKUP('Données projet'!$B$12,Paramètres!$A$1:$I$89,5,0)</f>
        <v>1.5961632016114892E-13</v>
      </c>
      <c r="CA139" s="13">
        <f t="shared" si="147"/>
        <v>2.2708641912150958E-12</v>
      </c>
      <c r="CB139" s="20">
        <f t="shared" si="118"/>
        <v>4.2330868906469593E-12</v>
      </c>
      <c r="CC139" s="59">
        <f t="shared" si="119"/>
        <v>293.33333333333752</v>
      </c>
      <c r="CD139" s="59">
        <f ca="1">AVERAGE(OFFSET($CC$3,0,0,'Données projet'!$E$12+1,1))-AVERAGE(OFFSET($H$3,0,0,'Données projet'!$E$12+1,1))</f>
        <v>198.17898804494365</v>
      </c>
      <c r="CE139" s="59">
        <f t="shared" si="148"/>
        <v>186.24772922797723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94.832995870695399</v>
      </c>
      <c r="CL139" s="21">
        <f>EXP(-LN(2)/25)*CL138+(1-EXP(-LN(2)/25))/(LN(2)/25)*Calculateur!CG139*Calculateur!CI139*VLOOKUP('Données projet'!$B$12,Paramètres!$A$1:$I$89,3,0)*0.475*44/12</f>
        <v>18.595028568753822</v>
      </c>
      <c r="CM139" s="21">
        <f>EXP(-LN(2)/2)*CM138+(1-EXP(-LN(2)/2))/(LN(2)/2)*CG139*CJ139*VLOOKUP('Données projet'!$B$12,Paramètres!$A$1:$I$89,3,0)*0.475*44/12</f>
        <v>4.7876966783122032E-4</v>
      </c>
      <c r="CN139" s="22">
        <f t="shared" si="120"/>
        <v>113.42850320911705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266.99999999999983</v>
      </c>
      <c r="CU139" s="17">
        <f>CT139*VLOOKUP('Données projet'!$B$13,Paramètres!$A$1:$I$89,3,0)*VLOOKUP('Données projet'!$B$13,Paramètres!$A$1:$I$89,5,0)</f>
        <v>195.76439999999985</v>
      </c>
      <c r="CV139" s="13">
        <f t="shared" si="149"/>
        <v>48.812154563023455</v>
      </c>
      <c r="CW139" s="20">
        <f t="shared" si="121"/>
        <v>425.9708325305989</v>
      </c>
      <c r="CX139" s="59">
        <f t="shared" si="122"/>
        <v>719.30416586393221</v>
      </c>
      <c r="CY139" s="59">
        <f ca="1">AVERAGE(OFFSET($CX$3,0,0,'Données projet'!$E$13+1,1))-AVERAGE(OFFSET($H$3,0,0,'Données projet'!$E$13+1,1))</f>
        <v>198.78436129430389</v>
      </c>
      <c r="CZ139" s="59">
        <f t="shared" si="150"/>
        <v>198.28846462484438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7.1012349646469834</v>
      </c>
      <c r="DG139" s="21">
        <f>EXP(-LN(2)/25)*DG138+(1-EXP(-LN(2)/25))/(LN(2)/25)*Calculateur!DB139*Calculateur!DD139*VLOOKUP('Données projet'!$B$13,Paramètres!$A$1:$I$89,3,0)*0.475*44/12</f>
        <v>1.3182621397581697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8.4194971044051528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274.57619581652199</v>
      </c>
      <c r="T140" s="59">
        <f t="shared" si="142"/>
        <v>366.15117322598775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111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278.21846622758881</v>
      </c>
      <c r="AO140" s="59">
        <f t="shared" si="144"/>
        <v>245.37578316242906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-2.8421709430404007E-13</v>
      </c>
      <c r="BE140" s="13">
        <f>BD140*VLOOKUP('Données projet'!$B$11,Paramètres!$A$1:$I$89,3,0)*VLOOKUP('Données projet'!$B$11,Paramètres!$A$1:$I$89,5,0)</f>
        <v>-1.69961822393816E-13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187.18641061466138</v>
      </c>
      <c r="BJ140" s="59">
        <f t="shared" si="146"/>
        <v>143.07246221325369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60.546917702797693</v>
      </c>
      <c r="BQ140" s="21">
        <f>EXP(-LN(2)/25)*BQ139+(1-EXP(-LN(2)/25))/(LN(2)/25)*Calculateur!BL140*Calculateur!BN140*VLOOKUP('Données projet'!$B$11,Paramètres!$A$1:$I$89,3,0)*0.475*44/12</f>
        <v>13.900757360368104</v>
      </c>
      <c r="BR140" s="21">
        <f>EXP(-LN(2)/2)*BR139+(1-EXP(-LN(2)/2))/(LN(2)/2)*BL140*BO140*VLOOKUP('Données projet'!$B$11,Paramètres!$A$1:$I$89,3,0)*0.475*44/12</f>
        <v>1.3848936325599987E-4</v>
      </c>
      <c r="BS140" s="22">
        <f t="shared" si="117"/>
        <v>74.447813552529055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3.4106051316484809E-13</v>
      </c>
      <c r="BZ140" s="13">
        <f>BY140*VLOOKUP('Données projet'!$B$12,Paramètres!$A$1:$I$89,3,0)*VLOOKUP('Données projet'!$B$12,Paramètres!$A$1:$I$89,5,0)</f>
        <v>1.5961632016114892E-13</v>
      </c>
      <c r="CA140" s="13">
        <f t="shared" si="147"/>
        <v>2.2708641912150958E-12</v>
      </c>
      <c r="CB140" s="20">
        <f t="shared" si="118"/>
        <v>4.2330868906469593E-12</v>
      </c>
      <c r="CC140" s="59">
        <f t="shared" si="119"/>
        <v>293.33333333333752</v>
      </c>
      <c r="CD140" s="59">
        <f ca="1">AVERAGE(OFFSET($CC$3,0,0,'Données projet'!$E$12+1,1))-AVERAGE(OFFSET($H$3,0,0,'Données projet'!$E$12+1,1))</f>
        <v>198.17898804494365</v>
      </c>
      <c r="CE140" s="59">
        <f t="shared" si="148"/>
        <v>186.24772922797723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92.973378664087079</v>
      </c>
      <c r="CL140" s="21">
        <f>EXP(-LN(2)/25)*CL139+(1-EXP(-LN(2)/25))/(LN(2)/25)*Calculateur!CG140*Calculateur!CI140*VLOOKUP('Données projet'!$B$12,Paramètres!$A$1:$I$89,3,0)*0.475*44/12</f>
        <v>18.086546534671196</v>
      </c>
      <c r="CM140" s="21">
        <f>EXP(-LN(2)/2)*CM139+(1-EXP(-LN(2)/2))/(LN(2)/2)*CG140*CJ140*VLOOKUP('Données projet'!$B$12,Paramètres!$A$1:$I$89,3,0)*0.475*44/12</f>
        <v>3.3854127874988676E-4</v>
      </c>
      <c r="CN140" s="22">
        <f t="shared" si="120"/>
        <v>111.06026374003703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266.99999999999983</v>
      </c>
      <c r="CU140" s="17">
        <f>CT140*VLOOKUP('Données projet'!$B$13,Paramètres!$A$1:$I$89,3,0)*VLOOKUP('Données projet'!$B$13,Paramètres!$A$1:$I$89,5,0)</f>
        <v>195.76439999999985</v>
      </c>
      <c r="CV140" s="13">
        <f t="shared" si="149"/>
        <v>48.812154563023455</v>
      </c>
      <c r="CW140" s="20">
        <f t="shared" si="121"/>
        <v>425.9708325305989</v>
      </c>
      <c r="CX140" s="59">
        <f t="shared" si="122"/>
        <v>719.30416586393221</v>
      </c>
      <c r="CY140" s="59">
        <f ca="1">AVERAGE(OFFSET($CX$3,0,0,'Données projet'!$E$13+1,1))-AVERAGE(OFFSET($H$3,0,0,'Données projet'!$E$13+1,1))</f>
        <v>198.78436129430389</v>
      </c>
      <c r="CZ140" s="59">
        <f t="shared" si="150"/>
        <v>198.28846462484438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6.9619840783159015</v>
      </c>
      <c r="DG140" s="21">
        <f>EXP(-LN(2)/25)*DG139+(1-EXP(-LN(2)/25))/(LN(2)/25)*Calculateur!DB140*Calculateur!DD140*VLOOKUP('Données projet'!$B$13,Paramètres!$A$1:$I$89,3,0)*0.475*44/12</f>
        <v>1.2822141922220895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8.244198270537991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274.57619581652199</v>
      </c>
      <c r="T141" s="59">
        <f t="shared" si="142"/>
        <v>366.15117322598775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111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278.21846622758881</v>
      </c>
      <c r="AO141" s="59">
        <f t="shared" si="144"/>
        <v>245.37578316242906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-2.8421709430404007E-13</v>
      </c>
      <c r="BE141" s="13">
        <f>BD141*VLOOKUP('Données projet'!$B$11,Paramètres!$A$1:$I$89,3,0)*VLOOKUP('Données projet'!$B$11,Paramètres!$A$1:$I$89,5,0)</f>
        <v>-1.69961822393816E-13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187.18641061466138</v>
      </c>
      <c r="BJ141" s="59">
        <f t="shared" si="146"/>
        <v>143.07246221325369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59.359629576619099</v>
      </c>
      <c r="BQ141" s="21">
        <f>EXP(-LN(2)/25)*BQ140+(1-EXP(-LN(2)/25))/(LN(2)/25)*Calculateur!BL141*Calculateur!BN141*VLOOKUP('Données projet'!$B$11,Paramètres!$A$1:$I$89,3,0)*0.475*44/12</f>
        <v>13.520640419339779</v>
      </c>
      <c r="BR141" s="21">
        <f>EXP(-LN(2)/2)*BR140+(1-EXP(-LN(2)/2))/(LN(2)/2)*BL141*BO141*VLOOKUP('Données projet'!$B$11,Paramètres!$A$1:$I$89,3,0)*0.475*44/12</f>
        <v>9.7926767880524598E-5</v>
      </c>
      <c r="BS141" s="22">
        <f t="shared" si="117"/>
        <v>72.880367922726762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3.4106051316484809E-13</v>
      </c>
      <c r="BZ141" s="13">
        <f>BY141*VLOOKUP('Données projet'!$B$12,Paramètres!$A$1:$I$89,3,0)*VLOOKUP('Données projet'!$B$12,Paramètres!$A$1:$I$89,5,0)</f>
        <v>1.5961632016114892E-13</v>
      </c>
      <c r="CA141" s="13">
        <f t="shared" si="147"/>
        <v>2.2708641912150958E-12</v>
      </c>
      <c r="CB141" s="20">
        <f t="shared" si="118"/>
        <v>4.2330868906469593E-12</v>
      </c>
      <c r="CC141" s="59">
        <f t="shared" si="119"/>
        <v>293.33333333333752</v>
      </c>
      <c r="CD141" s="59">
        <f ca="1">AVERAGE(OFFSET($CC$3,0,0,'Données projet'!$E$12+1,1))-AVERAGE(OFFSET($H$3,0,0,'Données projet'!$E$12+1,1))</f>
        <v>198.17898804494365</v>
      </c>
      <c r="CE141" s="59">
        <f t="shared" si="148"/>
        <v>186.24772922797723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91.150227416645848</v>
      </c>
      <c r="CL141" s="21">
        <f>EXP(-LN(2)/25)*CL140+(1-EXP(-LN(2)/25))/(LN(2)/25)*Calculateur!CG141*Calculateur!CI141*VLOOKUP('Données projet'!$B$12,Paramètres!$A$1:$I$89,3,0)*0.475*44/12</f>
        <v>17.591968968550468</v>
      </c>
      <c r="CM141" s="21">
        <f>EXP(-LN(2)/2)*CM140+(1-EXP(-LN(2)/2))/(LN(2)/2)*CG141*CJ141*VLOOKUP('Données projet'!$B$12,Paramètres!$A$1:$I$89,3,0)*0.475*44/12</f>
        <v>2.3938483391561019E-4</v>
      </c>
      <c r="CN141" s="22">
        <f t="shared" si="120"/>
        <v>108.74243577003023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266.99999999999983</v>
      </c>
      <c r="CU141" s="17">
        <f>CT141*VLOOKUP('Données projet'!$B$13,Paramètres!$A$1:$I$89,3,0)*VLOOKUP('Données projet'!$B$13,Paramètres!$A$1:$I$89,5,0)</f>
        <v>195.76439999999985</v>
      </c>
      <c r="CV141" s="13">
        <f t="shared" si="149"/>
        <v>48.812154563023455</v>
      </c>
      <c r="CW141" s="20">
        <f t="shared" si="121"/>
        <v>425.9708325305989</v>
      </c>
      <c r="CX141" s="59">
        <f t="shared" si="122"/>
        <v>719.30416586393221</v>
      </c>
      <c r="CY141" s="59">
        <f ca="1">AVERAGE(OFFSET($CX$3,0,0,'Données projet'!$E$13+1,1))-AVERAGE(OFFSET($H$3,0,0,'Données projet'!$E$13+1,1))</f>
        <v>198.78436129430389</v>
      </c>
      <c r="CZ141" s="59">
        <f t="shared" si="150"/>
        <v>198.28846462484438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6.8254638169311184</v>
      </c>
      <c r="DG141" s="21">
        <f>EXP(-LN(2)/25)*DG140+(1-EXP(-LN(2)/25))/(LN(2)/25)*Calculateur!DB141*Calculateur!DD141*VLOOKUP('Données projet'!$B$13,Paramètres!$A$1:$I$89,3,0)*0.475*44/12</f>
        <v>1.2471519777070628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8.0726157946381818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274.57619581652199</v>
      </c>
      <c r="T142" s="59">
        <f t="shared" si="142"/>
        <v>366.15117322598775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111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278.21846622758881</v>
      </c>
      <c r="AO142" s="59">
        <f t="shared" si="144"/>
        <v>245.37578316242906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-2.8421709430404007E-13</v>
      </c>
      <c r="BE142" s="13">
        <f>BD142*VLOOKUP('Données projet'!$B$11,Paramètres!$A$1:$I$89,3,0)*VLOOKUP('Données projet'!$B$11,Paramètres!$A$1:$I$89,5,0)</f>
        <v>-1.69961822393816E-13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187.18641061466138</v>
      </c>
      <c r="BJ142" s="59">
        <f t="shared" si="146"/>
        <v>143.07246221325369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58.195623446420612</v>
      </c>
      <c r="BQ142" s="21">
        <f>EXP(-LN(2)/25)*BQ141+(1-EXP(-LN(2)/25))/(LN(2)/25)*Calculateur!BL142*Calculateur!BN142*VLOOKUP('Données projet'!$B$11,Paramètres!$A$1:$I$89,3,0)*0.475*44/12</f>
        <v>13.150917796053355</v>
      </c>
      <c r="BR142" s="21">
        <f>EXP(-LN(2)/2)*BR141+(1-EXP(-LN(2)/2))/(LN(2)/2)*BL142*BO142*VLOOKUP('Données projet'!$B$11,Paramètres!$A$1:$I$89,3,0)*0.475*44/12</f>
        <v>6.9244681627999937E-5</v>
      </c>
      <c r="BS142" s="22">
        <f t="shared" si="117"/>
        <v>71.346610487155587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3.4106051316484809E-13</v>
      </c>
      <c r="BZ142" s="13">
        <f>BY142*VLOOKUP('Données projet'!$B$12,Paramètres!$A$1:$I$89,3,0)*VLOOKUP('Données projet'!$B$12,Paramètres!$A$1:$I$89,5,0)</f>
        <v>1.5961632016114892E-13</v>
      </c>
      <c r="CA142" s="13">
        <f t="shared" si="147"/>
        <v>2.2708641912150958E-12</v>
      </c>
      <c r="CB142" s="20">
        <f t="shared" si="118"/>
        <v>4.2330868906469593E-12</v>
      </c>
      <c r="CC142" s="59">
        <f t="shared" si="119"/>
        <v>293.33333333333752</v>
      </c>
      <c r="CD142" s="59">
        <f ca="1">AVERAGE(OFFSET($CC$3,0,0,'Données projet'!$E$12+1,1))-AVERAGE(OFFSET($H$3,0,0,'Données projet'!$E$12+1,1))</f>
        <v>198.17898804494365</v>
      </c>
      <c r="CE142" s="59">
        <f t="shared" si="148"/>
        <v>186.24772922797723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89.36282705315449</v>
      </c>
      <c r="CL142" s="21">
        <f>EXP(-LN(2)/25)*CL141+(1-EXP(-LN(2)/25))/(LN(2)/25)*Calculateur!CG142*Calculateur!CI142*VLOOKUP('Données projet'!$B$12,Paramètres!$A$1:$I$89,3,0)*0.475*44/12</f>
        <v>17.110915651984016</v>
      </c>
      <c r="CM142" s="21">
        <f>EXP(-LN(2)/2)*CM141+(1-EXP(-LN(2)/2))/(LN(2)/2)*CG142*CJ142*VLOOKUP('Données projet'!$B$12,Paramètres!$A$1:$I$89,3,0)*0.475*44/12</f>
        <v>1.6927063937494341E-4</v>
      </c>
      <c r="CN142" s="22">
        <f t="shared" si="120"/>
        <v>106.47391197577788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266.99999999999983</v>
      </c>
      <c r="CU142" s="17">
        <f>CT142*VLOOKUP('Données projet'!$B$13,Paramètres!$A$1:$I$89,3,0)*VLOOKUP('Données projet'!$B$13,Paramètres!$A$1:$I$89,5,0)</f>
        <v>195.76439999999985</v>
      </c>
      <c r="CV142" s="13">
        <f t="shared" si="149"/>
        <v>48.812154563023455</v>
      </c>
      <c r="CW142" s="20">
        <f t="shared" si="121"/>
        <v>425.9708325305989</v>
      </c>
      <c r="CX142" s="59">
        <f t="shared" si="122"/>
        <v>719.30416586393221</v>
      </c>
      <c r="CY142" s="59">
        <f ca="1">AVERAGE(OFFSET($CX$3,0,0,'Données projet'!$E$13+1,1))-AVERAGE(OFFSET($H$3,0,0,'Données projet'!$E$13+1,1))</f>
        <v>198.78436129430389</v>
      </c>
      <c r="CZ142" s="59">
        <f t="shared" si="150"/>
        <v>198.28846462484438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6.6916206346029536</v>
      </c>
      <c r="DG142" s="21">
        <f>EXP(-LN(2)/25)*DG141+(1-EXP(-LN(2)/25))/(LN(2)/25)*Calculateur!DB142*Calculateur!DD142*VLOOKUP('Données projet'!$B$13,Paramètres!$A$1:$I$89,3,0)*0.475*44/12</f>
        <v>1.2130485412917911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7.9046691758947443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274.57619581652199</v>
      </c>
      <c r="T143" s="59">
        <f t="shared" si="142"/>
        <v>366.15117322598775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111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278.21846622758881</v>
      </c>
      <c r="AO143" s="59">
        <f t="shared" si="144"/>
        <v>245.37578316242906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-2.8421709430404007E-13</v>
      </c>
      <c r="BE143" s="13">
        <f>BD143*VLOOKUP('Données projet'!$B$11,Paramètres!$A$1:$I$89,3,0)*VLOOKUP('Données projet'!$B$11,Paramètres!$A$1:$I$89,5,0)</f>
        <v>-1.69961822393816E-13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187.18641061466138</v>
      </c>
      <c r="BJ143" s="59">
        <f t="shared" si="146"/>
        <v>143.07246221325369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57.054442766461683</v>
      </c>
      <c r="BQ143" s="21">
        <f>EXP(-LN(2)/25)*BQ142+(1-EXP(-LN(2)/25))/(LN(2)/25)*Calculateur!BL143*Calculateur!BN143*VLOOKUP('Données projet'!$B$11,Paramètres!$A$1:$I$89,3,0)*0.475*44/12</f>
        <v>12.791305257343565</v>
      </c>
      <c r="BR143" s="21">
        <f>EXP(-LN(2)/2)*BR142+(1-EXP(-LN(2)/2))/(LN(2)/2)*BL143*BO143*VLOOKUP('Données projet'!$B$11,Paramètres!$A$1:$I$89,3,0)*0.475*44/12</f>
        <v>4.8963383940262299E-5</v>
      </c>
      <c r="BS143" s="22">
        <f t="shared" si="117"/>
        <v>69.845796987189189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3.4106051316484809E-13</v>
      </c>
      <c r="BZ143" s="13">
        <f>BY143*VLOOKUP('Données projet'!$B$12,Paramètres!$A$1:$I$89,3,0)*VLOOKUP('Données projet'!$B$12,Paramètres!$A$1:$I$89,5,0)</f>
        <v>1.5961632016114892E-13</v>
      </c>
      <c r="CA143" s="13">
        <f t="shared" si="147"/>
        <v>2.2708641912150958E-12</v>
      </c>
      <c r="CB143" s="20">
        <f t="shared" si="118"/>
        <v>4.2330868906469593E-12</v>
      </c>
      <c r="CC143" s="59">
        <f t="shared" si="119"/>
        <v>293.33333333333752</v>
      </c>
      <c r="CD143" s="59">
        <f ca="1">AVERAGE(OFFSET($CC$3,0,0,'Données projet'!$E$12+1,1))-AVERAGE(OFFSET($H$3,0,0,'Données projet'!$E$12+1,1))</f>
        <v>198.17898804494365</v>
      </c>
      <c r="CE143" s="59">
        <f t="shared" si="148"/>
        <v>186.24772922797723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87.610476520584612</v>
      </c>
      <c r="CL143" s="21">
        <f>EXP(-LN(2)/25)*CL142+(1-EXP(-LN(2)/25))/(LN(2)/25)*Calculateur!CG143*Calculateur!CI143*VLOOKUP('Données projet'!$B$12,Paramètres!$A$1:$I$89,3,0)*0.475*44/12</f>
        <v>16.643016763656565</v>
      </c>
      <c r="CM143" s="21">
        <f>EXP(-LN(2)/2)*CM142+(1-EXP(-LN(2)/2))/(LN(2)/2)*CG143*CJ143*VLOOKUP('Données projet'!$B$12,Paramètres!$A$1:$I$89,3,0)*0.475*44/12</f>
        <v>1.1969241695780511E-4</v>
      </c>
      <c r="CN143" s="22">
        <f t="shared" si="120"/>
        <v>104.25361297665813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266.99999999999983</v>
      </c>
      <c r="CU143" s="17">
        <f>CT143*VLOOKUP('Données projet'!$B$13,Paramètres!$A$1:$I$89,3,0)*VLOOKUP('Données projet'!$B$13,Paramètres!$A$1:$I$89,5,0)</f>
        <v>195.76439999999985</v>
      </c>
      <c r="CV143" s="13">
        <f t="shared" si="149"/>
        <v>48.812154563023455</v>
      </c>
      <c r="CW143" s="20">
        <f t="shared" si="121"/>
        <v>425.9708325305989</v>
      </c>
      <c r="CX143" s="59">
        <f t="shared" si="122"/>
        <v>719.30416586393221</v>
      </c>
      <c r="CY143" s="59">
        <f ca="1">AVERAGE(OFFSET($CX$3,0,0,'Données projet'!$E$13+1,1))-AVERAGE(OFFSET($H$3,0,0,'Données projet'!$E$13+1,1))</f>
        <v>198.78436129430389</v>
      </c>
      <c r="CZ143" s="59">
        <f t="shared" si="150"/>
        <v>198.28846462484438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6.5604020354439632</v>
      </c>
      <c r="DG143" s="21">
        <f>EXP(-LN(2)/25)*DG142+(1-EXP(-LN(2)/25))/(LN(2)/25)*Calculateur!DB143*Calculateur!DD143*VLOOKUP('Données projet'!$B$13,Paramètres!$A$1:$I$89,3,0)*0.475*44/12</f>
        <v>1.1798776651387166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7.74027970058268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274.57619581652199</v>
      </c>
      <c r="T144" s="59">
        <f t="shared" si="142"/>
        <v>366.15117322598775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111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278.21846622758881</v>
      </c>
      <c r="AO144" s="59">
        <f t="shared" si="144"/>
        <v>245.37578316242906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-2.8421709430404007E-13</v>
      </c>
      <c r="BE144" s="13">
        <f>BD144*VLOOKUP('Données projet'!$B$11,Paramètres!$A$1:$I$89,3,0)*VLOOKUP('Données projet'!$B$11,Paramètres!$A$1:$I$89,5,0)</f>
        <v>-1.69961822393816E-13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187.18641061466138</v>
      </c>
      <c r="BJ144" s="59">
        <f t="shared" si="146"/>
        <v>143.07246221325369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55.935639943585265</v>
      </c>
      <c r="BQ144" s="21">
        <f>EXP(-LN(2)/25)*BQ143+(1-EXP(-LN(2)/25))/(LN(2)/25)*Calculateur!BL144*Calculateur!BN144*VLOOKUP('Données projet'!$B$11,Paramètres!$A$1:$I$89,3,0)*0.475*44/12</f>
        <v>12.441526342415996</v>
      </c>
      <c r="BR144" s="21">
        <f>EXP(-LN(2)/2)*BR143+(1-EXP(-LN(2)/2))/(LN(2)/2)*BL144*BO144*VLOOKUP('Données projet'!$B$11,Paramètres!$A$1:$I$89,3,0)*0.475*44/12</f>
        <v>3.4622340813999968E-5</v>
      </c>
      <c r="BS144" s="22">
        <f t="shared" si="117"/>
        <v>68.377200908342076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3.4106051316484809E-13</v>
      </c>
      <c r="BZ144" s="13">
        <f>BY144*VLOOKUP('Données projet'!$B$12,Paramètres!$A$1:$I$89,3,0)*VLOOKUP('Données projet'!$B$12,Paramètres!$A$1:$I$89,5,0)</f>
        <v>1.5961632016114892E-13</v>
      </c>
      <c r="CA144" s="13">
        <f t="shared" si="147"/>
        <v>2.2708641912150958E-12</v>
      </c>
      <c r="CB144" s="20">
        <f t="shared" si="118"/>
        <v>4.2330868906469593E-12</v>
      </c>
      <c r="CC144" s="59">
        <f t="shared" si="119"/>
        <v>293.33333333333752</v>
      </c>
      <c r="CD144" s="59">
        <f ca="1">AVERAGE(OFFSET($CC$3,0,0,'Données projet'!$E$12+1,1))-AVERAGE(OFFSET($H$3,0,0,'Données projet'!$E$12+1,1))</f>
        <v>198.17898804494365</v>
      </c>
      <c r="CE144" s="59">
        <f t="shared" si="148"/>
        <v>186.24772922797723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85.892488513130147</v>
      </c>
      <c r="CL144" s="21">
        <f>EXP(-LN(2)/25)*CL143+(1-EXP(-LN(2)/25))/(LN(2)/25)*Calculateur!CG144*Calculateur!CI144*VLOOKUP('Données projet'!$B$12,Paramètres!$A$1:$I$89,3,0)*0.475*44/12</f>
        <v>16.187912595036163</v>
      </c>
      <c r="CM144" s="21">
        <f>EXP(-LN(2)/2)*CM143+(1-EXP(-LN(2)/2))/(LN(2)/2)*CG144*CJ144*VLOOKUP('Données projet'!$B$12,Paramètres!$A$1:$I$89,3,0)*0.475*44/12</f>
        <v>8.4635319687471718E-5</v>
      </c>
      <c r="CN144" s="22">
        <f t="shared" si="120"/>
        <v>102.08048574348599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266.99999999999983</v>
      </c>
      <c r="CU144" s="17">
        <f>CT144*VLOOKUP('Données projet'!$B$13,Paramètres!$A$1:$I$89,3,0)*VLOOKUP('Données projet'!$B$13,Paramètres!$A$1:$I$89,5,0)</f>
        <v>195.76439999999985</v>
      </c>
      <c r="CV144" s="13">
        <f t="shared" si="149"/>
        <v>48.812154563023455</v>
      </c>
      <c r="CW144" s="20">
        <f t="shared" si="121"/>
        <v>425.9708325305989</v>
      </c>
      <c r="CX144" s="59">
        <f t="shared" si="122"/>
        <v>719.30416586393221</v>
      </c>
      <c r="CY144" s="59">
        <f ca="1">AVERAGE(OFFSET($CX$3,0,0,'Données projet'!$E$13+1,1))-AVERAGE(OFFSET($H$3,0,0,'Données projet'!$E$13+1,1))</f>
        <v>198.78436129430389</v>
      </c>
      <c r="CZ144" s="59">
        <f t="shared" si="150"/>
        <v>198.28846462484438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6.4317565529790386</v>
      </c>
      <c r="DG144" s="21">
        <f>EXP(-LN(2)/25)*DG143+(1-EXP(-LN(2)/25))/(LN(2)/25)*Calculateur!DB144*Calculateur!DD144*VLOOKUP('Données projet'!$B$13,Paramètres!$A$1:$I$89,3,0)*0.475*44/12</f>
        <v>1.1476138483384286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7.5793704013174672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274.57619581652199</v>
      </c>
      <c r="T145" s="59">
        <f t="shared" si="142"/>
        <v>366.15117322598775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111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278.21846622758881</v>
      </c>
      <c r="AO145" s="59">
        <f t="shared" si="144"/>
        <v>245.37578316242906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-2.8421709430404007E-13</v>
      </c>
      <c r="BE145" s="13">
        <f>BD145*VLOOKUP('Données projet'!$B$11,Paramètres!$A$1:$I$89,3,0)*VLOOKUP('Données projet'!$B$11,Paramètres!$A$1:$I$89,5,0)</f>
        <v>-1.69961822393816E-13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187.18641061466138</v>
      </c>
      <c r="BJ145" s="59">
        <f t="shared" si="146"/>
        <v>143.07246221325369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54.838776161663112</v>
      </c>
      <c r="BQ145" s="21">
        <f>EXP(-LN(2)/25)*BQ144+(1-EXP(-LN(2)/25))/(LN(2)/25)*Calculateur!BL145*Calculateur!BN145*VLOOKUP('Données projet'!$B$11,Paramètres!$A$1:$I$89,3,0)*0.475*44/12</f>
        <v>12.101312150311195</v>
      </c>
      <c r="BR145" s="21">
        <f>EXP(-LN(2)/2)*BR144+(1-EXP(-LN(2)/2))/(LN(2)/2)*BL145*BO145*VLOOKUP('Données projet'!$B$11,Paramètres!$A$1:$I$89,3,0)*0.475*44/12</f>
        <v>2.448169197013115E-5</v>
      </c>
      <c r="BS145" s="22">
        <f t="shared" si="117"/>
        <v>66.940112793666273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3.4106051316484809E-13</v>
      </c>
      <c r="BZ145" s="13">
        <f>BY145*VLOOKUP('Données projet'!$B$12,Paramètres!$A$1:$I$89,3,0)*VLOOKUP('Données projet'!$B$12,Paramètres!$A$1:$I$89,5,0)</f>
        <v>1.5961632016114892E-13</v>
      </c>
      <c r="CA145" s="13">
        <f t="shared" si="147"/>
        <v>2.2708641912150958E-12</v>
      </c>
      <c r="CB145" s="20">
        <f t="shared" si="118"/>
        <v>4.2330868906469593E-12</v>
      </c>
      <c r="CC145" s="59">
        <f t="shared" si="119"/>
        <v>293.33333333333752</v>
      </c>
      <c r="CD145" s="59">
        <f ca="1">AVERAGE(OFFSET($CC$3,0,0,'Données projet'!$E$12+1,1))-AVERAGE(OFFSET($H$3,0,0,'Données projet'!$E$12+1,1))</f>
        <v>198.17898804494365</v>
      </c>
      <c r="CE145" s="59">
        <f t="shared" si="148"/>
        <v>186.24772922797723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84.208189202632653</v>
      </c>
      <c r="CL145" s="21">
        <f>EXP(-LN(2)/25)*CL144+(1-EXP(-LN(2)/25))/(LN(2)/25)*Calculateur!CG145*Calculateur!CI145*VLOOKUP('Données projet'!$B$12,Paramètres!$A$1:$I$89,3,0)*0.475*44/12</f>
        <v>15.745253273839573</v>
      </c>
      <c r="CM145" s="21">
        <f>EXP(-LN(2)/2)*CM144+(1-EXP(-LN(2)/2))/(LN(2)/2)*CG145*CJ145*VLOOKUP('Données projet'!$B$12,Paramètres!$A$1:$I$89,3,0)*0.475*44/12</f>
        <v>5.9846208478902567E-5</v>
      </c>
      <c r="CN145" s="22">
        <f t="shared" si="120"/>
        <v>99.953502322680691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266.99999999999983</v>
      </c>
      <c r="CU145" s="17">
        <f>CT145*VLOOKUP('Données projet'!$B$13,Paramètres!$A$1:$I$89,3,0)*VLOOKUP('Données projet'!$B$13,Paramètres!$A$1:$I$89,5,0)</f>
        <v>195.76439999999985</v>
      </c>
      <c r="CV145" s="13">
        <f t="shared" si="149"/>
        <v>48.812154563023455</v>
      </c>
      <c r="CW145" s="20">
        <f t="shared" si="121"/>
        <v>425.9708325305989</v>
      </c>
      <c r="CX145" s="59">
        <f t="shared" si="122"/>
        <v>719.30416586393221</v>
      </c>
      <c r="CY145" s="59">
        <f ca="1">AVERAGE(OFFSET($CX$3,0,0,'Données projet'!$E$13+1,1))-AVERAGE(OFFSET($H$3,0,0,'Données projet'!$E$13+1,1))</f>
        <v>198.78436129430389</v>
      </c>
      <c r="CZ145" s="59">
        <f t="shared" si="150"/>
        <v>198.28846462484438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6.3056337299592542</v>
      </c>
      <c r="DG145" s="21">
        <f>EXP(-LN(2)/25)*DG144+(1-EXP(-LN(2)/25))/(LN(2)/25)*Calculateur!DB145*Calculateur!DD145*VLOOKUP('Données projet'!$B$13,Paramètres!$A$1:$I$89,3,0)*0.475*44/12</f>
        <v>1.1162322873052248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7.4218660172644793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274.57619581652199</v>
      </c>
      <c r="T146" s="59">
        <f t="shared" si="142"/>
        <v>366.15117322598775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111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278.21846622758881</v>
      </c>
      <c r="AO146" s="59">
        <f t="shared" si="144"/>
        <v>245.37578316242906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-2.8421709430404007E-13</v>
      </c>
      <c r="BE146" s="13">
        <f>BD146*VLOOKUP('Données projet'!$B$11,Paramètres!$A$1:$I$89,3,0)*VLOOKUP('Données projet'!$B$11,Paramètres!$A$1:$I$89,5,0)</f>
        <v>-1.69961822393816E-13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187.18641061466138</v>
      </c>
      <c r="BJ146" s="59">
        <f t="shared" si="146"/>
        <v>143.07246221325369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53.76342120948361</v>
      </c>
      <c r="BQ146" s="21">
        <f>EXP(-LN(2)/25)*BQ145+(1-EXP(-LN(2)/25))/(LN(2)/25)*Calculateur!BL146*Calculateur!BN146*VLOOKUP('Données projet'!$B$11,Paramètres!$A$1:$I$89,3,0)*0.475*44/12</f>
        <v>11.770401133180586</v>
      </c>
      <c r="BR146" s="21">
        <f>EXP(-LN(2)/2)*BR145+(1-EXP(-LN(2)/2))/(LN(2)/2)*BL146*BO146*VLOOKUP('Données projet'!$B$11,Paramètres!$A$1:$I$89,3,0)*0.475*44/12</f>
        <v>1.7311170406999984E-5</v>
      </c>
      <c r="BS146" s="22">
        <f t="shared" si="117"/>
        <v>65.533839653834605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3.4106051316484809E-13</v>
      </c>
      <c r="BZ146" s="13">
        <f>BY146*VLOOKUP('Données projet'!$B$12,Paramètres!$A$1:$I$89,3,0)*VLOOKUP('Données projet'!$B$12,Paramètres!$A$1:$I$89,5,0)</f>
        <v>1.5961632016114892E-13</v>
      </c>
      <c r="CA146" s="13">
        <f t="shared" si="147"/>
        <v>2.2708641912150958E-12</v>
      </c>
      <c r="CB146" s="20">
        <f t="shared" si="118"/>
        <v>4.2330868906469593E-12</v>
      </c>
      <c r="CC146" s="59">
        <f t="shared" si="119"/>
        <v>293.33333333333752</v>
      </c>
      <c r="CD146" s="59">
        <f ca="1">AVERAGE(OFFSET($CC$3,0,0,'Données projet'!$E$12+1,1))-AVERAGE(OFFSET($H$3,0,0,'Données projet'!$E$12+1,1))</f>
        <v>198.17898804494365</v>
      </c>
      <c r="CE146" s="59">
        <f t="shared" si="148"/>
        <v>186.24772922797723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82.556917974292872</v>
      </c>
      <c r="CL146" s="21">
        <f>EXP(-LN(2)/25)*CL145+(1-EXP(-LN(2)/25))/(LN(2)/25)*Calculateur!CG146*Calculateur!CI146*VLOOKUP('Données projet'!$B$12,Paramètres!$A$1:$I$89,3,0)*0.475*44/12</f>
        <v>15.314698495059547</v>
      </c>
      <c r="CM146" s="21">
        <f>EXP(-LN(2)/2)*CM145+(1-EXP(-LN(2)/2))/(LN(2)/2)*CG146*CJ146*VLOOKUP('Données projet'!$B$12,Paramètres!$A$1:$I$89,3,0)*0.475*44/12</f>
        <v>4.2317659843735866E-5</v>
      </c>
      <c r="CN146" s="22">
        <f t="shared" si="120"/>
        <v>97.871658787012265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266.99999999999983</v>
      </c>
      <c r="CU146" s="17">
        <f>CT146*VLOOKUP('Données projet'!$B$13,Paramètres!$A$1:$I$89,3,0)*VLOOKUP('Données projet'!$B$13,Paramètres!$A$1:$I$89,5,0)</f>
        <v>195.76439999999985</v>
      </c>
      <c r="CV146" s="13">
        <f t="shared" si="149"/>
        <v>48.812154563023455</v>
      </c>
      <c r="CW146" s="20">
        <f t="shared" si="121"/>
        <v>425.9708325305989</v>
      </c>
      <c r="CX146" s="59">
        <f t="shared" si="122"/>
        <v>719.30416586393221</v>
      </c>
      <c r="CY146" s="59">
        <f ca="1">AVERAGE(OFFSET($CX$3,0,0,'Données projet'!$E$13+1,1))-AVERAGE(OFFSET($H$3,0,0,'Données projet'!$E$13+1,1))</f>
        <v>198.78436129430389</v>
      </c>
      <c r="CZ146" s="59">
        <f t="shared" si="150"/>
        <v>198.28846462484438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6.1819840985715615</v>
      </c>
      <c r="DG146" s="21">
        <f>EXP(-LN(2)/25)*DG145+(1-EXP(-LN(2)/25))/(LN(2)/25)*Calculateur!DB146*Calculateur!DD146*VLOOKUP('Données projet'!$B$13,Paramètres!$A$1:$I$89,3,0)*0.475*44/12</f>
        <v>1.0857088567087587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7.26769295528032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274.57619581652199</v>
      </c>
      <c r="T147" s="59">
        <f t="shared" si="142"/>
        <v>366.15117322598775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111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278.21846622758881</v>
      </c>
      <c r="AO147" s="59">
        <f t="shared" si="144"/>
        <v>245.37578316242906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-2.8421709430404007E-13</v>
      </c>
      <c r="BE147" s="13">
        <f>BD147*VLOOKUP('Données projet'!$B$11,Paramètres!$A$1:$I$89,3,0)*VLOOKUP('Données projet'!$B$11,Paramètres!$A$1:$I$89,5,0)</f>
        <v>-1.69961822393816E-13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187.18641061466138</v>
      </c>
      <c r="BJ147" s="59">
        <f t="shared" si="146"/>
        <v>143.07246221325369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52.709153312014585</v>
      </c>
      <c r="BQ147" s="21">
        <f>EXP(-LN(2)/25)*BQ146+(1-EXP(-LN(2)/25))/(LN(2)/25)*Calculateur!BL147*Calculateur!BN147*VLOOKUP('Données projet'!$B$11,Paramètres!$A$1:$I$89,3,0)*0.475*44/12</f>
        <v>11.448538895215268</v>
      </c>
      <c r="BR147" s="21">
        <f>EXP(-LN(2)/2)*BR146+(1-EXP(-LN(2)/2))/(LN(2)/2)*BL147*BO147*VLOOKUP('Données projet'!$B$11,Paramètres!$A$1:$I$89,3,0)*0.475*44/12</f>
        <v>1.2240845985065575E-5</v>
      </c>
      <c r="BS147" s="22">
        <f t="shared" si="117"/>
        <v>64.157704448075847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3.4106051316484809E-13</v>
      </c>
      <c r="BZ147" s="13">
        <f>BY147*VLOOKUP('Données projet'!$B$12,Paramètres!$A$1:$I$89,3,0)*VLOOKUP('Données projet'!$B$12,Paramètres!$A$1:$I$89,5,0)</f>
        <v>1.5961632016114892E-13</v>
      </c>
      <c r="CA147" s="13">
        <f t="shared" si="147"/>
        <v>2.2708641912150958E-12</v>
      </c>
      <c r="CB147" s="20">
        <f t="shared" si="118"/>
        <v>4.2330868906469593E-12</v>
      </c>
      <c r="CC147" s="59">
        <f t="shared" si="119"/>
        <v>293.33333333333752</v>
      </c>
      <c r="CD147" s="59">
        <f ca="1">AVERAGE(OFFSET($CC$3,0,0,'Données projet'!$E$12+1,1))-AVERAGE(OFFSET($H$3,0,0,'Données projet'!$E$12+1,1))</f>
        <v>198.17898804494365</v>
      </c>
      <c r="CE147" s="59">
        <f t="shared" si="148"/>
        <v>186.24772922797723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80.93802716756484</v>
      </c>
      <c r="CL147" s="21">
        <f>EXP(-LN(2)/25)*CL146+(1-EXP(-LN(2)/25))/(LN(2)/25)*Calculateur!CG147*Calculateur!CI147*VLOOKUP('Données projet'!$B$12,Paramètres!$A$1:$I$89,3,0)*0.475*44/12</f>
        <v>14.895917259347152</v>
      </c>
      <c r="CM147" s="21">
        <f>EXP(-LN(2)/2)*CM146+(1-EXP(-LN(2)/2))/(LN(2)/2)*CG147*CJ147*VLOOKUP('Données projet'!$B$12,Paramètres!$A$1:$I$89,3,0)*0.475*44/12</f>
        <v>2.9923104239451287E-5</v>
      </c>
      <c r="CN147" s="22">
        <f t="shared" si="120"/>
        <v>95.833974350016234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266.99999999999983</v>
      </c>
      <c r="CU147" s="17">
        <f>CT147*VLOOKUP('Données projet'!$B$13,Paramètres!$A$1:$I$89,3,0)*VLOOKUP('Données projet'!$B$13,Paramètres!$A$1:$I$89,5,0)</f>
        <v>195.76439999999985</v>
      </c>
      <c r="CV147" s="13">
        <f t="shared" si="149"/>
        <v>48.812154563023455</v>
      </c>
      <c r="CW147" s="20">
        <f t="shared" si="121"/>
        <v>425.9708325305989</v>
      </c>
      <c r="CX147" s="59">
        <f t="shared" si="122"/>
        <v>719.30416586393221</v>
      </c>
      <c r="CY147" s="59">
        <f ca="1">AVERAGE(OFFSET($CX$3,0,0,'Données projet'!$E$13+1,1))-AVERAGE(OFFSET($H$3,0,0,'Données projet'!$E$13+1,1))</f>
        <v>198.78436129430389</v>
      </c>
      <c r="CZ147" s="59">
        <f t="shared" si="150"/>
        <v>198.28846462484438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6.0607591610365539</v>
      </c>
      <c r="DG147" s="21">
        <f>EXP(-LN(2)/25)*DG146+(1-EXP(-LN(2)/25))/(LN(2)/25)*Calculateur!DB147*Calculateur!DD147*VLOOKUP('Données projet'!$B$13,Paramètres!$A$1:$I$89,3,0)*0.475*44/12</f>
        <v>1.0560200909271105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7.1167792519636643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274.57619581652199</v>
      </c>
      <c r="T148" s="59">
        <f t="shared" si="142"/>
        <v>366.15117322598775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111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278.21846622758881</v>
      </c>
      <c r="AO148" s="59">
        <f t="shared" si="144"/>
        <v>245.37578316242906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-2.8421709430404007E-13</v>
      </c>
      <c r="BE148" s="13">
        <f>BD148*VLOOKUP('Données projet'!$B$11,Paramètres!$A$1:$I$89,3,0)*VLOOKUP('Données projet'!$B$11,Paramètres!$A$1:$I$89,5,0)</f>
        <v>-1.69961822393816E-13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187.18641061466138</v>
      </c>
      <c r="BJ148" s="59">
        <f t="shared" si="146"/>
        <v>143.07246221325369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51.675558964975011</v>
      </c>
      <c r="BQ148" s="21">
        <f>EXP(-LN(2)/25)*BQ147+(1-EXP(-LN(2)/25))/(LN(2)/25)*Calculateur!BL148*Calculateur!BN148*VLOOKUP('Données projet'!$B$11,Paramètres!$A$1:$I$89,3,0)*0.475*44/12</f>
        <v>11.135477997073112</v>
      </c>
      <c r="BR148" s="21">
        <f>EXP(-LN(2)/2)*BR147+(1-EXP(-LN(2)/2))/(LN(2)/2)*BL148*BO148*VLOOKUP('Données projet'!$B$11,Paramètres!$A$1:$I$89,3,0)*0.475*44/12</f>
        <v>8.6555852034999921E-6</v>
      </c>
      <c r="BS148" s="22">
        <f t="shared" si="117"/>
        <v>62.811045617633326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3.4106051316484809E-13</v>
      </c>
      <c r="BZ148" s="13">
        <f>BY148*VLOOKUP('Données projet'!$B$12,Paramètres!$A$1:$I$89,3,0)*VLOOKUP('Données projet'!$B$12,Paramètres!$A$1:$I$89,5,0)</f>
        <v>1.5961632016114892E-13</v>
      </c>
      <c r="CA148" s="13">
        <f t="shared" si="147"/>
        <v>2.2708641912150958E-12</v>
      </c>
      <c r="CB148" s="20">
        <f t="shared" si="118"/>
        <v>4.2330868906469593E-12</v>
      </c>
      <c r="CC148" s="59">
        <f t="shared" si="119"/>
        <v>293.33333333333752</v>
      </c>
      <c r="CD148" s="59">
        <f ca="1">AVERAGE(OFFSET($CC$3,0,0,'Données projet'!$E$12+1,1))-AVERAGE(OFFSET($H$3,0,0,'Données projet'!$E$12+1,1))</f>
        <v>198.17898804494365</v>
      </c>
      <c r="CE148" s="59">
        <f t="shared" si="148"/>
        <v>186.24772922797723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79.350881822130845</v>
      </c>
      <c r="CL148" s="21">
        <f>EXP(-LN(2)/25)*CL147+(1-EXP(-LN(2)/25))/(LN(2)/25)*Calculateur!CG148*Calculateur!CI148*VLOOKUP('Données projet'!$B$12,Paramètres!$A$1:$I$89,3,0)*0.475*44/12</f>
        <v>14.488587618548062</v>
      </c>
      <c r="CM148" s="21">
        <f>EXP(-LN(2)/2)*CM147+(1-EXP(-LN(2)/2))/(LN(2)/2)*CG148*CJ148*VLOOKUP('Données projet'!$B$12,Paramètres!$A$1:$I$89,3,0)*0.475*44/12</f>
        <v>2.1158829921867936E-5</v>
      </c>
      <c r="CN148" s="22">
        <f t="shared" si="120"/>
        <v>93.839490599508835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266.99999999999983</v>
      </c>
      <c r="CU148" s="17">
        <f>CT148*VLOOKUP('Données projet'!$B$13,Paramètres!$A$1:$I$89,3,0)*VLOOKUP('Données projet'!$B$13,Paramètres!$A$1:$I$89,5,0)</f>
        <v>195.76439999999985</v>
      </c>
      <c r="CV148" s="13">
        <f t="shared" si="149"/>
        <v>48.812154563023455</v>
      </c>
      <c r="CW148" s="20">
        <f t="shared" si="121"/>
        <v>425.9708325305989</v>
      </c>
      <c r="CX148" s="59">
        <f t="shared" si="122"/>
        <v>719.30416586393221</v>
      </c>
      <c r="CY148" s="59">
        <f ca="1">AVERAGE(OFFSET($CX$3,0,0,'Données projet'!$E$13+1,1))-AVERAGE(OFFSET($H$3,0,0,'Données projet'!$E$13+1,1))</f>
        <v>198.78436129430389</v>
      </c>
      <c r="CZ148" s="59">
        <f t="shared" si="150"/>
        <v>198.28846462484438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5.9419113705866966</v>
      </c>
      <c r="DG148" s="21">
        <f>EXP(-LN(2)/25)*DG147+(1-EXP(-LN(2)/25))/(LN(2)/25)*Calculateur!DB148*Calculateur!DD148*VLOOKUP('Données projet'!$B$13,Paramètres!$A$1:$I$89,3,0)*0.475*44/12</f>
        <v>1.0271431660070256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6.9690545365937222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274.57619581652199</v>
      </c>
      <c r="T149" s="59">
        <f t="shared" si="142"/>
        <v>366.15117322598775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111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278.21846622758881</v>
      </c>
      <c r="AO149" s="59">
        <f t="shared" si="144"/>
        <v>245.37578316242906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-2.8421709430404007E-13</v>
      </c>
      <c r="BE149" s="13">
        <f>BD149*VLOOKUP('Données projet'!$B$11,Paramètres!$A$1:$I$89,3,0)*VLOOKUP('Données projet'!$B$11,Paramètres!$A$1:$I$89,5,0)</f>
        <v>-1.69961822393816E-13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187.18641061466138</v>
      </c>
      <c r="BJ149" s="59">
        <f t="shared" si="146"/>
        <v>143.07246221325369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50.662232772650576</v>
      </c>
      <c r="BQ149" s="21">
        <f>EXP(-LN(2)/25)*BQ148+(1-EXP(-LN(2)/25))/(LN(2)/25)*Calculateur!BL149*Calculateur!BN149*VLOOKUP('Données projet'!$B$11,Paramètres!$A$1:$I$89,3,0)*0.475*44/12</f>
        <v>10.83097776565381</v>
      </c>
      <c r="BR149" s="21">
        <f>EXP(-LN(2)/2)*BR148+(1-EXP(-LN(2)/2))/(LN(2)/2)*BL149*BO149*VLOOKUP('Données projet'!$B$11,Paramètres!$A$1:$I$89,3,0)*0.475*44/12</f>
        <v>6.1204229925327874E-6</v>
      </c>
      <c r="BS149" s="22">
        <f t="shared" si="117"/>
        <v>61.493216658727377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3.4106051316484809E-13</v>
      </c>
      <c r="BZ149" s="13">
        <f>BY149*VLOOKUP('Données projet'!$B$12,Paramètres!$A$1:$I$89,3,0)*VLOOKUP('Données projet'!$B$12,Paramètres!$A$1:$I$89,5,0)</f>
        <v>1.5961632016114892E-13</v>
      </c>
      <c r="CA149" s="13">
        <f t="shared" si="147"/>
        <v>2.2708641912150958E-12</v>
      </c>
      <c r="CB149" s="20">
        <f t="shared" si="118"/>
        <v>4.2330868906469593E-12</v>
      </c>
      <c r="CC149" s="59">
        <f t="shared" si="119"/>
        <v>293.33333333333752</v>
      </c>
      <c r="CD149" s="59">
        <f ca="1">AVERAGE(OFFSET($CC$3,0,0,'Données projet'!$E$12+1,1))-AVERAGE(OFFSET($H$3,0,0,'Données projet'!$E$12+1,1))</f>
        <v>198.17898804494365</v>
      </c>
      <c r="CE149" s="59">
        <f t="shared" si="148"/>
        <v>186.24772922797723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77.794859428857734</v>
      </c>
      <c r="CL149" s="21">
        <f>EXP(-LN(2)/25)*CL148+(1-EXP(-LN(2)/25))/(LN(2)/25)*Calculateur!CG149*Calculateur!CI149*VLOOKUP('Données projet'!$B$12,Paramètres!$A$1:$I$89,3,0)*0.475*44/12</f>
        <v>14.092396428197157</v>
      </c>
      <c r="CM149" s="21">
        <f>EXP(-LN(2)/2)*CM148+(1-EXP(-LN(2)/2))/(LN(2)/2)*CG149*CJ149*VLOOKUP('Données projet'!$B$12,Paramètres!$A$1:$I$89,3,0)*0.475*44/12</f>
        <v>1.4961552119725647E-5</v>
      </c>
      <c r="CN149" s="22">
        <f t="shared" si="120"/>
        <v>91.887270818607021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266.99999999999983</v>
      </c>
      <c r="CU149" s="17">
        <f>CT149*VLOOKUP('Données projet'!$B$13,Paramètres!$A$1:$I$89,3,0)*VLOOKUP('Données projet'!$B$13,Paramètres!$A$1:$I$89,5,0)</f>
        <v>195.76439999999985</v>
      </c>
      <c r="CV149" s="13">
        <f t="shared" si="149"/>
        <v>48.812154563023455</v>
      </c>
      <c r="CW149" s="20">
        <f t="shared" si="121"/>
        <v>425.9708325305989</v>
      </c>
      <c r="CX149" s="59">
        <f t="shared" si="122"/>
        <v>719.30416586393221</v>
      </c>
      <c r="CY149" s="59">
        <f ca="1">AVERAGE(OFFSET($CX$3,0,0,'Données projet'!$E$13+1,1))-AVERAGE(OFFSET($H$3,0,0,'Données projet'!$E$13+1,1))</f>
        <v>198.78436129430389</v>
      </c>
      <c r="CZ149" s="59">
        <f t="shared" si="150"/>
        <v>198.28846462484438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5.825394112817567</v>
      </c>
      <c r="DG149" s="21">
        <f>EXP(-LN(2)/25)*DG148+(1-EXP(-LN(2)/25))/(LN(2)/25)*Calculateur!DB149*Calculateur!DD149*VLOOKUP('Données projet'!$B$13,Paramètres!$A$1:$I$89,3,0)*0.475*44/12</f>
        <v>0.999055882117452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6.8244499949350192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274.57619581652199</v>
      </c>
      <c r="T150" s="59">
        <f t="shared" si="142"/>
        <v>366.15117322598775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111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278.21846622758881</v>
      </c>
      <c r="AO150" s="59">
        <f t="shared" si="144"/>
        <v>245.37578316242906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-2.8421709430404007E-13</v>
      </c>
      <c r="BE150" s="13">
        <f>BD150*VLOOKUP('Données projet'!$B$11,Paramètres!$A$1:$I$89,3,0)*VLOOKUP('Données projet'!$B$11,Paramètres!$A$1:$I$89,5,0)</f>
        <v>-1.69961822393816E-13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187.18641061466138</v>
      </c>
      <c r="BJ150" s="59">
        <f t="shared" si="146"/>
        <v>143.07246221325369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49.668777288889679</v>
      </c>
      <c r="BQ150" s="21">
        <f>EXP(-LN(2)/25)*BQ149+(1-EXP(-LN(2)/25))/(LN(2)/25)*Calculateur!BL150*Calculateur!BN150*VLOOKUP('Données projet'!$B$11,Paramètres!$A$1:$I$89,3,0)*0.475*44/12</f>
        <v>10.53480410907564</v>
      </c>
      <c r="BR150" s="21">
        <f>EXP(-LN(2)/2)*BR149+(1-EXP(-LN(2)/2))/(LN(2)/2)*BL150*BO150*VLOOKUP('Données projet'!$B$11,Paramètres!$A$1:$I$89,3,0)*0.475*44/12</f>
        <v>4.327792601749996E-6</v>
      </c>
      <c r="BS150" s="22">
        <f t="shared" si="117"/>
        <v>60.203585725757925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3.4106051316484809E-13</v>
      </c>
      <c r="BZ150" s="13">
        <f>BY150*VLOOKUP('Données projet'!$B$12,Paramètres!$A$1:$I$89,3,0)*VLOOKUP('Données projet'!$B$12,Paramètres!$A$1:$I$89,5,0)</f>
        <v>1.5961632016114892E-13</v>
      </c>
      <c r="CA150" s="13">
        <f t="shared" si="147"/>
        <v>2.2708641912150958E-12</v>
      </c>
      <c r="CB150" s="20">
        <f t="shared" si="118"/>
        <v>4.2330868906469593E-12</v>
      </c>
      <c r="CC150" s="59">
        <f t="shared" si="119"/>
        <v>293.33333333333752</v>
      </c>
      <c r="CD150" s="59">
        <f ca="1">AVERAGE(OFFSET($CC$3,0,0,'Données projet'!$E$12+1,1))-AVERAGE(OFFSET($H$3,0,0,'Données projet'!$E$12+1,1))</f>
        <v>198.17898804494365</v>
      </c>
      <c r="CE150" s="59">
        <f t="shared" si="148"/>
        <v>186.24772922797723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76.269349685636769</v>
      </c>
      <c r="CL150" s="21">
        <f>EXP(-LN(2)/25)*CL149+(1-EXP(-LN(2)/25))/(LN(2)/25)*Calculateur!CG150*Calculateur!CI150*VLOOKUP('Données projet'!$B$12,Paramètres!$A$1:$I$89,3,0)*0.475*44/12</f>
        <v>13.707039106781187</v>
      </c>
      <c r="CM150" s="21">
        <f>EXP(-LN(2)/2)*CM149+(1-EXP(-LN(2)/2))/(LN(2)/2)*CG150*CJ150*VLOOKUP('Données projet'!$B$12,Paramètres!$A$1:$I$89,3,0)*0.475*44/12</f>
        <v>1.057941496093397E-5</v>
      </c>
      <c r="CN150" s="22">
        <f t="shared" si="120"/>
        <v>89.976399371832912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266.99999999999983</v>
      </c>
      <c r="CU150" s="17">
        <f>CT150*VLOOKUP('Données projet'!$B$13,Paramètres!$A$1:$I$89,3,0)*VLOOKUP('Données projet'!$B$13,Paramètres!$A$1:$I$89,5,0)</f>
        <v>195.76439999999985</v>
      </c>
      <c r="CV150" s="13">
        <f t="shared" si="149"/>
        <v>48.812154563023455</v>
      </c>
      <c r="CW150" s="20">
        <f t="shared" si="121"/>
        <v>425.9708325305989</v>
      </c>
      <c r="CX150" s="59">
        <f t="shared" si="122"/>
        <v>719.30416586393221</v>
      </c>
      <c r="CY150" s="59">
        <f ca="1">AVERAGE(OFFSET($CX$3,0,0,'Données projet'!$E$13+1,1))-AVERAGE(OFFSET($H$3,0,0,'Données projet'!$E$13+1,1))</f>
        <v>198.78436129430389</v>
      </c>
      <c r="CZ150" s="59">
        <f t="shared" si="150"/>
        <v>198.28846462484438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5.7111616874047799</v>
      </c>
      <c r="DG150" s="21">
        <f>EXP(-LN(2)/25)*DG149+(1-EXP(-LN(2)/25))/(LN(2)/25)*Calculateur!DB150*Calculateur!DD150*VLOOKUP('Données projet'!$B$13,Paramètres!$A$1:$I$89,3,0)*0.475*44/12</f>
        <v>0.97173664648288482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6.6828983338876649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274.57619581652199</v>
      </c>
      <c r="T151" s="59">
        <f t="shared" si="142"/>
        <v>366.15117322598775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111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278.21846622758881</v>
      </c>
      <c r="AO151" s="59">
        <f t="shared" si="144"/>
        <v>245.37578316242906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-2.8421709430404007E-13</v>
      </c>
      <c r="BE151" s="13">
        <f>BD151*VLOOKUP('Données projet'!$B$11,Paramètres!$A$1:$I$89,3,0)*VLOOKUP('Données projet'!$B$11,Paramètres!$A$1:$I$89,5,0)</f>
        <v>-1.69961822393816E-13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187.18641061466138</v>
      </c>
      <c r="BJ151" s="59">
        <f t="shared" si="146"/>
        <v>143.07246221325369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48.694802861217319</v>
      </c>
      <c r="BQ151" s="21">
        <f>EXP(-LN(2)/25)*BQ150+(1-EXP(-LN(2)/25))/(LN(2)/25)*Calculateur!BL151*Calculateur!BN151*VLOOKUP('Données projet'!$B$11,Paramètres!$A$1:$I$89,3,0)*0.475*44/12</f>
        <v>10.246729336711697</v>
      </c>
      <c r="BR151" s="21">
        <f>EXP(-LN(2)/2)*BR150+(1-EXP(-LN(2)/2))/(LN(2)/2)*BL151*BO151*VLOOKUP('Données projet'!$B$11,Paramètres!$A$1:$I$89,3,0)*0.475*44/12</f>
        <v>3.0602114962663937E-6</v>
      </c>
      <c r="BS151" s="22">
        <f t="shared" si="117"/>
        <v>58.941535258140512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3.4106051316484809E-13</v>
      </c>
      <c r="BZ151" s="13">
        <f>BY151*VLOOKUP('Données projet'!$B$12,Paramètres!$A$1:$I$89,3,0)*VLOOKUP('Données projet'!$B$12,Paramètres!$A$1:$I$89,5,0)</f>
        <v>1.5961632016114892E-13</v>
      </c>
      <c r="CA151" s="13">
        <f t="shared" si="147"/>
        <v>2.2708641912150958E-12</v>
      </c>
      <c r="CB151" s="20">
        <f t="shared" si="118"/>
        <v>4.2330868906469593E-12</v>
      </c>
      <c r="CC151" s="59">
        <f t="shared" si="119"/>
        <v>293.33333333333752</v>
      </c>
      <c r="CD151" s="59">
        <f ca="1">AVERAGE(OFFSET($CC$3,0,0,'Données projet'!$E$12+1,1))-AVERAGE(OFFSET($H$3,0,0,'Données projet'!$E$12+1,1))</f>
        <v>198.17898804494365</v>
      </c>
      <c r="CE151" s="59">
        <f t="shared" si="148"/>
        <v>186.24772922797723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74.773754258011294</v>
      </c>
      <c r="CL151" s="21">
        <f>EXP(-LN(2)/25)*CL150+(1-EXP(-LN(2)/25))/(LN(2)/25)*Calculateur!CG151*Calculateur!CI151*VLOOKUP('Données projet'!$B$12,Paramètres!$A$1:$I$89,3,0)*0.475*44/12</f>
        <v>13.332219401584396</v>
      </c>
      <c r="CM151" s="21">
        <f>EXP(-LN(2)/2)*CM150+(1-EXP(-LN(2)/2))/(LN(2)/2)*CG151*CJ151*VLOOKUP('Données projet'!$B$12,Paramètres!$A$1:$I$89,3,0)*0.475*44/12</f>
        <v>7.4807760598628243E-6</v>
      </c>
      <c r="CN151" s="22">
        <f t="shared" si="120"/>
        <v>88.105981140371753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266.99999999999983</v>
      </c>
      <c r="CU151" s="17">
        <f>CT151*VLOOKUP('Données projet'!$B$13,Paramètres!$A$1:$I$89,3,0)*VLOOKUP('Données projet'!$B$13,Paramètres!$A$1:$I$89,5,0)</f>
        <v>195.76439999999985</v>
      </c>
      <c r="CV151" s="13">
        <f t="shared" si="149"/>
        <v>48.812154563023455</v>
      </c>
      <c r="CW151" s="20">
        <f t="shared" si="121"/>
        <v>425.9708325305989</v>
      </c>
      <c r="CX151" s="59">
        <f t="shared" si="122"/>
        <v>719.30416586393221</v>
      </c>
      <c r="CY151" s="59">
        <f ca="1">AVERAGE(OFFSET($CX$3,0,0,'Données projet'!$E$13+1,1))-AVERAGE(OFFSET($H$3,0,0,'Données projet'!$E$13+1,1))</f>
        <v>198.78436129430389</v>
      </c>
      <c r="CZ151" s="59">
        <f t="shared" si="150"/>
        <v>198.28846462484438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5.5991692901794377</v>
      </c>
      <c r="DG151" s="21">
        <f>EXP(-LN(2)/25)*DG150+(1-EXP(-LN(2)/25))/(LN(2)/25)*Calculateur!DB151*Calculateur!DD151*VLOOKUP('Données projet'!$B$13,Paramètres!$A$1:$I$89,3,0)*0.475*44/12</f>
        <v>0.945164456783401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6.5443337469628382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274.57619581652199</v>
      </c>
      <c r="T152" s="59">
        <f t="shared" si="142"/>
        <v>366.15117322598775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111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278.21846622758881</v>
      </c>
      <c r="AO152" s="59">
        <f t="shared" si="144"/>
        <v>245.37578316242906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-2.8421709430404007E-13</v>
      </c>
      <c r="BE152" s="13">
        <f>BD152*VLOOKUP('Données projet'!$B$11,Paramètres!$A$1:$I$89,3,0)*VLOOKUP('Données projet'!$B$11,Paramètres!$A$1:$I$89,5,0)</f>
        <v>-1.69961822393816E-13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187.18641061466138</v>
      </c>
      <c r="BJ152" s="59">
        <f t="shared" si="146"/>
        <v>143.07246221325369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47.739927478005875</v>
      </c>
      <c r="BQ152" s="21">
        <f>EXP(-LN(2)/25)*BQ151+(1-EXP(-LN(2)/25))/(LN(2)/25)*Calculateur!BL152*Calculateur!BN152*VLOOKUP('Données projet'!$B$11,Paramètres!$A$1:$I$89,3,0)*0.475*44/12</f>
        <v>9.9665319841472382</v>
      </c>
      <c r="BR152" s="21">
        <f>EXP(-LN(2)/2)*BR151+(1-EXP(-LN(2)/2))/(LN(2)/2)*BL152*BO152*VLOOKUP('Données projet'!$B$11,Paramètres!$A$1:$I$89,3,0)*0.475*44/12</f>
        <v>2.163896300874998E-6</v>
      </c>
      <c r="BS152" s="22">
        <f t="shared" si="117"/>
        <v>57.706461626049411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3.4106051316484809E-13</v>
      </c>
      <c r="BZ152" s="13">
        <f>BY152*VLOOKUP('Données projet'!$B$12,Paramètres!$A$1:$I$89,3,0)*VLOOKUP('Données projet'!$B$12,Paramètres!$A$1:$I$89,5,0)</f>
        <v>1.5961632016114892E-13</v>
      </c>
      <c r="CA152" s="13">
        <f t="shared" si="147"/>
        <v>2.2708641912150958E-12</v>
      </c>
      <c r="CB152" s="20">
        <f t="shared" si="118"/>
        <v>4.2330868906469593E-12</v>
      </c>
      <c r="CC152" s="59">
        <f t="shared" si="119"/>
        <v>293.33333333333752</v>
      </c>
      <c r="CD152" s="59">
        <f ca="1">AVERAGE(OFFSET($CC$3,0,0,'Données projet'!$E$12+1,1))-AVERAGE(OFFSET($H$3,0,0,'Données projet'!$E$12+1,1))</f>
        <v>198.17898804494365</v>
      </c>
      <c r="CE152" s="59">
        <f t="shared" si="148"/>
        <v>186.24772922797723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73.307486544498431</v>
      </c>
      <c r="CL152" s="21">
        <f>EXP(-LN(2)/25)*CL151+(1-EXP(-LN(2)/25))/(LN(2)/25)*Calculateur!CG152*Calculateur!CI152*VLOOKUP('Données projet'!$B$12,Paramètres!$A$1:$I$89,3,0)*0.475*44/12</f>
        <v>12.967649160937123</v>
      </c>
      <c r="CM152" s="21">
        <f>EXP(-LN(2)/2)*CM151+(1-EXP(-LN(2)/2))/(LN(2)/2)*CG152*CJ152*VLOOKUP('Données projet'!$B$12,Paramètres!$A$1:$I$89,3,0)*0.475*44/12</f>
        <v>5.2897074804669857E-6</v>
      </c>
      <c r="CN152" s="22">
        <f t="shared" si="120"/>
        <v>86.275140995143033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266.99999999999983</v>
      </c>
      <c r="CU152" s="17">
        <f>CT152*VLOOKUP('Données projet'!$B$13,Paramètres!$A$1:$I$89,3,0)*VLOOKUP('Données projet'!$B$13,Paramètres!$A$1:$I$89,5,0)</f>
        <v>195.76439999999985</v>
      </c>
      <c r="CV152" s="13">
        <f t="shared" si="149"/>
        <v>48.812154563023455</v>
      </c>
      <c r="CW152" s="20">
        <f t="shared" si="121"/>
        <v>425.9708325305989</v>
      </c>
      <c r="CX152" s="59">
        <f t="shared" si="122"/>
        <v>719.30416586393221</v>
      </c>
      <c r="CY152" s="59">
        <f ca="1">AVERAGE(OFFSET($CX$3,0,0,'Données projet'!$E$13+1,1))-AVERAGE(OFFSET($H$3,0,0,'Données projet'!$E$13+1,1))</f>
        <v>198.78436129430389</v>
      </c>
      <c r="CZ152" s="59">
        <f t="shared" si="150"/>
        <v>198.28846462484438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5.4893729955550672</v>
      </c>
      <c r="DG152" s="21">
        <f>EXP(-LN(2)/25)*DG151+(1-EXP(-LN(2)/25))/(LN(2)/25)*Calculateur!DB152*Calculateur!DD152*VLOOKUP('Données projet'!$B$13,Paramètres!$A$1:$I$89,3,0)*0.475*44/12</f>
        <v>0.91931888500862036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6.4086918805636879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274.57619581652199</v>
      </c>
      <c r="T153" s="59">
        <f t="shared" si="142"/>
        <v>366.15117322598775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111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278.21846622758881</v>
      </c>
      <c r="AO153" s="59">
        <f t="shared" si="144"/>
        <v>245.37578316242906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-2.8421709430404007E-13</v>
      </c>
      <c r="BE153" s="13">
        <f>BD153*VLOOKUP('Données projet'!$B$11,Paramètres!$A$1:$I$89,3,0)*VLOOKUP('Données projet'!$B$11,Paramètres!$A$1:$I$89,5,0)</f>
        <v>-1.69961822393816E-13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187.18641061466138</v>
      </c>
      <c r="BJ153" s="59">
        <f t="shared" si="146"/>
        <v>143.07246221325369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46.803776618642729</v>
      </c>
      <c r="BQ153" s="21">
        <f>EXP(-LN(2)/25)*BQ152+(1-EXP(-LN(2)/25))/(LN(2)/25)*Calculateur!BL153*Calculateur!BN153*VLOOKUP('Données projet'!$B$11,Paramètres!$A$1:$I$89,3,0)*0.475*44/12</f>
        <v>9.6939966429235938</v>
      </c>
      <c r="BR153" s="21">
        <f>EXP(-LN(2)/2)*BR152+(1-EXP(-LN(2)/2))/(LN(2)/2)*BL153*BO153*VLOOKUP('Données projet'!$B$11,Paramètres!$A$1:$I$89,3,0)*0.475*44/12</f>
        <v>1.5301057481331968E-6</v>
      </c>
      <c r="BS153" s="22">
        <f t="shared" si="117"/>
        <v>56.497774791672072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3.4106051316484809E-13</v>
      </c>
      <c r="BZ153" s="13">
        <f>BY153*VLOOKUP('Données projet'!$B$12,Paramètres!$A$1:$I$89,3,0)*VLOOKUP('Données projet'!$B$12,Paramètres!$A$1:$I$89,5,0)</f>
        <v>1.5961632016114892E-13</v>
      </c>
      <c r="CA153" s="13">
        <f t="shared" si="147"/>
        <v>2.2708641912150958E-12</v>
      </c>
      <c r="CB153" s="20">
        <f t="shared" si="118"/>
        <v>4.2330868906469593E-12</v>
      </c>
      <c r="CC153" s="59">
        <f t="shared" si="119"/>
        <v>293.33333333333752</v>
      </c>
      <c r="CD153" s="59">
        <f ca="1">AVERAGE(OFFSET($CC$3,0,0,'Données projet'!$E$12+1,1))-AVERAGE(OFFSET($H$3,0,0,'Données projet'!$E$12+1,1))</f>
        <v>198.17898804494365</v>
      </c>
      <c r="CE153" s="59">
        <f t="shared" si="148"/>
        <v>186.24772922797723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71.869971446512551</v>
      </c>
      <c r="CL153" s="21">
        <f>EXP(-LN(2)/25)*CL152+(1-EXP(-LN(2)/25))/(LN(2)/25)*Calculateur!CG153*Calculateur!CI153*VLOOKUP('Données projet'!$B$12,Paramètres!$A$1:$I$89,3,0)*0.475*44/12</f>
        <v>12.613048112692265</v>
      </c>
      <c r="CM153" s="21">
        <f>EXP(-LN(2)/2)*CM152+(1-EXP(-LN(2)/2))/(LN(2)/2)*CG153*CJ153*VLOOKUP('Données projet'!$B$12,Paramètres!$A$1:$I$89,3,0)*0.475*44/12</f>
        <v>3.7403880299314126E-6</v>
      </c>
      <c r="CN153" s="22">
        <f t="shared" si="120"/>
        <v>84.483023299592844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266.99999999999983</v>
      </c>
      <c r="CU153" s="17">
        <f>CT153*VLOOKUP('Données projet'!$B$13,Paramètres!$A$1:$I$89,3,0)*VLOOKUP('Données projet'!$B$13,Paramètres!$A$1:$I$89,5,0)</f>
        <v>195.76439999999985</v>
      </c>
      <c r="CV153" s="13">
        <f t="shared" si="149"/>
        <v>48.812154563023455</v>
      </c>
      <c r="CW153" s="20">
        <f t="shared" si="121"/>
        <v>425.9708325305989</v>
      </c>
      <c r="CX153" s="59">
        <f t="shared" si="122"/>
        <v>719.30416586393221</v>
      </c>
      <c r="CY153" s="59">
        <f ca="1">AVERAGE(OFFSET($CX$3,0,0,'Données projet'!$E$13+1,1))-AVERAGE(OFFSET($H$3,0,0,'Données projet'!$E$13+1,1))</f>
        <v>198.78436129430389</v>
      </c>
      <c r="CZ153" s="59">
        <f t="shared" si="150"/>
        <v>198.28846462484438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5.3817297392991534</v>
      </c>
      <c r="DG153" s="21">
        <f>EXP(-LN(2)/25)*DG152+(1-EXP(-LN(2)/25))/(LN(2)/25)*Calculateur!DB153*Calculateur!DD153*VLOOKUP('Données projet'!$B$13,Paramètres!$A$1:$I$89,3,0)*0.475*44/12</f>
        <v>0.89418006175318065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6.2759098010523342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274.57619581652199</v>
      </c>
      <c r="T154" s="59">
        <f t="shared" si="142"/>
        <v>366.15117322598775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163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278.21846622758881</v>
      </c>
      <c r="AO154" s="59">
        <f t="shared" si="144"/>
        <v>245.37578316242906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-2.8421709430404007E-13</v>
      </c>
      <c r="BE154" s="13">
        <f>BD154*VLOOKUP('Données projet'!$B$11,Paramètres!$A$1:$I$89,3,0)*VLOOKUP('Données projet'!$B$11,Paramètres!$A$1:$I$89,5,0)</f>
        <v>-1.69961822393816E-13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187.18641061466138</v>
      </c>
      <c r="BJ154" s="59">
        <f t="shared" si="146"/>
        <v>143.07246221325369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45.885983106636054</v>
      </c>
      <c r="BQ154" s="21">
        <f>EXP(-LN(2)/25)*BQ153+(1-EXP(-LN(2)/25))/(LN(2)/25)*Calculateur!BL154*Calculateur!BN154*VLOOKUP('Données projet'!$B$11,Paramètres!$A$1:$I$89,3,0)*0.475*44/12</f>
        <v>9.4289137949377206</v>
      </c>
      <c r="BR154" s="21">
        <f>EXP(-LN(2)/2)*BR153+(1-EXP(-LN(2)/2))/(LN(2)/2)*BL154*BO154*VLOOKUP('Données projet'!$B$11,Paramètres!$A$1:$I$89,3,0)*0.475*44/12</f>
        <v>1.081948150437499E-6</v>
      </c>
      <c r="BS154" s="22">
        <f t="shared" ref="BS154:BS203" si="169">SUM(BP154:BR154)</f>
        <v>55.314897983521924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3.4106051316484809E-13</v>
      </c>
      <c r="BZ154" s="13">
        <f>BY154*VLOOKUP('Données projet'!$B$12,Paramètres!$A$1:$I$89,3,0)*VLOOKUP('Données projet'!$B$12,Paramètres!$A$1:$I$89,5,0)</f>
        <v>1.5961632016114892E-13</v>
      </c>
      <c r="CA154" s="13">
        <f t="shared" ref="CA154:CA203" si="170">EXP(-1.0587+0.8836*LN(BZ154)+0.284)</f>
        <v>2.2708641912150958E-12</v>
      </c>
      <c r="CB154" s="20">
        <f t="shared" ref="CB154:CB203" si="171">(BZ154+CA154)*0.475*44/12</f>
        <v>4.2330868906469593E-12</v>
      </c>
      <c r="CC154" s="59">
        <f t="shared" si="119"/>
        <v>293.33333333333752</v>
      </c>
      <c r="CD154" s="59">
        <f ca="1">AVERAGE(OFFSET($CC$3,0,0,'Données projet'!$E$12+1,1))-AVERAGE(OFFSET($H$3,0,0,'Données projet'!$E$12+1,1))</f>
        <v>198.17898804494365</v>
      </c>
      <c r="CE154" s="59">
        <f t="shared" si="148"/>
        <v>186.24772922797723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70.460645142800544</v>
      </c>
      <c r="CL154" s="21">
        <f>EXP(-LN(2)/25)*CL153+(1-EXP(-LN(2)/25))/(LN(2)/25)*Calculateur!CG154*Calculateur!CI154*VLOOKUP('Données projet'!$B$12,Paramètres!$A$1:$I$89,3,0)*0.475*44/12</f>
        <v>12.268143648759322</v>
      </c>
      <c r="CM154" s="21">
        <f>EXP(-LN(2)/2)*CM153+(1-EXP(-LN(2)/2))/(LN(2)/2)*CG154*CJ154*VLOOKUP('Données projet'!$B$12,Paramètres!$A$1:$I$89,3,0)*0.475*44/12</f>
        <v>2.6448537402334933E-6</v>
      </c>
      <c r="CN154" s="22">
        <f t="shared" ref="CN154:CN203" si="172">SUM(CK154:CM154)</f>
        <v>82.728791436413601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266.99999999999983</v>
      </c>
      <c r="CU154" s="17">
        <f>CT154*VLOOKUP('Données projet'!$B$13,Paramètres!$A$1:$I$89,3,0)*VLOOKUP('Données projet'!$B$13,Paramètres!$A$1:$I$89,5,0)</f>
        <v>195.76439999999985</v>
      </c>
      <c r="CV154" s="13">
        <f t="shared" ref="CV154:CV203" si="173">EXP(-1.0587+0.8836*LN(CU154)+0.284)</f>
        <v>48.812154563023455</v>
      </c>
      <c r="CW154" s="20">
        <f t="shared" ref="CW154:CW203" si="174">(CU154+CV154)*0.475*44/12</f>
        <v>425.9708325305989</v>
      </c>
      <c r="CX154" s="59">
        <f t="shared" si="122"/>
        <v>719.30416586393221</v>
      </c>
      <c r="CY154" s="59">
        <f ca="1">AVERAGE(OFFSET($CX$3,0,0,'Données projet'!$E$13+1,1))-AVERAGE(OFFSET($H$3,0,0,'Données projet'!$E$13+1,1))</f>
        <v>198.78436129430389</v>
      </c>
      <c r="CZ154" s="59">
        <f t="shared" si="150"/>
        <v>198.28846462484438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5.2761973016425152</v>
      </c>
      <c r="DG154" s="21">
        <f>EXP(-LN(2)/25)*DG153+(1-EXP(-LN(2)/25))/(LN(2)/25)*Calculateur!DB154*Calculateur!DD154*VLOOKUP('Données projet'!$B$13,Paramètres!$A$1:$I$89,3,0)*0.475*44/12</f>
        <v>0.86972866094165413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6.1459259625841689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274.57619581652199</v>
      </c>
      <c r="T155" s="59">
        <f t="shared" si="142"/>
        <v>366.15117322598775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163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278.21846622758881</v>
      </c>
      <c r="AO155" s="59">
        <f t="shared" si="144"/>
        <v>245.37578316242906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-2.8421709430404007E-13</v>
      </c>
      <c r="BE155" s="13">
        <f>BD155*VLOOKUP('Données projet'!$B$11,Paramètres!$A$1:$I$89,3,0)*VLOOKUP('Données projet'!$B$11,Paramètres!$A$1:$I$89,5,0)</f>
        <v>-1.69961822393816E-13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187.18641061466138</v>
      </c>
      <c r="BJ155" s="59">
        <f t="shared" si="146"/>
        <v>143.07246221325369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44.986186965601064</v>
      </c>
      <c r="BQ155" s="21">
        <f>EXP(-LN(2)/25)*BQ154+(1-EXP(-LN(2)/25))/(LN(2)/25)*Calculateur!BL155*Calculateur!BN155*VLOOKUP('Données projet'!$B$11,Paramètres!$A$1:$I$89,3,0)*0.475*44/12</f>
        <v>9.1710796513701229</v>
      </c>
      <c r="BR155" s="21">
        <f>EXP(-LN(2)/2)*BR154+(1-EXP(-LN(2)/2))/(LN(2)/2)*BL155*BO155*VLOOKUP('Données projet'!$B$11,Paramètres!$A$1:$I$89,3,0)*0.475*44/12</f>
        <v>7.6505287406659842E-7</v>
      </c>
      <c r="BS155" s="22">
        <f t="shared" si="169"/>
        <v>54.15726738202406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3.4106051316484809E-13</v>
      </c>
      <c r="BZ155" s="13">
        <f>BY155*VLOOKUP('Données projet'!$B$12,Paramètres!$A$1:$I$89,3,0)*VLOOKUP('Données projet'!$B$12,Paramètres!$A$1:$I$89,5,0)</f>
        <v>1.5961632016114892E-13</v>
      </c>
      <c r="CA155" s="13">
        <f t="shared" si="170"/>
        <v>2.2708641912150958E-12</v>
      </c>
      <c r="CB155" s="20">
        <f t="shared" si="171"/>
        <v>4.2330868906469593E-12</v>
      </c>
      <c r="CC155" s="59">
        <f t="shared" si="119"/>
        <v>293.33333333333752</v>
      </c>
      <c r="CD155" s="59">
        <f ca="1">AVERAGE(OFFSET($CC$3,0,0,'Données projet'!$E$12+1,1))-AVERAGE(OFFSET($H$3,0,0,'Données projet'!$E$12+1,1))</f>
        <v>198.17898804494365</v>
      </c>
      <c r="CE155" s="59">
        <f t="shared" si="148"/>
        <v>186.24772922797723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69.078954868300158</v>
      </c>
      <c r="CL155" s="21">
        <f>EXP(-LN(2)/25)*CL154+(1-EXP(-LN(2)/25))/(LN(2)/25)*Calculateur!CG155*Calculateur!CI155*VLOOKUP('Données projet'!$B$12,Paramètres!$A$1:$I$89,3,0)*0.475*44/12</f>
        <v>11.932670615530363</v>
      </c>
      <c r="CM155" s="21">
        <f>EXP(-LN(2)/2)*CM154+(1-EXP(-LN(2)/2))/(LN(2)/2)*CG155*CJ155*VLOOKUP('Données projet'!$B$12,Paramètres!$A$1:$I$89,3,0)*0.475*44/12</f>
        <v>1.8701940149657067E-6</v>
      </c>
      <c r="CN155" s="22">
        <f t="shared" si="172"/>
        <v>81.01162735402454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266.99999999999983</v>
      </c>
      <c r="CU155" s="17">
        <f>CT155*VLOOKUP('Données projet'!$B$13,Paramètres!$A$1:$I$89,3,0)*VLOOKUP('Données projet'!$B$13,Paramètres!$A$1:$I$89,5,0)</f>
        <v>195.76439999999985</v>
      </c>
      <c r="CV155" s="13">
        <f t="shared" si="173"/>
        <v>48.812154563023455</v>
      </c>
      <c r="CW155" s="20">
        <f t="shared" si="174"/>
        <v>425.9708325305989</v>
      </c>
      <c r="CX155" s="59">
        <f t="shared" si="122"/>
        <v>719.30416586393221</v>
      </c>
      <c r="CY155" s="59">
        <f ca="1">AVERAGE(OFFSET($CX$3,0,0,'Données projet'!$E$13+1,1))-AVERAGE(OFFSET($H$3,0,0,'Données projet'!$E$13+1,1))</f>
        <v>198.78436129430389</v>
      </c>
      <c r="CZ155" s="59">
        <f t="shared" si="150"/>
        <v>198.28846462484438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5.1727342907198928</v>
      </c>
      <c r="DG155" s="21">
        <f>EXP(-LN(2)/25)*DG154+(1-EXP(-LN(2)/25))/(LN(2)/25)*Calculateur!DB155*Calculateur!DD155*VLOOKUP('Données projet'!$B$13,Paramètres!$A$1:$I$89,3,0)*0.475*44/12</f>
        <v>0.84594588497116208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6.0186801756910544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274.57619581652199</v>
      </c>
      <c r="T156" s="59">
        <f t="shared" si="142"/>
        <v>366.15117322598775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163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278.21846622758881</v>
      </c>
      <c r="AO156" s="59">
        <f t="shared" si="144"/>
        <v>245.37578316242906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-2.8421709430404007E-13</v>
      </c>
      <c r="BE156" s="13">
        <f>BD156*VLOOKUP('Données projet'!$B$11,Paramètres!$A$1:$I$89,3,0)*VLOOKUP('Données projet'!$B$11,Paramètres!$A$1:$I$89,5,0)</f>
        <v>-1.69961822393816E-13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187.18641061466138</v>
      </c>
      <c r="BJ156" s="59">
        <f t="shared" si="146"/>
        <v>143.07246221325369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44.104035278070313</v>
      </c>
      <c r="BQ156" s="21">
        <f>EXP(-LN(2)/25)*BQ155+(1-EXP(-LN(2)/25))/(LN(2)/25)*Calculateur!BL156*Calculateur!BN156*VLOOKUP('Données projet'!$B$11,Paramètres!$A$1:$I$89,3,0)*0.475*44/12</f>
        <v>8.9202959960172894</v>
      </c>
      <c r="BR156" s="21">
        <f>EXP(-LN(2)/2)*BR155+(1-EXP(-LN(2)/2))/(LN(2)/2)*BL156*BO156*VLOOKUP('Données projet'!$B$11,Paramètres!$A$1:$I$89,3,0)*0.475*44/12</f>
        <v>5.4097407521874951E-7</v>
      </c>
      <c r="BS156" s="22">
        <f t="shared" si="169"/>
        <v>53.024331815061679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3.4106051316484809E-13</v>
      </c>
      <c r="BZ156" s="13">
        <f>BY156*VLOOKUP('Données projet'!$B$12,Paramètres!$A$1:$I$89,3,0)*VLOOKUP('Données projet'!$B$12,Paramètres!$A$1:$I$89,5,0)</f>
        <v>1.5961632016114892E-13</v>
      </c>
      <c r="CA156" s="13">
        <f t="shared" si="170"/>
        <v>2.2708641912150958E-12</v>
      </c>
      <c r="CB156" s="20">
        <f t="shared" si="171"/>
        <v>4.2330868906469593E-12</v>
      </c>
      <c r="CC156" s="59">
        <f t="shared" si="119"/>
        <v>293.33333333333752</v>
      </c>
      <c r="CD156" s="59">
        <f ca="1">AVERAGE(OFFSET($CC$3,0,0,'Données projet'!$E$12+1,1))-AVERAGE(OFFSET($H$3,0,0,'Données projet'!$E$12+1,1))</f>
        <v>198.17898804494365</v>
      </c>
      <c r="CE156" s="59">
        <f t="shared" si="148"/>
        <v>186.24772922797723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67.724358697334878</v>
      </c>
      <c r="CL156" s="21">
        <f>EXP(-LN(2)/25)*CL155+(1-EXP(-LN(2)/25))/(LN(2)/25)*Calculateur!CG156*Calculateur!CI156*VLOOKUP('Données projet'!$B$12,Paramètres!$A$1:$I$89,3,0)*0.475*44/12</f>
        <v>11.606371110036809</v>
      </c>
      <c r="CM156" s="21">
        <f>EXP(-LN(2)/2)*CM155+(1-EXP(-LN(2)/2))/(LN(2)/2)*CG156*CJ156*VLOOKUP('Données projet'!$B$12,Paramètres!$A$1:$I$89,3,0)*0.475*44/12</f>
        <v>1.3224268701167469E-6</v>
      </c>
      <c r="CN156" s="22">
        <f t="shared" si="172"/>
        <v>79.330731129798551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266.99999999999983</v>
      </c>
      <c r="CU156" s="17">
        <f>CT156*VLOOKUP('Données projet'!$B$13,Paramètres!$A$1:$I$89,3,0)*VLOOKUP('Données projet'!$B$13,Paramètres!$A$1:$I$89,5,0)</f>
        <v>195.76439999999985</v>
      </c>
      <c r="CV156" s="13">
        <f t="shared" si="173"/>
        <v>48.812154563023455</v>
      </c>
      <c r="CW156" s="20">
        <f t="shared" si="174"/>
        <v>425.9708325305989</v>
      </c>
      <c r="CX156" s="59">
        <f t="shared" si="122"/>
        <v>719.30416586393221</v>
      </c>
      <c r="CY156" s="59">
        <f ca="1">AVERAGE(OFFSET($CX$3,0,0,'Données projet'!$E$13+1,1))-AVERAGE(OFFSET($H$3,0,0,'Données projet'!$E$13+1,1))</f>
        <v>198.78436129430389</v>
      </c>
      <c r="CZ156" s="59">
        <f t="shared" si="150"/>
        <v>198.28846462484438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5.0713001263352568</v>
      </c>
      <c r="DG156" s="21">
        <f>EXP(-LN(2)/25)*DG155+(1-EXP(-LN(2)/25))/(LN(2)/25)*Calculateur!DB156*Calculateur!DD156*VLOOKUP('Données projet'!$B$13,Paramètres!$A$1:$I$89,3,0)*0.475*44/12</f>
        <v>0.82281345026026498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5.8941135765955215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274.57619581652199</v>
      </c>
      <c r="T157" s="59">
        <f t="shared" si="142"/>
        <v>366.15117322598775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163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278.21846622758881</v>
      </c>
      <c r="AO157" s="59">
        <f t="shared" si="144"/>
        <v>245.37578316242906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-2.8421709430404007E-13</v>
      </c>
      <c r="BE157" s="13">
        <f>BD157*VLOOKUP('Données projet'!$B$11,Paramètres!$A$1:$I$89,3,0)*VLOOKUP('Données projet'!$B$11,Paramètres!$A$1:$I$89,5,0)</f>
        <v>-1.69961822393816E-13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187.18641061466138</v>
      </c>
      <c r="BJ157" s="59">
        <f t="shared" si="146"/>
        <v>143.07246221325369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43.239182047072639</v>
      </c>
      <c r="BQ157" s="21">
        <f>EXP(-LN(2)/25)*BQ156+(1-EXP(-LN(2)/25))/(LN(2)/25)*Calculateur!BL157*Calculateur!BN157*VLOOKUP('Données projet'!$B$11,Paramètres!$A$1:$I$89,3,0)*0.475*44/12</f>
        <v>8.676370032908217</v>
      </c>
      <c r="BR157" s="21">
        <f>EXP(-LN(2)/2)*BR156+(1-EXP(-LN(2)/2))/(LN(2)/2)*BL157*BO157*VLOOKUP('Données projet'!$B$11,Paramètres!$A$1:$I$89,3,0)*0.475*44/12</f>
        <v>3.8252643703329921E-7</v>
      </c>
      <c r="BS157" s="22">
        <f t="shared" si="169"/>
        <v>51.915552462507293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3.4106051316484809E-13</v>
      </c>
      <c r="BZ157" s="13">
        <f>BY157*VLOOKUP('Données projet'!$B$12,Paramètres!$A$1:$I$89,3,0)*VLOOKUP('Données projet'!$B$12,Paramètres!$A$1:$I$89,5,0)</f>
        <v>1.5961632016114892E-13</v>
      </c>
      <c r="CA157" s="13">
        <f t="shared" si="170"/>
        <v>2.2708641912150958E-12</v>
      </c>
      <c r="CB157" s="20">
        <f t="shared" si="171"/>
        <v>4.2330868906469593E-12</v>
      </c>
      <c r="CC157" s="59">
        <f t="shared" si="119"/>
        <v>293.33333333333752</v>
      </c>
      <c r="CD157" s="59">
        <f ca="1">AVERAGE(OFFSET($CC$3,0,0,'Données projet'!$E$12+1,1))-AVERAGE(OFFSET($H$3,0,0,'Données projet'!$E$12+1,1))</f>
        <v>198.17898804494365</v>
      </c>
      <c r="CE157" s="59">
        <f t="shared" si="148"/>
        <v>186.24772922797723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66.39632533106014</v>
      </c>
      <c r="CL157" s="21">
        <f>EXP(-LN(2)/25)*CL156+(1-EXP(-LN(2)/25))/(LN(2)/25)*Calculateur!CG157*Calculateur!CI157*VLOOKUP('Données projet'!$B$12,Paramètres!$A$1:$I$89,3,0)*0.475*44/12</f>
        <v>11.288994281680322</v>
      </c>
      <c r="CM157" s="21">
        <f>EXP(-LN(2)/2)*CM156+(1-EXP(-LN(2)/2))/(LN(2)/2)*CG157*CJ157*VLOOKUP('Données projet'!$B$12,Paramètres!$A$1:$I$89,3,0)*0.475*44/12</f>
        <v>9.3509700748285346E-7</v>
      </c>
      <c r="CN157" s="22">
        <f t="shared" si="172"/>
        <v>77.685320547837463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266.99999999999983</v>
      </c>
      <c r="CU157" s="17">
        <f>CT157*VLOOKUP('Données projet'!$B$13,Paramètres!$A$1:$I$89,3,0)*VLOOKUP('Données projet'!$B$13,Paramètres!$A$1:$I$89,5,0)</f>
        <v>195.76439999999985</v>
      </c>
      <c r="CV157" s="13">
        <f t="shared" si="173"/>
        <v>48.812154563023455</v>
      </c>
      <c r="CW157" s="20">
        <f t="shared" si="174"/>
        <v>425.9708325305989</v>
      </c>
      <c r="CX157" s="59">
        <f t="shared" si="122"/>
        <v>719.30416586393221</v>
      </c>
      <c r="CY157" s="59">
        <f ca="1">AVERAGE(OFFSET($CX$3,0,0,'Données projet'!$E$13+1,1))-AVERAGE(OFFSET($H$3,0,0,'Données projet'!$E$13+1,1))</f>
        <v>198.78436129430389</v>
      </c>
      <c r="CZ157" s="59">
        <f t="shared" si="150"/>
        <v>198.28846462484438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4.9718550240454729</v>
      </c>
      <c r="DG157" s="21">
        <f>EXP(-LN(2)/25)*DG156+(1-EXP(-LN(2)/25))/(LN(2)/25)*Calculateur!DB157*Calculateur!DD157*VLOOKUP('Données projet'!$B$13,Paramètres!$A$1:$I$89,3,0)*0.475*44/12</f>
        <v>0.80031357319301921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5.7721685972384922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274.57619581652199</v>
      </c>
      <c r="T158" s="59">
        <f t="shared" si="142"/>
        <v>366.15117322598775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163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278.21846622758881</v>
      </c>
      <c r="AO158" s="59">
        <f t="shared" si="144"/>
        <v>245.37578316242906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-2.8421709430404007E-13</v>
      </c>
      <c r="BE158" s="13">
        <f>BD158*VLOOKUP('Données projet'!$B$11,Paramètres!$A$1:$I$89,3,0)*VLOOKUP('Données projet'!$B$11,Paramètres!$A$1:$I$89,5,0)</f>
        <v>-1.69961822393816E-13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187.18641061466138</v>
      </c>
      <c r="BJ158" s="59">
        <f t="shared" si="146"/>
        <v>143.07246221325369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42.391288060426447</v>
      </c>
      <c r="BQ158" s="21">
        <f>EXP(-LN(2)/25)*BQ157+(1-EXP(-LN(2)/25))/(LN(2)/25)*Calculateur!BL158*Calculateur!BN158*VLOOKUP('Données projet'!$B$11,Paramètres!$A$1:$I$89,3,0)*0.475*44/12</f>
        <v>8.4391142380878712</v>
      </c>
      <c r="BR158" s="21">
        <f>EXP(-LN(2)/2)*BR157+(1-EXP(-LN(2)/2))/(LN(2)/2)*BL158*BO158*VLOOKUP('Données projet'!$B$11,Paramètres!$A$1:$I$89,3,0)*0.475*44/12</f>
        <v>2.7048703760937475E-7</v>
      </c>
      <c r="BS158" s="22">
        <f t="shared" si="169"/>
        <v>50.83040256900135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3.4106051316484809E-13</v>
      </c>
      <c r="BZ158" s="13">
        <f>BY158*VLOOKUP('Données projet'!$B$12,Paramètres!$A$1:$I$89,3,0)*VLOOKUP('Données projet'!$B$12,Paramètres!$A$1:$I$89,5,0)</f>
        <v>1.5961632016114892E-13</v>
      </c>
      <c r="CA158" s="13">
        <f t="shared" si="170"/>
        <v>2.2708641912150958E-12</v>
      </c>
      <c r="CB158" s="20">
        <f t="shared" si="171"/>
        <v>4.2330868906469593E-12</v>
      </c>
      <c r="CC158" s="59">
        <f t="shared" si="119"/>
        <v>293.33333333333752</v>
      </c>
      <c r="CD158" s="59">
        <f ca="1">AVERAGE(OFFSET($CC$3,0,0,'Données projet'!$E$12+1,1))-AVERAGE(OFFSET($H$3,0,0,'Données projet'!$E$12+1,1))</f>
        <v>198.17898804494365</v>
      </c>
      <c r="CE158" s="59">
        <f t="shared" si="148"/>
        <v>186.24772922797723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65.094333889077674</v>
      </c>
      <c r="CL158" s="21">
        <f>EXP(-LN(2)/25)*CL157+(1-EXP(-LN(2)/25))/(LN(2)/25)*Calculateur!CG158*Calculateur!CI158*VLOOKUP('Données projet'!$B$12,Paramètres!$A$1:$I$89,3,0)*0.475*44/12</f>
        <v>10.980296139385366</v>
      </c>
      <c r="CM158" s="21">
        <f>EXP(-LN(2)/2)*CM157+(1-EXP(-LN(2)/2))/(LN(2)/2)*CG158*CJ158*VLOOKUP('Données projet'!$B$12,Paramètres!$A$1:$I$89,3,0)*0.475*44/12</f>
        <v>6.6121343505837354E-7</v>
      </c>
      <c r="CN158" s="22">
        <f t="shared" si="172"/>
        <v>76.074630689676482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266.99999999999983</v>
      </c>
      <c r="CU158" s="17">
        <f>CT158*VLOOKUP('Données projet'!$B$13,Paramètres!$A$1:$I$89,3,0)*VLOOKUP('Données projet'!$B$13,Paramètres!$A$1:$I$89,5,0)</f>
        <v>195.76439999999985</v>
      </c>
      <c r="CV158" s="13">
        <f t="shared" si="173"/>
        <v>48.812154563023455</v>
      </c>
      <c r="CW158" s="20">
        <f t="shared" si="174"/>
        <v>425.9708325305989</v>
      </c>
      <c r="CX158" s="59">
        <f t="shared" si="122"/>
        <v>719.30416586393221</v>
      </c>
      <c r="CY158" s="59">
        <f ca="1">AVERAGE(OFFSET($CX$3,0,0,'Données projet'!$E$13+1,1))-AVERAGE(OFFSET($H$3,0,0,'Données projet'!$E$13+1,1))</f>
        <v>198.78436129430389</v>
      </c>
      <c r="CZ158" s="59">
        <f t="shared" si="150"/>
        <v>198.28846462484438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4.8743599795560684</v>
      </c>
      <c r="DG158" s="21">
        <f>EXP(-LN(2)/25)*DG157+(1-EXP(-LN(2)/25))/(LN(2)/25)*Calculateur!DB158*Calculateur!DD158*VLOOKUP('Données projet'!$B$13,Paramètres!$A$1:$I$89,3,0)*0.475*44/12</f>
        <v>0.7784289564473944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5.6527889360034624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274.57619581652199</v>
      </c>
      <c r="T159" s="59">
        <f t="shared" si="142"/>
        <v>366.15117322598775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163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278.21846622758881</v>
      </c>
      <c r="AO159" s="59">
        <f t="shared" si="144"/>
        <v>245.37578316242906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-2.8421709430404007E-13</v>
      </c>
      <c r="BE159" s="13">
        <f>BD159*VLOOKUP('Données projet'!$B$11,Paramètres!$A$1:$I$89,3,0)*VLOOKUP('Données projet'!$B$11,Paramètres!$A$1:$I$89,5,0)</f>
        <v>-1.69961822393816E-13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187.18641061466138</v>
      </c>
      <c r="BJ159" s="59">
        <f t="shared" si="146"/>
        <v>143.07246221325369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41.560020757694119</v>
      </c>
      <c r="BQ159" s="21">
        <f>EXP(-LN(2)/25)*BQ158+(1-EXP(-LN(2)/25))/(LN(2)/25)*Calculateur!BL159*Calculateur!BN159*VLOOKUP('Données projet'!$B$11,Paramètres!$A$1:$I$89,3,0)*0.475*44/12</f>
        <v>8.2083462154536289</v>
      </c>
      <c r="BR159" s="21">
        <f>EXP(-LN(2)/2)*BR158+(1-EXP(-LN(2)/2))/(LN(2)/2)*BL159*BO159*VLOOKUP('Données projet'!$B$11,Paramètres!$A$1:$I$89,3,0)*0.475*44/12</f>
        <v>1.9126321851664961E-7</v>
      </c>
      <c r="BS159" s="22">
        <f t="shared" si="169"/>
        <v>49.768367164410968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3.4106051316484809E-13</v>
      </c>
      <c r="BZ159" s="13">
        <f>BY159*VLOOKUP('Données projet'!$B$12,Paramètres!$A$1:$I$89,3,0)*VLOOKUP('Données projet'!$B$12,Paramètres!$A$1:$I$89,5,0)</f>
        <v>1.5961632016114892E-13</v>
      </c>
      <c r="CA159" s="13">
        <f t="shared" si="170"/>
        <v>2.2708641912150958E-12</v>
      </c>
      <c r="CB159" s="20">
        <f t="shared" si="171"/>
        <v>4.2330868906469593E-12</v>
      </c>
      <c r="CC159" s="59">
        <f t="shared" si="119"/>
        <v>293.33333333333752</v>
      </c>
      <c r="CD159" s="59">
        <f ca="1">AVERAGE(OFFSET($CC$3,0,0,'Données projet'!$E$12+1,1))-AVERAGE(OFFSET($H$3,0,0,'Données projet'!$E$12+1,1))</f>
        <v>198.17898804494365</v>
      </c>
      <c r="CE159" s="59">
        <f t="shared" si="148"/>
        <v>186.24772922797723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63.81787370513613</v>
      </c>
      <c r="CL159" s="21">
        <f>EXP(-LN(2)/25)*CL158+(1-EXP(-LN(2)/25))/(LN(2)/25)*Calculateur!CG159*Calculateur!CI159*VLOOKUP('Données projet'!$B$12,Paramètres!$A$1:$I$89,3,0)*0.475*44/12</f>
        <v>10.680039364025195</v>
      </c>
      <c r="CM159" s="21">
        <f>EXP(-LN(2)/2)*CM158+(1-EXP(-LN(2)/2))/(LN(2)/2)*CG159*CJ159*VLOOKUP('Données projet'!$B$12,Paramètres!$A$1:$I$89,3,0)*0.475*44/12</f>
        <v>4.6754850374142684E-7</v>
      </c>
      <c r="CN159" s="22">
        <f t="shared" si="172"/>
        <v>74.497913536709831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266.99999999999983</v>
      </c>
      <c r="CU159" s="17">
        <f>CT159*VLOOKUP('Données projet'!$B$13,Paramètres!$A$1:$I$89,3,0)*VLOOKUP('Données projet'!$B$13,Paramètres!$A$1:$I$89,5,0)</f>
        <v>195.76439999999985</v>
      </c>
      <c r="CV159" s="13">
        <f t="shared" si="173"/>
        <v>48.812154563023455</v>
      </c>
      <c r="CW159" s="20">
        <f t="shared" si="174"/>
        <v>425.9708325305989</v>
      </c>
      <c r="CX159" s="59">
        <f t="shared" si="122"/>
        <v>719.30416586393221</v>
      </c>
      <c r="CY159" s="59">
        <f ca="1">AVERAGE(OFFSET($CX$3,0,0,'Données projet'!$E$13+1,1))-AVERAGE(OFFSET($H$3,0,0,'Données projet'!$E$13+1,1))</f>
        <v>198.78436129430389</v>
      </c>
      <c r="CZ159" s="59">
        <f t="shared" si="150"/>
        <v>198.28846462484438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4.7787767534229957</v>
      </c>
      <c r="DG159" s="21">
        <f>EXP(-LN(2)/25)*DG158+(1-EXP(-LN(2)/25))/(LN(2)/25)*Calculateur!DB159*Calculateur!DD159*VLOOKUP('Données projet'!$B$13,Paramètres!$A$1:$I$89,3,0)*0.475*44/12</f>
        <v>0.75714277569754074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5.5359195291205365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274.57619581652199</v>
      </c>
      <c r="T160" s="59">
        <f t="shared" si="142"/>
        <v>366.15117322598775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163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278.21846622758881</v>
      </c>
      <c r="AO160" s="59">
        <f t="shared" si="144"/>
        <v>245.37578316242906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-2.8421709430404007E-13</v>
      </c>
      <c r="BE160" s="13">
        <f>BD160*VLOOKUP('Données projet'!$B$11,Paramètres!$A$1:$I$89,3,0)*VLOOKUP('Données projet'!$B$11,Paramètres!$A$1:$I$89,5,0)</f>
        <v>-1.69961822393816E-13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187.18641061466138</v>
      </c>
      <c r="BJ160" s="59">
        <f t="shared" si="146"/>
        <v>143.07246221325369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40.745054099745381</v>
      </c>
      <c r="BQ160" s="21">
        <f>EXP(-LN(2)/25)*BQ159+(1-EXP(-LN(2)/25))/(LN(2)/25)*Calculateur!BL160*Calculateur!BN160*VLOOKUP('Données projet'!$B$11,Paramètres!$A$1:$I$89,3,0)*0.475*44/12</f>
        <v>7.9838885565338824</v>
      </c>
      <c r="BR160" s="21">
        <f>EXP(-LN(2)/2)*BR159+(1-EXP(-LN(2)/2))/(LN(2)/2)*BL160*BO160*VLOOKUP('Données projet'!$B$11,Paramètres!$A$1:$I$89,3,0)*0.475*44/12</f>
        <v>1.3524351880468738E-7</v>
      </c>
      <c r="BS160" s="22">
        <f t="shared" si="169"/>
        <v>48.728942791522783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3.4106051316484809E-13</v>
      </c>
      <c r="BZ160" s="13">
        <f>BY160*VLOOKUP('Données projet'!$B$12,Paramètres!$A$1:$I$89,3,0)*VLOOKUP('Données projet'!$B$12,Paramètres!$A$1:$I$89,5,0)</f>
        <v>1.5961632016114892E-13</v>
      </c>
      <c r="CA160" s="13">
        <f t="shared" si="170"/>
        <v>2.2708641912150958E-12</v>
      </c>
      <c r="CB160" s="20">
        <f t="shared" si="171"/>
        <v>4.2330868906469593E-12</v>
      </c>
      <c r="CC160" s="59">
        <f t="shared" si="119"/>
        <v>293.33333333333752</v>
      </c>
      <c r="CD160" s="59">
        <f ca="1">AVERAGE(OFFSET($CC$3,0,0,'Données projet'!$E$12+1,1))-AVERAGE(OFFSET($H$3,0,0,'Données projet'!$E$12+1,1))</f>
        <v>198.17898804494365</v>
      </c>
      <c r="CE160" s="59">
        <f t="shared" si="148"/>
        <v>186.24772922797723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62.566444126837837</v>
      </c>
      <c r="CL160" s="21">
        <f>EXP(-LN(2)/25)*CL159+(1-EXP(-LN(2)/25))/(LN(2)/25)*Calculateur!CG160*Calculateur!CI160*VLOOKUP('Données projet'!$B$12,Paramètres!$A$1:$I$89,3,0)*0.475*44/12</f>
        <v>10.387993125977065</v>
      </c>
      <c r="CM160" s="21">
        <f>EXP(-LN(2)/2)*CM159+(1-EXP(-LN(2)/2))/(LN(2)/2)*CG160*CJ160*VLOOKUP('Données projet'!$B$12,Paramètres!$A$1:$I$89,3,0)*0.475*44/12</f>
        <v>3.3060671752918682E-7</v>
      </c>
      <c r="CN160" s="22">
        <f t="shared" si="172"/>
        <v>72.954437583421623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266.99999999999983</v>
      </c>
      <c r="CU160" s="17">
        <f>CT160*VLOOKUP('Données projet'!$B$13,Paramètres!$A$1:$I$89,3,0)*VLOOKUP('Données projet'!$B$13,Paramètres!$A$1:$I$89,5,0)</f>
        <v>195.76439999999985</v>
      </c>
      <c r="CV160" s="13">
        <f t="shared" si="173"/>
        <v>48.812154563023455</v>
      </c>
      <c r="CW160" s="20">
        <f t="shared" si="174"/>
        <v>425.9708325305989</v>
      </c>
      <c r="CX160" s="59">
        <f t="shared" si="122"/>
        <v>719.30416586393221</v>
      </c>
      <c r="CY160" s="59">
        <f ca="1">AVERAGE(OFFSET($CX$3,0,0,'Données projet'!$E$13+1,1))-AVERAGE(OFFSET($H$3,0,0,'Données projet'!$E$13+1,1))</f>
        <v>198.78436129430389</v>
      </c>
      <c r="CZ160" s="59">
        <f t="shared" si="150"/>
        <v>198.28846462484438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4.6850678560543813</v>
      </c>
      <c r="DG160" s="21">
        <f>EXP(-LN(2)/25)*DG159+(1-EXP(-LN(2)/25))/(LN(2)/25)*Calculateur!DB160*Calculateur!DD160*VLOOKUP('Données projet'!$B$13,Paramètres!$A$1:$I$89,3,0)*0.475*44/12</f>
        <v>0.73643866667968338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5.4215065227340649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274.57619581652199</v>
      </c>
      <c r="T161" s="59">
        <f t="shared" si="142"/>
        <v>366.15117322598775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163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278.21846622758881</v>
      </c>
      <c r="AO161" s="59">
        <f t="shared" si="144"/>
        <v>245.37578316242906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-2.8421709430404007E-13</v>
      </c>
      <c r="BE161" s="13">
        <f>BD161*VLOOKUP('Données projet'!$B$11,Paramètres!$A$1:$I$89,3,0)*VLOOKUP('Données projet'!$B$11,Paramètres!$A$1:$I$89,5,0)</f>
        <v>-1.69961822393816E-13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187.18641061466138</v>
      </c>
      <c r="BJ161" s="59">
        <f t="shared" si="146"/>
        <v>143.07246221325369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39.946068440878442</v>
      </c>
      <c r="BQ161" s="21">
        <f>EXP(-LN(2)/25)*BQ160+(1-EXP(-LN(2)/25))/(LN(2)/25)*Calculateur!BL161*Calculateur!BN161*VLOOKUP('Données projet'!$B$11,Paramètres!$A$1:$I$89,3,0)*0.475*44/12</f>
        <v>7.7655687041010113</v>
      </c>
      <c r="BR161" s="21">
        <f>EXP(-LN(2)/2)*BR160+(1-EXP(-LN(2)/2))/(LN(2)/2)*BL161*BO161*VLOOKUP('Données projet'!$B$11,Paramètres!$A$1:$I$89,3,0)*0.475*44/12</f>
        <v>9.5631609258324803E-8</v>
      </c>
      <c r="BS161" s="22">
        <f t="shared" si="169"/>
        <v>47.711637240611061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3.4106051316484809E-13</v>
      </c>
      <c r="BZ161" s="13">
        <f>BY161*VLOOKUP('Données projet'!$B$12,Paramètres!$A$1:$I$89,3,0)*VLOOKUP('Données projet'!$B$12,Paramètres!$A$1:$I$89,5,0)</f>
        <v>1.5961632016114892E-13</v>
      </c>
      <c r="CA161" s="13">
        <f t="shared" si="170"/>
        <v>2.2708641912150958E-12</v>
      </c>
      <c r="CB161" s="20">
        <f t="shared" si="171"/>
        <v>4.2330868906469593E-12</v>
      </c>
      <c r="CC161" s="59">
        <f t="shared" si="119"/>
        <v>293.33333333333752</v>
      </c>
      <c r="CD161" s="59">
        <f ca="1">AVERAGE(OFFSET($CC$3,0,0,'Données projet'!$E$12+1,1))-AVERAGE(OFFSET($H$3,0,0,'Données projet'!$E$12+1,1))</f>
        <v>198.17898804494365</v>
      </c>
      <c r="CE161" s="59">
        <f t="shared" si="148"/>
        <v>186.24772922797723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61.339554319273304</v>
      </c>
      <c r="CL161" s="21">
        <f>EXP(-LN(2)/25)*CL160+(1-EXP(-LN(2)/25))/(LN(2)/25)*Calculateur!CG161*Calculateur!CI161*VLOOKUP('Données projet'!$B$12,Paramètres!$A$1:$I$89,3,0)*0.475*44/12</f>
        <v>10.103932907666406</v>
      </c>
      <c r="CM161" s="21">
        <f>EXP(-LN(2)/2)*CM160+(1-EXP(-LN(2)/2))/(LN(2)/2)*CG161*CJ161*VLOOKUP('Données projet'!$B$12,Paramètres!$A$1:$I$89,3,0)*0.475*44/12</f>
        <v>2.3377425187071344E-7</v>
      </c>
      <c r="CN161" s="22">
        <f t="shared" si="172"/>
        <v>71.443487460713968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266.99999999999983</v>
      </c>
      <c r="CU161" s="17">
        <f>CT161*VLOOKUP('Données projet'!$B$13,Paramètres!$A$1:$I$89,3,0)*VLOOKUP('Données projet'!$B$13,Paramètres!$A$1:$I$89,5,0)</f>
        <v>195.76439999999985</v>
      </c>
      <c r="CV161" s="13">
        <f t="shared" si="173"/>
        <v>48.812154563023455</v>
      </c>
      <c r="CW161" s="20">
        <f t="shared" si="174"/>
        <v>425.9708325305989</v>
      </c>
      <c r="CX161" s="59">
        <f t="shared" si="122"/>
        <v>719.30416586393221</v>
      </c>
      <c r="CY161" s="59">
        <f ca="1">AVERAGE(OFFSET($CX$3,0,0,'Données projet'!$E$13+1,1))-AVERAGE(OFFSET($H$3,0,0,'Données projet'!$E$13+1,1))</f>
        <v>198.78436129430389</v>
      </c>
      <c r="CZ161" s="59">
        <f t="shared" si="150"/>
        <v>198.28846462484438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4.593196533006382</v>
      </c>
      <c r="DG161" s="21">
        <f>EXP(-LN(2)/25)*DG160+(1-EXP(-LN(2)/25))/(LN(2)/25)*Calculateur!DB161*Calculateur!DD161*VLOOKUP('Données projet'!$B$13,Paramètres!$A$1:$I$89,3,0)*0.475*44/12</f>
        <v>0.71630071261170114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5.3094972456180827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274.57619581652199</v>
      </c>
      <c r="T162" s="59">
        <f t="shared" si="142"/>
        <v>366.15117322598775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163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278.21846622758881</v>
      </c>
      <c r="AO162" s="59">
        <f t="shared" si="144"/>
        <v>245.37578316242906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-2.8421709430404007E-13</v>
      </c>
      <c r="BE162" s="13">
        <f>BD162*VLOOKUP('Données projet'!$B$11,Paramètres!$A$1:$I$89,3,0)*VLOOKUP('Données projet'!$B$11,Paramètres!$A$1:$I$89,5,0)</f>
        <v>-1.69961822393816E-13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187.18641061466138</v>
      </c>
      <c r="BJ162" s="59">
        <f t="shared" si="146"/>
        <v>143.07246221325369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39.162750403448747</v>
      </c>
      <c r="BQ162" s="21">
        <f>EXP(-LN(2)/25)*BQ161+(1-EXP(-LN(2)/25))/(LN(2)/25)*Calculateur!BL162*Calculateur!BN162*VLOOKUP('Données projet'!$B$11,Paramètres!$A$1:$I$89,3,0)*0.475*44/12</f>
        <v>7.5532188195138596</v>
      </c>
      <c r="BR162" s="21">
        <f>EXP(-LN(2)/2)*BR161+(1-EXP(-LN(2)/2))/(LN(2)/2)*BL162*BO162*VLOOKUP('Données projet'!$B$11,Paramètres!$A$1:$I$89,3,0)*0.475*44/12</f>
        <v>6.7621759402343688E-8</v>
      </c>
      <c r="BS162" s="22">
        <f t="shared" si="169"/>
        <v>46.715969290584368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3.4106051316484809E-13</v>
      </c>
      <c r="BZ162" s="13">
        <f>BY162*VLOOKUP('Données projet'!$B$12,Paramètres!$A$1:$I$89,3,0)*VLOOKUP('Données projet'!$B$12,Paramètres!$A$1:$I$89,5,0)</f>
        <v>1.5961632016114892E-13</v>
      </c>
      <c r="CA162" s="13">
        <f t="shared" si="170"/>
        <v>2.2708641912150958E-12</v>
      </c>
      <c r="CB162" s="20">
        <f t="shared" si="171"/>
        <v>4.2330868906469593E-12</v>
      </c>
      <c r="CC162" s="59">
        <f t="shared" si="119"/>
        <v>293.33333333333752</v>
      </c>
      <c r="CD162" s="59">
        <f ca="1">AVERAGE(OFFSET($CC$3,0,0,'Données projet'!$E$12+1,1))-AVERAGE(OFFSET($H$3,0,0,'Données projet'!$E$12+1,1))</f>
        <v>198.17898804494365</v>
      </c>
      <c r="CE162" s="59">
        <f t="shared" si="148"/>
        <v>186.24772922797723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60.136723072506221</v>
      </c>
      <c r="CL162" s="21">
        <f>EXP(-LN(2)/25)*CL161+(1-EXP(-LN(2)/25))/(LN(2)/25)*Calculateur!CG162*Calculateur!CI162*VLOOKUP('Données projet'!$B$12,Paramètres!$A$1:$I$89,3,0)*0.475*44/12</f>
        <v>9.8276403309635292</v>
      </c>
      <c r="CM162" s="21">
        <f>EXP(-LN(2)/2)*CM161+(1-EXP(-LN(2)/2))/(LN(2)/2)*CG162*CJ162*VLOOKUP('Données projet'!$B$12,Paramètres!$A$1:$I$89,3,0)*0.475*44/12</f>
        <v>1.6530335876459344E-7</v>
      </c>
      <c r="CN162" s="22">
        <f t="shared" si="172"/>
        <v>69.964363568773109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266.99999999999983</v>
      </c>
      <c r="CU162" s="17">
        <f>CT162*VLOOKUP('Données projet'!$B$13,Paramètres!$A$1:$I$89,3,0)*VLOOKUP('Données projet'!$B$13,Paramètres!$A$1:$I$89,5,0)</f>
        <v>195.76439999999985</v>
      </c>
      <c r="CV162" s="13">
        <f t="shared" si="173"/>
        <v>48.812154563023455</v>
      </c>
      <c r="CW162" s="20">
        <f t="shared" si="174"/>
        <v>425.9708325305989</v>
      </c>
      <c r="CX162" s="59">
        <f t="shared" si="122"/>
        <v>719.30416586393221</v>
      </c>
      <c r="CY162" s="59">
        <f ca="1">AVERAGE(OFFSET($CX$3,0,0,'Données projet'!$E$13+1,1))-AVERAGE(OFFSET($H$3,0,0,'Données projet'!$E$13+1,1))</f>
        <v>198.78436129430389</v>
      </c>
      <c r="CZ162" s="59">
        <f t="shared" si="150"/>
        <v>198.28846462484438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4.5031267505673798</v>
      </c>
      <c r="DG162" s="21">
        <f>EXP(-LN(2)/25)*DG161+(1-EXP(-LN(2)/25))/(LN(2)/25)*Calculateur!DB162*Calculateur!DD162*VLOOKUP('Données projet'!$B$13,Paramètres!$A$1:$I$89,3,0)*0.475*44/12</f>
        <v>0.69671343195671687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5.1998401825240963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274.57619581652199</v>
      </c>
      <c r="T163" s="59">
        <f t="shared" si="142"/>
        <v>366.15117322598775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163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278.21846622758881</v>
      </c>
      <c r="AO163" s="59">
        <f t="shared" si="144"/>
        <v>245.37578316242906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-2.8421709430404007E-13</v>
      </c>
      <c r="BE163" s="13">
        <f>BD163*VLOOKUP('Données projet'!$B$11,Paramètres!$A$1:$I$89,3,0)*VLOOKUP('Données projet'!$B$11,Paramètres!$A$1:$I$89,5,0)</f>
        <v>-1.69961822393816E-13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187.18641061466138</v>
      </c>
      <c r="BJ163" s="59">
        <f t="shared" si="146"/>
        <v>143.07246221325369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38.394792754956228</v>
      </c>
      <c r="BQ163" s="21">
        <f>EXP(-LN(2)/25)*BQ162+(1-EXP(-LN(2)/25))/(LN(2)/25)*Calculateur!BL163*Calculateur!BN163*VLOOKUP('Données projet'!$B$11,Paramètres!$A$1:$I$89,3,0)*0.475*44/12</f>
        <v>7.3466756536877389</v>
      </c>
      <c r="BR163" s="21">
        <f>EXP(-LN(2)/2)*BR162+(1-EXP(-LN(2)/2))/(LN(2)/2)*BL163*BO163*VLOOKUP('Données projet'!$B$11,Paramètres!$A$1:$I$89,3,0)*0.475*44/12</f>
        <v>4.7815804629162401E-8</v>
      </c>
      <c r="BS163" s="22">
        <f t="shared" si="169"/>
        <v>45.741468456459771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3.4106051316484809E-13</v>
      </c>
      <c r="BZ163" s="13">
        <f>BY163*VLOOKUP('Données projet'!$B$12,Paramètres!$A$1:$I$89,3,0)*VLOOKUP('Données projet'!$B$12,Paramètres!$A$1:$I$89,5,0)</f>
        <v>1.5961632016114892E-13</v>
      </c>
      <c r="CA163" s="13">
        <f t="shared" si="170"/>
        <v>2.2708641912150958E-12</v>
      </c>
      <c r="CB163" s="20">
        <f t="shared" si="171"/>
        <v>4.2330868906469593E-12</v>
      </c>
      <c r="CC163" s="59">
        <f t="shared" si="119"/>
        <v>293.33333333333752</v>
      </c>
      <c r="CD163" s="59">
        <f ca="1">AVERAGE(OFFSET($CC$3,0,0,'Données projet'!$E$12+1,1))-AVERAGE(OFFSET($H$3,0,0,'Données projet'!$E$12+1,1))</f>
        <v>198.17898804494365</v>
      </c>
      <c r="CE163" s="59">
        <f t="shared" si="148"/>
        <v>186.24772922797723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58.957478612833619</v>
      </c>
      <c r="CL163" s="21">
        <f>EXP(-LN(2)/25)*CL162+(1-EXP(-LN(2)/25))/(LN(2)/25)*Calculateur!CG163*Calculateur!CI163*VLOOKUP('Données projet'!$B$12,Paramètres!$A$1:$I$89,3,0)*0.475*44/12</f>
        <v>9.5589029893001882</v>
      </c>
      <c r="CM163" s="21">
        <f>EXP(-LN(2)/2)*CM162+(1-EXP(-LN(2)/2))/(LN(2)/2)*CG163*CJ163*VLOOKUP('Données projet'!$B$12,Paramètres!$A$1:$I$89,3,0)*0.475*44/12</f>
        <v>1.1688712593535675E-7</v>
      </c>
      <c r="CN163" s="22">
        <f t="shared" si="172"/>
        <v>68.516381719020927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266.99999999999983</v>
      </c>
      <c r="CU163" s="17">
        <f>CT163*VLOOKUP('Données projet'!$B$13,Paramètres!$A$1:$I$89,3,0)*VLOOKUP('Données projet'!$B$13,Paramètres!$A$1:$I$89,5,0)</f>
        <v>195.76439999999985</v>
      </c>
      <c r="CV163" s="13">
        <f t="shared" si="173"/>
        <v>48.812154563023455</v>
      </c>
      <c r="CW163" s="20">
        <f t="shared" si="174"/>
        <v>425.9708325305989</v>
      </c>
      <c r="CX163" s="59">
        <f t="shared" si="122"/>
        <v>719.30416586393221</v>
      </c>
      <c r="CY163" s="59">
        <f ca="1">AVERAGE(OFFSET($CX$3,0,0,'Données projet'!$E$13+1,1))-AVERAGE(OFFSET($H$3,0,0,'Données projet'!$E$13+1,1))</f>
        <v>198.78436129430389</v>
      </c>
      <c r="CZ163" s="59">
        <f t="shared" si="150"/>
        <v>198.28846462484438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4.4148231816248638</v>
      </c>
      <c r="DG163" s="21">
        <f>EXP(-LN(2)/25)*DG162+(1-EXP(-LN(2)/25))/(LN(2)/25)*Calculateur!DB163*Calculateur!DD163*VLOOKUP('Données projet'!$B$13,Paramètres!$A$1:$I$89,3,0)*0.475*44/12</f>
        <v>0.6776617665212934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5.0924849481461569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274.57619581652199</v>
      </c>
      <c r="T164" s="59">
        <f t="shared" si="142"/>
        <v>366.15117322598775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163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278.21846622758881</v>
      </c>
      <c r="AO164" s="59">
        <f t="shared" si="144"/>
        <v>245.37578316242906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-2.8421709430404007E-13</v>
      </c>
      <c r="BE164" s="13">
        <f>BD164*VLOOKUP('Données projet'!$B$11,Paramètres!$A$1:$I$89,3,0)*VLOOKUP('Données projet'!$B$11,Paramètres!$A$1:$I$89,5,0)</f>
        <v>-1.69961822393816E-13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187.18641061466138</v>
      </c>
      <c r="BJ164" s="59">
        <f t="shared" si="146"/>
        <v>143.07246221325369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37.641894287542733</v>
      </c>
      <c r="BQ164" s="21">
        <f>EXP(-LN(2)/25)*BQ163+(1-EXP(-LN(2)/25))/(LN(2)/25)*Calculateur!BL164*Calculateur!BN164*VLOOKUP('Données projet'!$B$11,Paramètres!$A$1:$I$89,3,0)*0.475*44/12</f>
        <v>7.1457804215927663</v>
      </c>
      <c r="BR164" s="21">
        <f>EXP(-LN(2)/2)*BR163+(1-EXP(-LN(2)/2))/(LN(2)/2)*BL164*BO164*VLOOKUP('Données projet'!$B$11,Paramètres!$A$1:$I$89,3,0)*0.475*44/12</f>
        <v>3.3810879701171844E-8</v>
      </c>
      <c r="BS164" s="22">
        <f t="shared" si="169"/>
        <v>44.787674742946379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3.4106051316484809E-13</v>
      </c>
      <c r="BZ164" s="13">
        <f>BY164*VLOOKUP('Données projet'!$B$12,Paramètres!$A$1:$I$89,3,0)*VLOOKUP('Données projet'!$B$12,Paramètres!$A$1:$I$89,5,0)</f>
        <v>1.5961632016114892E-13</v>
      </c>
      <c r="CA164" s="13">
        <f t="shared" si="170"/>
        <v>2.2708641912150958E-12</v>
      </c>
      <c r="CB164" s="20">
        <f t="shared" si="171"/>
        <v>4.2330868906469593E-12</v>
      </c>
      <c r="CC164" s="59">
        <f t="shared" si="119"/>
        <v>293.33333333333752</v>
      </c>
      <c r="CD164" s="59">
        <f ca="1">AVERAGE(OFFSET($CC$3,0,0,'Données projet'!$E$12+1,1))-AVERAGE(OFFSET($H$3,0,0,'Données projet'!$E$12+1,1))</f>
        <v>198.17898804494365</v>
      </c>
      <c r="CE164" s="59">
        <f t="shared" si="148"/>
        <v>186.24772922797723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57.801358417747096</v>
      </c>
      <c r="CL164" s="21">
        <f>EXP(-LN(2)/25)*CL163+(1-EXP(-LN(2)/25))/(LN(2)/25)*Calculateur!CG164*Calculateur!CI164*VLOOKUP('Données projet'!$B$12,Paramètres!$A$1:$I$89,3,0)*0.475*44/12</f>
        <v>9.2975142843769127</v>
      </c>
      <c r="CM164" s="21">
        <f>EXP(-LN(2)/2)*CM163+(1-EXP(-LN(2)/2))/(LN(2)/2)*CG164*CJ164*VLOOKUP('Données projet'!$B$12,Paramètres!$A$1:$I$89,3,0)*0.475*44/12</f>
        <v>8.2651679382296732E-8</v>
      </c>
      <c r="CN164" s="22">
        <f t="shared" si="172"/>
        <v>67.098872784775693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266.99999999999983</v>
      </c>
      <c r="CU164" s="17">
        <f>CT164*VLOOKUP('Données projet'!$B$13,Paramètres!$A$1:$I$89,3,0)*VLOOKUP('Données projet'!$B$13,Paramètres!$A$1:$I$89,5,0)</f>
        <v>195.76439999999985</v>
      </c>
      <c r="CV164" s="13">
        <f t="shared" si="173"/>
        <v>48.812154563023455</v>
      </c>
      <c r="CW164" s="20">
        <f t="shared" si="174"/>
        <v>425.9708325305989</v>
      </c>
      <c r="CX164" s="59">
        <f t="shared" si="122"/>
        <v>719.30416586393221</v>
      </c>
      <c r="CY164" s="59">
        <f ca="1">AVERAGE(OFFSET($CX$3,0,0,'Données projet'!$E$13+1,1))-AVERAGE(OFFSET($H$3,0,0,'Données projet'!$E$13+1,1))</f>
        <v>198.78436129430389</v>
      </c>
      <c r="CZ164" s="59">
        <f t="shared" si="150"/>
        <v>198.28846462484438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4.3282511918094517</v>
      </c>
      <c r="DG164" s="21">
        <f>EXP(-LN(2)/25)*DG163+(1-EXP(-LN(2)/25))/(LN(2)/25)*Calculateur!DB164*Calculateur!DD164*VLOOKUP('Données projet'!$B$13,Paramètres!$A$1:$I$89,3,0)*0.475*44/12</f>
        <v>0.6591310698790851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4.9873822616885368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274.57619581652199</v>
      </c>
      <c r="T165" s="59">
        <f t="shared" si="142"/>
        <v>366.15117322598775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163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278.21846622758881</v>
      </c>
      <c r="AO165" s="59">
        <f t="shared" si="144"/>
        <v>245.37578316242906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-2.8421709430404007E-13</v>
      </c>
      <c r="BE165" s="13">
        <f>BD165*VLOOKUP('Données projet'!$B$11,Paramètres!$A$1:$I$89,3,0)*VLOOKUP('Données projet'!$B$11,Paramètres!$A$1:$I$89,5,0)</f>
        <v>-1.69961822393816E-13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187.18641061466138</v>
      </c>
      <c r="BJ165" s="59">
        <f t="shared" si="146"/>
        <v>143.07246221325369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36.903759699852493</v>
      </c>
      <c r="BQ165" s="21">
        <f>EXP(-LN(2)/25)*BQ164+(1-EXP(-LN(2)/25))/(LN(2)/25)*Calculateur!BL165*Calculateur!BN165*VLOOKUP('Données projet'!$B$11,Paramètres!$A$1:$I$89,3,0)*0.475*44/12</f>
        <v>6.9503786801840519</v>
      </c>
      <c r="BR165" s="21">
        <f>EXP(-LN(2)/2)*BR164+(1-EXP(-LN(2)/2))/(LN(2)/2)*BL165*BO165*VLOOKUP('Données projet'!$B$11,Paramètres!$A$1:$I$89,3,0)*0.475*44/12</f>
        <v>2.3907902314581201E-8</v>
      </c>
      <c r="BS165" s="22">
        <f t="shared" si="169"/>
        <v>43.854138403944447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3.4106051316484809E-13</v>
      </c>
      <c r="BZ165" s="13">
        <f>BY165*VLOOKUP('Données projet'!$B$12,Paramètres!$A$1:$I$89,3,0)*VLOOKUP('Données projet'!$B$12,Paramètres!$A$1:$I$89,5,0)</f>
        <v>1.5961632016114892E-13</v>
      </c>
      <c r="CA165" s="13">
        <f t="shared" si="170"/>
        <v>2.2708641912150958E-12</v>
      </c>
      <c r="CB165" s="20">
        <f t="shared" si="171"/>
        <v>4.2330868906469593E-12</v>
      </c>
      <c r="CC165" s="59">
        <f t="shared" si="119"/>
        <v>293.33333333333752</v>
      </c>
      <c r="CD165" s="59">
        <f ca="1">AVERAGE(OFFSET($CC$3,0,0,'Données projet'!$E$12+1,1))-AVERAGE(OFFSET($H$3,0,0,'Données projet'!$E$12+1,1))</f>
        <v>198.17898804494365</v>
      </c>
      <c r="CE165" s="59">
        <f t="shared" si="148"/>
        <v>186.24772922797723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56.66790903452253</v>
      </c>
      <c r="CL165" s="21">
        <f>EXP(-LN(2)/25)*CL164+(1-EXP(-LN(2)/25))/(LN(2)/25)*Calculateur!CG165*Calculateur!CI165*VLOOKUP('Données projet'!$B$12,Paramètres!$A$1:$I$89,3,0)*0.475*44/12</f>
        <v>9.0432732673356</v>
      </c>
      <c r="CM165" s="21">
        <f>EXP(-LN(2)/2)*CM164+(1-EXP(-LN(2)/2))/(LN(2)/2)*CG165*CJ165*VLOOKUP('Données projet'!$B$12,Paramètres!$A$1:$I$89,3,0)*0.475*44/12</f>
        <v>5.8443562967678381E-8</v>
      </c>
      <c r="CN165" s="22">
        <f t="shared" si="172"/>
        <v>65.711182360301692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266.99999999999983</v>
      </c>
      <c r="CU165" s="17">
        <f>CT165*VLOOKUP('Données projet'!$B$13,Paramètres!$A$1:$I$89,3,0)*VLOOKUP('Données projet'!$B$13,Paramètres!$A$1:$I$89,5,0)</f>
        <v>195.76439999999985</v>
      </c>
      <c r="CV165" s="13">
        <f t="shared" si="173"/>
        <v>48.812154563023455</v>
      </c>
      <c r="CW165" s="20">
        <f t="shared" si="174"/>
        <v>425.9708325305989</v>
      </c>
      <c r="CX165" s="59">
        <f t="shared" si="122"/>
        <v>719.30416586393221</v>
      </c>
      <c r="CY165" s="59">
        <f ca="1">AVERAGE(OFFSET($CX$3,0,0,'Données projet'!$E$13+1,1))-AVERAGE(OFFSET($H$3,0,0,'Données projet'!$E$13+1,1))</f>
        <v>198.78436129430389</v>
      </c>
      <c r="CZ165" s="59">
        <f t="shared" si="150"/>
        <v>198.28846462484438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4.2433768259106195</v>
      </c>
      <c r="DG165" s="21">
        <f>EXP(-LN(2)/25)*DG164+(1-EXP(-LN(2)/25))/(LN(2)/25)*Calculateur!DB165*Calculateur!DD165*VLOOKUP('Données projet'!$B$13,Paramètres!$A$1:$I$89,3,0)*0.475*44/12</f>
        <v>0.64110709611104499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4.8844839220216647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274.57619581652199</v>
      </c>
      <c r="T166" s="59">
        <f t="shared" si="142"/>
        <v>366.15117322598775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163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278.21846622758881</v>
      </c>
      <c r="AO166" s="59">
        <f t="shared" si="144"/>
        <v>245.37578316242906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-2.8421709430404007E-13</v>
      </c>
      <c r="BE166" s="13">
        <f>BD166*VLOOKUP('Données projet'!$B$11,Paramètres!$A$1:$I$89,3,0)*VLOOKUP('Données projet'!$B$11,Paramètres!$A$1:$I$89,5,0)</f>
        <v>-1.69961822393816E-13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187.18641061466138</v>
      </c>
      <c r="BJ166" s="59">
        <f t="shared" si="146"/>
        <v>143.07246221325369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36.180099481209218</v>
      </c>
      <c r="BQ166" s="21">
        <f>EXP(-LN(2)/25)*BQ165+(1-EXP(-LN(2)/25))/(LN(2)/25)*Calculateur!BL166*Calculateur!BN166*VLOOKUP('Données projet'!$B$11,Paramètres!$A$1:$I$89,3,0)*0.475*44/12</f>
        <v>6.7603202096698896</v>
      </c>
      <c r="BR166" s="21">
        <f>EXP(-LN(2)/2)*BR165+(1-EXP(-LN(2)/2))/(LN(2)/2)*BL166*BO166*VLOOKUP('Données projet'!$B$11,Paramètres!$A$1:$I$89,3,0)*0.475*44/12</f>
        <v>1.6905439850585922E-8</v>
      </c>
      <c r="BS166" s="22">
        <f t="shared" si="169"/>
        <v>42.94041970778455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3.4106051316484809E-13</v>
      </c>
      <c r="BZ166" s="13">
        <f>BY166*VLOOKUP('Données projet'!$B$12,Paramètres!$A$1:$I$89,3,0)*VLOOKUP('Données projet'!$B$12,Paramètres!$A$1:$I$89,5,0)</f>
        <v>1.5961632016114892E-13</v>
      </c>
      <c r="CA166" s="13">
        <f t="shared" si="170"/>
        <v>2.2708641912150958E-12</v>
      </c>
      <c r="CB166" s="20">
        <f t="shared" si="171"/>
        <v>4.2330868906469593E-12</v>
      </c>
      <c r="CC166" s="59">
        <f t="shared" si="119"/>
        <v>293.33333333333752</v>
      </c>
      <c r="CD166" s="59">
        <f ca="1">AVERAGE(OFFSET($CC$3,0,0,'Données projet'!$E$12+1,1))-AVERAGE(OFFSET($H$3,0,0,'Données projet'!$E$12+1,1))</f>
        <v>198.17898804494365</v>
      </c>
      <c r="CE166" s="59">
        <f t="shared" si="148"/>
        <v>186.24772922797723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55.556685902367143</v>
      </c>
      <c r="CL166" s="21">
        <f>EXP(-LN(2)/25)*CL165+(1-EXP(-LN(2)/25))/(LN(2)/25)*Calculateur!CG166*Calculateur!CI166*VLOOKUP('Données projet'!$B$12,Paramètres!$A$1:$I$89,3,0)*0.475*44/12</f>
        <v>8.7959844842752357</v>
      </c>
      <c r="CM166" s="21">
        <f>EXP(-LN(2)/2)*CM165+(1-EXP(-LN(2)/2))/(LN(2)/2)*CG166*CJ166*VLOOKUP('Données projet'!$B$12,Paramètres!$A$1:$I$89,3,0)*0.475*44/12</f>
        <v>4.1325839691148372E-8</v>
      </c>
      <c r="CN166" s="22">
        <f t="shared" si="172"/>
        <v>64.352670427968206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266.99999999999983</v>
      </c>
      <c r="CU166" s="17">
        <f>CT166*VLOOKUP('Données projet'!$B$13,Paramètres!$A$1:$I$89,3,0)*VLOOKUP('Données projet'!$B$13,Paramètres!$A$1:$I$89,5,0)</f>
        <v>195.76439999999985</v>
      </c>
      <c r="CV166" s="13">
        <f t="shared" si="173"/>
        <v>48.812154563023455</v>
      </c>
      <c r="CW166" s="20">
        <f t="shared" si="174"/>
        <v>425.9708325305989</v>
      </c>
      <c r="CX166" s="59">
        <f t="shared" si="122"/>
        <v>719.30416586393221</v>
      </c>
      <c r="CY166" s="59">
        <f ca="1">AVERAGE(OFFSET($CX$3,0,0,'Données projet'!$E$13+1,1))-AVERAGE(OFFSET($H$3,0,0,'Données projet'!$E$13+1,1))</f>
        <v>198.78436129430389</v>
      </c>
      <c r="CZ166" s="59">
        <f t="shared" si="150"/>
        <v>198.28846462484438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4.1601667945588119</v>
      </c>
      <c r="DG166" s="21">
        <f>EXP(-LN(2)/25)*DG165+(1-EXP(-LN(2)/25))/(LN(2)/25)*Calculateur!DB166*Calculateur!DD166*VLOOKUP('Données projet'!$B$13,Paramètres!$A$1:$I$89,3,0)*0.475*44/12</f>
        <v>0.6235759888535316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4.7837427834123432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274.57619581652199</v>
      </c>
      <c r="T167" s="59">
        <f t="shared" si="142"/>
        <v>366.15117322598775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163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278.21846622758881</v>
      </c>
      <c r="AO167" s="59">
        <f t="shared" si="144"/>
        <v>245.37578316242906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-2.8421709430404007E-13</v>
      </c>
      <c r="BE167" s="13">
        <f>BD167*VLOOKUP('Données projet'!$B$11,Paramètres!$A$1:$I$89,3,0)*VLOOKUP('Données projet'!$B$11,Paramètres!$A$1:$I$89,5,0)</f>
        <v>-1.69961822393816E-13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187.18641061466138</v>
      </c>
      <c r="BJ167" s="59">
        <f t="shared" si="146"/>
        <v>143.07246221325369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35.470629798064387</v>
      </c>
      <c r="BQ167" s="21">
        <f>EXP(-LN(2)/25)*BQ166+(1-EXP(-LN(2)/25))/(LN(2)/25)*Calculateur!BL167*Calculateur!BN167*VLOOKUP('Données projet'!$B$11,Paramètres!$A$1:$I$89,3,0)*0.475*44/12</f>
        <v>6.5754588980266773</v>
      </c>
      <c r="BR167" s="21">
        <f>EXP(-LN(2)/2)*BR166+(1-EXP(-LN(2)/2))/(LN(2)/2)*BL167*BO167*VLOOKUP('Données projet'!$B$11,Paramètres!$A$1:$I$89,3,0)*0.475*44/12</f>
        <v>1.19539511572906E-8</v>
      </c>
      <c r="BS167" s="22">
        <f t="shared" si="169"/>
        <v>42.046088708045012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3.4106051316484809E-13</v>
      </c>
      <c r="BZ167" s="13">
        <f>BY167*VLOOKUP('Données projet'!$B$12,Paramètres!$A$1:$I$89,3,0)*VLOOKUP('Données projet'!$B$12,Paramètres!$A$1:$I$89,5,0)</f>
        <v>1.5961632016114892E-13</v>
      </c>
      <c r="CA167" s="13">
        <f t="shared" si="170"/>
        <v>2.2708641912150958E-12</v>
      </c>
      <c r="CB167" s="20">
        <f t="shared" si="171"/>
        <v>4.2330868906469593E-12</v>
      </c>
      <c r="CC167" s="59">
        <f t="shared" si="119"/>
        <v>293.33333333333752</v>
      </c>
      <c r="CD167" s="59">
        <f ca="1">AVERAGE(OFFSET($CC$3,0,0,'Données projet'!$E$12+1,1))-AVERAGE(OFFSET($H$3,0,0,'Données projet'!$E$12+1,1))</f>
        <v>198.17898804494365</v>
      </c>
      <c r="CE167" s="59">
        <f t="shared" si="148"/>
        <v>186.24772922797723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54.467253178054136</v>
      </c>
      <c r="CL167" s="21">
        <f>EXP(-LN(2)/25)*CL166+(1-EXP(-LN(2)/25))/(LN(2)/25)*Calculateur!CG167*Calculateur!CI167*VLOOKUP('Données projet'!$B$12,Paramètres!$A$1:$I$89,3,0)*0.475*44/12</f>
        <v>8.5554578259920095</v>
      </c>
      <c r="CM167" s="21">
        <f>EXP(-LN(2)/2)*CM166+(1-EXP(-LN(2)/2))/(LN(2)/2)*CG167*CJ167*VLOOKUP('Données projet'!$B$12,Paramètres!$A$1:$I$89,3,0)*0.475*44/12</f>
        <v>2.9221781483839194E-8</v>
      </c>
      <c r="CN167" s="22">
        <f t="shared" si="172"/>
        <v>63.022711033267925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266.99999999999983</v>
      </c>
      <c r="CU167" s="17">
        <f>CT167*VLOOKUP('Données projet'!$B$13,Paramètres!$A$1:$I$89,3,0)*VLOOKUP('Données projet'!$B$13,Paramètres!$A$1:$I$89,5,0)</f>
        <v>195.76439999999985</v>
      </c>
      <c r="CV167" s="13">
        <f t="shared" si="173"/>
        <v>48.812154563023455</v>
      </c>
      <c r="CW167" s="20">
        <f t="shared" si="174"/>
        <v>425.9708325305989</v>
      </c>
      <c r="CX167" s="59">
        <f t="shared" si="122"/>
        <v>719.30416586393221</v>
      </c>
      <c r="CY167" s="59">
        <f ca="1">AVERAGE(OFFSET($CX$3,0,0,'Données projet'!$E$13+1,1))-AVERAGE(OFFSET($H$3,0,0,'Données projet'!$E$13+1,1))</f>
        <v>198.78436129430389</v>
      </c>
      <c r="CZ167" s="59">
        <f t="shared" si="150"/>
        <v>198.28846462484438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4.0785884611687058</v>
      </c>
      <c r="DG167" s="21">
        <f>EXP(-LN(2)/25)*DG166+(1-EXP(-LN(2)/25))/(LN(2)/25)*Calculateur!DB167*Calculateur!DD167*VLOOKUP('Données projet'!$B$13,Paramètres!$A$1:$I$89,3,0)*0.475*44/12</f>
        <v>0.60652427064589576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4.685112731814602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274.57619581652199</v>
      </c>
      <c r="T168" s="59">
        <f t="shared" si="142"/>
        <v>366.15117322598775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163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278.21846622758881</v>
      </c>
      <c r="AO168" s="59">
        <f t="shared" si="144"/>
        <v>245.37578316242906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-2.8421709430404007E-13</v>
      </c>
      <c r="BE168" s="13">
        <f>BD168*VLOOKUP('Données projet'!$B$11,Paramètres!$A$1:$I$89,3,0)*VLOOKUP('Données projet'!$B$11,Paramètres!$A$1:$I$89,5,0)</f>
        <v>-1.69961822393816E-13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187.18641061466138</v>
      </c>
      <c r="BJ168" s="59">
        <f t="shared" si="146"/>
        <v>143.07246221325369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34.775072382672249</v>
      </c>
      <c r="BQ168" s="21">
        <f>EXP(-LN(2)/25)*BQ167+(1-EXP(-LN(2)/25))/(LN(2)/25)*Calculateur!BL168*Calculateur!BN168*VLOOKUP('Données projet'!$B$11,Paramètres!$A$1:$I$89,3,0)*0.475*44/12</f>
        <v>6.3956526286717823</v>
      </c>
      <c r="BR168" s="21">
        <f>EXP(-LN(2)/2)*BR167+(1-EXP(-LN(2)/2))/(LN(2)/2)*BL168*BO168*VLOOKUP('Données projet'!$B$11,Paramètres!$A$1:$I$89,3,0)*0.475*44/12</f>
        <v>8.452719925292961E-9</v>
      </c>
      <c r="BS168" s="22">
        <f t="shared" si="169"/>
        <v>41.170725019796755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3.4106051316484809E-13</v>
      </c>
      <c r="BZ168" s="13">
        <f>BY168*VLOOKUP('Données projet'!$B$12,Paramètres!$A$1:$I$89,3,0)*VLOOKUP('Données projet'!$B$12,Paramètres!$A$1:$I$89,5,0)</f>
        <v>1.5961632016114892E-13</v>
      </c>
      <c r="CA168" s="13">
        <f t="shared" si="170"/>
        <v>2.2708641912150958E-12</v>
      </c>
      <c r="CB168" s="20">
        <f t="shared" si="171"/>
        <v>4.2330868906469593E-12</v>
      </c>
      <c r="CC168" s="59">
        <f t="shared" si="119"/>
        <v>293.33333333333752</v>
      </c>
      <c r="CD168" s="59">
        <f ca="1">AVERAGE(OFFSET($CC$3,0,0,'Données projet'!$E$12+1,1))-AVERAGE(OFFSET($H$3,0,0,'Données projet'!$E$12+1,1))</f>
        <v>198.17898804494365</v>
      </c>
      <c r="CE168" s="59">
        <f t="shared" si="148"/>
        <v>186.24772922797723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53.39918356497656</v>
      </c>
      <c r="CL168" s="21">
        <f>EXP(-LN(2)/25)*CL167+(1-EXP(-LN(2)/25))/(LN(2)/25)*Calculateur!CG168*Calculateur!CI168*VLOOKUP('Données projet'!$B$12,Paramètres!$A$1:$I$89,3,0)*0.475*44/12</f>
        <v>8.3215083818282842</v>
      </c>
      <c r="CM168" s="21">
        <f>EXP(-LN(2)/2)*CM167+(1-EXP(-LN(2)/2))/(LN(2)/2)*CG168*CJ168*VLOOKUP('Données projet'!$B$12,Paramètres!$A$1:$I$89,3,0)*0.475*44/12</f>
        <v>2.066291984557419E-8</v>
      </c>
      <c r="CN168" s="22">
        <f t="shared" si="172"/>
        <v>61.720691967467765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266.99999999999983</v>
      </c>
      <c r="CU168" s="17">
        <f>CT168*VLOOKUP('Données projet'!$B$13,Paramètres!$A$1:$I$89,3,0)*VLOOKUP('Données projet'!$B$13,Paramètres!$A$1:$I$89,5,0)</f>
        <v>195.76439999999985</v>
      </c>
      <c r="CV168" s="13">
        <f t="shared" si="173"/>
        <v>48.812154563023455</v>
      </c>
      <c r="CW168" s="20">
        <f t="shared" si="174"/>
        <v>425.9708325305989</v>
      </c>
      <c r="CX168" s="59">
        <f t="shared" si="122"/>
        <v>719.30416586393221</v>
      </c>
      <c r="CY168" s="59">
        <f ca="1">AVERAGE(OFFSET($CX$3,0,0,'Données projet'!$E$13+1,1))-AVERAGE(OFFSET($H$3,0,0,'Données projet'!$E$13+1,1))</f>
        <v>198.78436129430389</v>
      </c>
      <c r="CZ168" s="59">
        <f t="shared" si="150"/>
        <v>198.28846462484438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3.9986098291385095</v>
      </c>
      <c r="DG168" s="21">
        <f>EXP(-LN(2)/25)*DG167+(1-EXP(-LN(2)/25))/(LN(2)/25)*Calculateur!DB168*Calculateur!DD168*VLOOKUP('Données projet'!$B$13,Paramètres!$A$1:$I$89,3,0)*0.475*44/12</f>
        <v>0.58993883256935853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4.5885486617078683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274.57619581652199</v>
      </c>
      <c r="T169" s="59">
        <f t="shared" si="142"/>
        <v>366.15117322598775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163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278.21846622758881</v>
      </c>
      <c r="AO169" s="59">
        <f t="shared" si="144"/>
        <v>245.37578316242906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-2.8421709430404007E-13</v>
      </c>
      <c r="BE169" s="13">
        <f>BD169*VLOOKUP('Données projet'!$B$11,Paramètres!$A$1:$I$89,3,0)*VLOOKUP('Données projet'!$B$11,Paramètres!$A$1:$I$89,5,0)</f>
        <v>-1.69961822393816E-13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187.18641061466138</v>
      </c>
      <c r="BJ169" s="59">
        <f t="shared" si="146"/>
        <v>143.07246221325369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34.093154423947816</v>
      </c>
      <c r="BQ169" s="21">
        <f>EXP(-LN(2)/25)*BQ168+(1-EXP(-LN(2)/25))/(LN(2)/25)*Calculateur!BL169*Calculateur!BN169*VLOOKUP('Données projet'!$B$11,Paramètres!$A$1:$I$89,3,0)*0.475*44/12</f>
        <v>6.2207631712079978</v>
      </c>
      <c r="BR169" s="21">
        <f>EXP(-LN(2)/2)*BR168+(1-EXP(-LN(2)/2))/(LN(2)/2)*BL169*BO169*VLOOKUP('Données projet'!$B$11,Paramètres!$A$1:$I$89,3,0)*0.475*44/12</f>
        <v>5.9769755786453002E-9</v>
      </c>
      <c r="BS169" s="22">
        <f t="shared" si="169"/>
        <v>40.313917601132793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3.4106051316484809E-13</v>
      </c>
      <c r="BZ169" s="13">
        <f>BY169*VLOOKUP('Données projet'!$B$12,Paramètres!$A$1:$I$89,3,0)*VLOOKUP('Données projet'!$B$12,Paramètres!$A$1:$I$89,5,0)</f>
        <v>1.5961632016114892E-13</v>
      </c>
      <c r="CA169" s="13">
        <f t="shared" si="170"/>
        <v>2.2708641912150958E-12</v>
      </c>
      <c r="CB169" s="20">
        <f t="shared" si="171"/>
        <v>4.2330868906469593E-12</v>
      </c>
      <c r="CC169" s="59">
        <f t="shared" si="119"/>
        <v>293.33333333333752</v>
      </c>
      <c r="CD169" s="59">
        <f ca="1">AVERAGE(OFFSET($CC$3,0,0,'Données projet'!$E$12+1,1))-AVERAGE(OFFSET($H$3,0,0,'Données projet'!$E$12+1,1))</f>
        <v>198.17898804494365</v>
      </c>
      <c r="CE169" s="59">
        <f t="shared" si="148"/>
        <v>186.24772922797723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52.352058145553293</v>
      </c>
      <c r="CL169" s="21">
        <f>EXP(-LN(2)/25)*CL168+(1-EXP(-LN(2)/25))/(LN(2)/25)*Calculateur!CG169*Calculateur!CI169*VLOOKUP('Données projet'!$B$12,Paramètres!$A$1:$I$89,3,0)*0.475*44/12</f>
        <v>8.0939562975180834</v>
      </c>
      <c r="CM169" s="21">
        <f>EXP(-LN(2)/2)*CM168+(1-EXP(-LN(2)/2))/(LN(2)/2)*CG169*CJ169*VLOOKUP('Données projet'!$B$12,Paramètres!$A$1:$I$89,3,0)*0.475*44/12</f>
        <v>1.46108907419196E-8</v>
      </c>
      <c r="CN169" s="22">
        <f t="shared" si="172"/>
        <v>60.446014457682267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266.99999999999983</v>
      </c>
      <c r="CU169" s="17">
        <f>CT169*VLOOKUP('Données projet'!$B$13,Paramètres!$A$1:$I$89,3,0)*VLOOKUP('Données projet'!$B$13,Paramètres!$A$1:$I$89,5,0)</f>
        <v>195.76439999999985</v>
      </c>
      <c r="CV169" s="13">
        <f t="shared" si="173"/>
        <v>48.812154563023455</v>
      </c>
      <c r="CW169" s="20">
        <f t="shared" si="174"/>
        <v>425.9708325305989</v>
      </c>
      <c r="CX169" s="59">
        <f t="shared" si="122"/>
        <v>719.30416586393221</v>
      </c>
      <c r="CY169" s="59">
        <f ca="1">AVERAGE(OFFSET($CX$3,0,0,'Données projet'!$E$13+1,1))-AVERAGE(OFFSET($H$3,0,0,'Données projet'!$E$13+1,1))</f>
        <v>198.78436129430389</v>
      </c>
      <c r="CZ169" s="59">
        <f t="shared" si="150"/>
        <v>198.28846462484438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3.9201995293002767</v>
      </c>
      <c r="DG169" s="21">
        <f>EXP(-LN(2)/25)*DG168+(1-EXP(-LN(2)/25))/(LN(2)/25)*Calculateur!DB169*Calculateur!DD169*VLOOKUP('Données projet'!$B$13,Paramètres!$A$1:$I$89,3,0)*0.475*44/12</f>
        <v>0.57380692416921453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4.494006453469491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274.57619581652199</v>
      </c>
      <c r="T170" s="59">
        <f t="shared" si="142"/>
        <v>366.15117322598775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163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278.21846622758881</v>
      </c>
      <c r="AO170" s="59">
        <f t="shared" si="144"/>
        <v>245.37578316242906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-2.8421709430404007E-13</v>
      </c>
      <c r="BE170" s="13">
        <f>BD170*VLOOKUP('Données projet'!$B$11,Paramètres!$A$1:$I$89,3,0)*VLOOKUP('Données projet'!$B$11,Paramètres!$A$1:$I$89,5,0)</f>
        <v>-1.69961822393816E-13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187.18641061466138</v>
      </c>
      <c r="BJ170" s="59">
        <f t="shared" si="146"/>
        <v>143.07246221325369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33.424608460465087</v>
      </c>
      <c r="BQ170" s="21">
        <f>EXP(-LN(2)/25)*BQ169+(1-EXP(-LN(2)/25))/(LN(2)/25)*Calculateur!BL170*Calculateur!BN170*VLOOKUP('Données projet'!$B$11,Paramètres!$A$1:$I$89,3,0)*0.475*44/12</f>
        <v>6.0506560751555973</v>
      </c>
      <c r="BR170" s="21">
        <f>EXP(-LN(2)/2)*BR169+(1-EXP(-LN(2)/2))/(LN(2)/2)*BL170*BO170*VLOOKUP('Données projet'!$B$11,Paramètres!$A$1:$I$89,3,0)*0.475*44/12</f>
        <v>4.2263599626464805E-9</v>
      </c>
      <c r="BS170" s="22">
        <f t="shared" si="169"/>
        <v>39.475264539847039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3.4106051316484809E-13</v>
      </c>
      <c r="BZ170" s="13">
        <f>BY170*VLOOKUP('Données projet'!$B$12,Paramètres!$A$1:$I$89,3,0)*VLOOKUP('Données projet'!$B$12,Paramètres!$A$1:$I$89,5,0)</f>
        <v>1.5961632016114892E-13</v>
      </c>
      <c r="CA170" s="13">
        <f t="shared" si="170"/>
        <v>2.2708641912150958E-12</v>
      </c>
      <c r="CB170" s="20">
        <f t="shared" si="171"/>
        <v>4.2330868906469593E-12</v>
      </c>
      <c r="CC170" s="59">
        <f t="shared" si="119"/>
        <v>293.33333333333752</v>
      </c>
      <c r="CD170" s="59">
        <f ca="1">AVERAGE(OFFSET($CC$3,0,0,'Données projet'!$E$12+1,1))-AVERAGE(OFFSET($H$3,0,0,'Données projet'!$E$12+1,1))</f>
        <v>198.17898804494365</v>
      </c>
      <c r="CE170" s="59">
        <f t="shared" si="148"/>
        <v>186.24772922797723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51.325466216921477</v>
      </c>
      <c r="CL170" s="21">
        <f>EXP(-LN(2)/25)*CL169+(1-EXP(-LN(2)/25))/(LN(2)/25)*Calculateur!CG170*Calculateur!CI170*VLOOKUP('Données projet'!$B$12,Paramètres!$A$1:$I$89,3,0)*0.475*44/12</f>
        <v>7.8726266369197884</v>
      </c>
      <c r="CM170" s="21">
        <f>EXP(-LN(2)/2)*CM169+(1-EXP(-LN(2)/2))/(LN(2)/2)*CG170*CJ170*VLOOKUP('Données projet'!$B$12,Paramètres!$A$1:$I$89,3,0)*0.475*44/12</f>
        <v>1.0331459922787096E-8</v>
      </c>
      <c r="CN170" s="22">
        <f t="shared" si="172"/>
        <v>59.198092864172729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266.99999999999983</v>
      </c>
      <c r="CU170" s="17">
        <f>CT170*VLOOKUP('Données projet'!$B$13,Paramètres!$A$1:$I$89,3,0)*VLOOKUP('Données projet'!$B$13,Paramètres!$A$1:$I$89,5,0)</f>
        <v>195.76439999999985</v>
      </c>
      <c r="CV170" s="13">
        <f t="shared" si="173"/>
        <v>48.812154563023455</v>
      </c>
      <c r="CW170" s="20">
        <f t="shared" si="174"/>
        <v>425.9708325305989</v>
      </c>
      <c r="CX170" s="59">
        <f t="shared" si="122"/>
        <v>719.30416586393221</v>
      </c>
      <c r="CY170" s="59">
        <f ca="1">AVERAGE(OFFSET($CX$3,0,0,'Données projet'!$E$13+1,1))-AVERAGE(OFFSET($H$3,0,0,'Données projet'!$E$13+1,1))</f>
        <v>198.78436129430389</v>
      </c>
      <c r="CZ170" s="59">
        <f t="shared" si="150"/>
        <v>198.28846462484438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3.843326807616311</v>
      </c>
      <c r="DG170" s="21">
        <f>EXP(-LN(2)/25)*DG169+(1-EXP(-LN(2)/25))/(LN(2)/25)*Calculateur!DB170*Calculateur!DD170*VLOOKUP('Données projet'!$B$13,Paramètres!$A$1:$I$89,3,0)*0.475*44/12</f>
        <v>0.55811614365261264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4.4014429512689235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274.57619581652199</v>
      </c>
      <c r="T171" s="59">
        <f t="shared" si="142"/>
        <v>366.15117322598775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163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278.21846622758881</v>
      </c>
      <c r="AO171" s="59">
        <f t="shared" si="144"/>
        <v>245.37578316242906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-2.8421709430404007E-13</v>
      </c>
      <c r="BE171" s="13">
        <f>BD171*VLOOKUP('Données projet'!$B$11,Paramètres!$A$1:$I$89,3,0)*VLOOKUP('Données projet'!$B$11,Paramètres!$A$1:$I$89,5,0)</f>
        <v>-1.69961822393816E-13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187.18641061466138</v>
      </c>
      <c r="BJ171" s="59">
        <f t="shared" si="146"/>
        <v>143.07246221325369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32.76917227555348</v>
      </c>
      <c r="BQ171" s="21">
        <f>EXP(-LN(2)/25)*BQ170+(1-EXP(-LN(2)/25))/(LN(2)/25)*Calculateur!BL171*Calculateur!BN171*VLOOKUP('Données projet'!$B$11,Paramètres!$A$1:$I$89,3,0)*0.475*44/12</f>
        <v>5.8852005665902931</v>
      </c>
      <c r="BR171" s="21">
        <f>EXP(-LN(2)/2)*BR170+(1-EXP(-LN(2)/2))/(LN(2)/2)*BL171*BO171*VLOOKUP('Données projet'!$B$11,Paramètres!$A$1:$I$89,3,0)*0.475*44/12</f>
        <v>2.9884877893226501E-9</v>
      </c>
      <c r="BS171" s="22">
        <f t="shared" si="169"/>
        <v>38.654372845132258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3.4106051316484809E-13</v>
      </c>
      <c r="BZ171" s="13">
        <f>BY171*VLOOKUP('Données projet'!$B$12,Paramètres!$A$1:$I$89,3,0)*VLOOKUP('Données projet'!$B$12,Paramètres!$A$1:$I$89,5,0)</f>
        <v>1.5961632016114892E-13</v>
      </c>
      <c r="CA171" s="13">
        <f t="shared" si="170"/>
        <v>2.2708641912150958E-12</v>
      </c>
      <c r="CB171" s="20">
        <f t="shared" si="171"/>
        <v>4.2330868906469593E-12</v>
      </c>
      <c r="CC171" s="59">
        <f t="shared" si="119"/>
        <v>293.33333333333752</v>
      </c>
      <c r="CD171" s="59">
        <f ca="1">AVERAGE(OFFSET($CC$3,0,0,'Données projet'!$E$12+1,1))-AVERAGE(OFFSET($H$3,0,0,'Données projet'!$E$12+1,1))</f>
        <v>198.17898804494365</v>
      </c>
      <c r="CE171" s="59">
        <f t="shared" si="148"/>
        <v>186.24772922797723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50.319005129850886</v>
      </c>
      <c r="CL171" s="21">
        <f>EXP(-LN(2)/25)*CL170+(1-EXP(-LN(2)/25))/(LN(2)/25)*Calculateur!CG171*Calculateur!CI171*VLOOKUP('Données projet'!$B$12,Paramètres!$A$1:$I$89,3,0)*0.475*44/12</f>
        <v>7.6573492475297753</v>
      </c>
      <c r="CM171" s="21">
        <f>EXP(-LN(2)/2)*CM170+(1-EXP(-LN(2)/2))/(LN(2)/2)*CG171*CJ171*VLOOKUP('Données projet'!$B$12,Paramètres!$A$1:$I$89,3,0)*0.475*44/12</f>
        <v>7.3054453709598009E-9</v>
      </c>
      <c r="CN171" s="22">
        <f t="shared" si="172"/>
        <v>57.976354384686104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266.99999999999983</v>
      </c>
      <c r="CU171" s="17">
        <f>CT171*VLOOKUP('Données projet'!$B$13,Paramètres!$A$1:$I$89,3,0)*VLOOKUP('Données projet'!$B$13,Paramètres!$A$1:$I$89,5,0)</f>
        <v>195.76439999999985</v>
      </c>
      <c r="CV171" s="13">
        <f t="shared" si="173"/>
        <v>48.812154563023455</v>
      </c>
      <c r="CW171" s="20">
        <f t="shared" si="174"/>
        <v>425.9708325305989</v>
      </c>
      <c r="CX171" s="59">
        <f t="shared" si="122"/>
        <v>719.30416586393221</v>
      </c>
      <c r="CY171" s="59">
        <f ca="1">AVERAGE(OFFSET($CX$3,0,0,'Données projet'!$E$13+1,1))-AVERAGE(OFFSET($H$3,0,0,'Données projet'!$E$13+1,1))</f>
        <v>198.78436129430389</v>
      </c>
      <c r="CZ171" s="59">
        <f t="shared" si="150"/>
        <v>198.28846462484438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3.7679615131168376</v>
      </c>
      <c r="DG171" s="21">
        <f>EXP(-LN(2)/25)*DG170+(1-EXP(-LN(2)/25))/(LN(2)/25)*Calculateur!DB171*Calculateur!DD171*VLOOKUP('Données projet'!$B$13,Paramètres!$A$1:$I$89,3,0)*0.475*44/12</f>
        <v>0.54285442835437958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4.3108159414712173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274.57619581652199</v>
      </c>
      <c r="T172" s="59">
        <f t="shared" si="142"/>
        <v>366.15117322598775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163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278.21846622758881</v>
      </c>
      <c r="AO172" s="59">
        <f t="shared" si="144"/>
        <v>245.37578316242906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-2.8421709430404007E-13</v>
      </c>
      <c r="BE172" s="13">
        <f>BD172*VLOOKUP('Données projet'!$B$11,Paramètres!$A$1:$I$89,3,0)*VLOOKUP('Données projet'!$B$11,Paramètres!$A$1:$I$89,5,0)</f>
        <v>-1.69961822393816E-13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187.18641061466138</v>
      </c>
      <c r="BJ172" s="59">
        <f t="shared" si="146"/>
        <v>143.07246221325369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32.126588794451386</v>
      </c>
      <c r="BQ172" s="21">
        <f>EXP(-LN(2)/25)*BQ171+(1-EXP(-LN(2)/25))/(LN(2)/25)*Calculateur!BL172*Calculateur!BN172*VLOOKUP('Données projet'!$B$11,Paramètres!$A$1:$I$89,3,0)*0.475*44/12</f>
        <v>5.7242694476076341</v>
      </c>
      <c r="BR172" s="21">
        <f>EXP(-LN(2)/2)*BR171+(1-EXP(-LN(2)/2))/(LN(2)/2)*BL172*BO172*VLOOKUP('Données projet'!$B$11,Paramètres!$A$1:$I$89,3,0)*0.475*44/12</f>
        <v>2.1131799813232403E-9</v>
      </c>
      <c r="BS172" s="22">
        <f t="shared" si="169"/>
        <v>37.850858244172201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3.4106051316484809E-13</v>
      </c>
      <c r="BZ172" s="13">
        <f>BY172*VLOOKUP('Données projet'!$B$12,Paramètres!$A$1:$I$89,3,0)*VLOOKUP('Données projet'!$B$12,Paramètres!$A$1:$I$89,5,0)</f>
        <v>1.5961632016114892E-13</v>
      </c>
      <c r="CA172" s="13">
        <f t="shared" si="170"/>
        <v>2.2708641912150958E-12</v>
      </c>
      <c r="CB172" s="20">
        <f t="shared" si="171"/>
        <v>4.2330868906469593E-12</v>
      </c>
      <c r="CC172" s="59">
        <f t="shared" si="119"/>
        <v>293.33333333333752</v>
      </c>
      <c r="CD172" s="59">
        <f ca="1">AVERAGE(OFFSET($CC$3,0,0,'Données projet'!$E$12+1,1))-AVERAGE(OFFSET($H$3,0,0,'Données projet'!$E$12+1,1))</f>
        <v>198.17898804494365</v>
      </c>
      <c r="CE172" s="59">
        <f t="shared" si="148"/>
        <v>186.24772922797723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49.332280130817097</v>
      </c>
      <c r="CL172" s="21">
        <f>EXP(-LN(2)/25)*CL171+(1-EXP(-LN(2)/25))/(LN(2)/25)*Calculateur!CG172*Calculateur!CI172*VLOOKUP('Données projet'!$B$12,Paramètres!$A$1:$I$89,3,0)*0.475*44/12</f>
        <v>7.447958629673578</v>
      </c>
      <c r="CM172" s="21">
        <f>EXP(-LN(2)/2)*CM171+(1-EXP(-LN(2)/2))/(LN(2)/2)*CG172*CJ172*VLOOKUP('Données projet'!$B$12,Paramètres!$A$1:$I$89,3,0)*0.475*44/12</f>
        <v>5.165729961393549E-9</v>
      </c>
      <c r="CN172" s="22">
        <f t="shared" si="172"/>
        <v>56.780238765656406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266.99999999999983</v>
      </c>
      <c r="CU172" s="17">
        <f>CT172*VLOOKUP('Données projet'!$B$13,Paramètres!$A$1:$I$89,3,0)*VLOOKUP('Données projet'!$B$13,Paramètres!$A$1:$I$89,5,0)</f>
        <v>195.76439999999985</v>
      </c>
      <c r="CV172" s="13">
        <f t="shared" si="173"/>
        <v>48.812154563023455</v>
      </c>
      <c r="CW172" s="20">
        <f t="shared" si="174"/>
        <v>425.9708325305989</v>
      </c>
      <c r="CX172" s="59">
        <f t="shared" si="122"/>
        <v>719.30416586393221</v>
      </c>
      <c r="CY172" s="59">
        <f ca="1">AVERAGE(OFFSET($CX$3,0,0,'Données projet'!$E$13+1,1))-AVERAGE(OFFSET($H$3,0,0,'Données projet'!$E$13+1,1))</f>
        <v>198.78436129430389</v>
      </c>
      <c r="CZ172" s="59">
        <f t="shared" si="150"/>
        <v>198.28846462484438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3.6940740860742083</v>
      </c>
      <c r="DG172" s="21">
        <f>EXP(-LN(2)/25)*DG171+(1-EXP(-LN(2)/25))/(LN(2)/25)*Calculateur!DB172*Calculateur!DD172*VLOOKUP('Données projet'!$B$13,Paramètres!$A$1:$I$89,3,0)*0.475*44/12</f>
        <v>0.52801004546355534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4.2220841315377635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274.57619581652199</v>
      </c>
      <c r="T173" s="59">
        <f t="shared" si="142"/>
        <v>366.15117322598775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163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278.21846622758881</v>
      </c>
      <c r="AO173" s="59">
        <f t="shared" si="144"/>
        <v>245.37578316242906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-2.8421709430404007E-13</v>
      </c>
      <c r="BE173" s="13">
        <f>BD173*VLOOKUP('Données projet'!$B$11,Paramètres!$A$1:$I$89,3,0)*VLOOKUP('Données projet'!$B$11,Paramètres!$A$1:$I$89,5,0)</f>
        <v>-1.69961822393816E-13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187.18641061466138</v>
      </c>
      <c r="BJ173" s="59">
        <f t="shared" si="146"/>
        <v>143.07246221325369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31.496605983476485</v>
      </c>
      <c r="BQ173" s="21">
        <f>EXP(-LN(2)/25)*BQ172+(1-EXP(-LN(2)/25))/(LN(2)/25)*Calculateur!BL173*Calculateur!BN173*VLOOKUP('Données projet'!$B$11,Paramètres!$A$1:$I$89,3,0)*0.475*44/12</f>
        <v>5.567738998536556</v>
      </c>
      <c r="BR173" s="21">
        <f>EXP(-LN(2)/2)*BR172+(1-EXP(-LN(2)/2))/(LN(2)/2)*BL173*BO173*VLOOKUP('Données projet'!$B$11,Paramètres!$A$1:$I$89,3,0)*0.475*44/12</f>
        <v>1.494243894661325E-9</v>
      </c>
      <c r="BS173" s="22">
        <f t="shared" si="169"/>
        <v>37.064344983507283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3.4106051316484809E-13</v>
      </c>
      <c r="BZ173" s="13">
        <f>BY173*VLOOKUP('Données projet'!$B$12,Paramètres!$A$1:$I$89,3,0)*VLOOKUP('Données projet'!$B$12,Paramètres!$A$1:$I$89,5,0)</f>
        <v>1.5961632016114892E-13</v>
      </c>
      <c r="CA173" s="13">
        <f t="shared" si="170"/>
        <v>2.2708641912150958E-12</v>
      </c>
      <c r="CB173" s="20">
        <f t="shared" si="171"/>
        <v>4.2330868906469593E-12</v>
      </c>
      <c r="CC173" s="59">
        <f t="shared" si="119"/>
        <v>293.33333333333752</v>
      </c>
      <c r="CD173" s="59">
        <f ca="1">AVERAGE(OFFSET($CC$3,0,0,'Données projet'!$E$12+1,1))-AVERAGE(OFFSET($H$3,0,0,'Données projet'!$E$12+1,1))</f>
        <v>198.17898804494365</v>
      </c>
      <c r="CE173" s="59">
        <f t="shared" si="148"/>
        <v>186.24772922797723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48.364904207171541</v>
      </c>
      <c r="CL173" s="21">
        <f>EXP(-LN(2)/25)*CL172+(1-EXP(-LN(2)/25))/(LN(2)/25)*Calculateur!CG173*Calculateur!CI173*VLOOKUP('Données projet'!$B$12,Paramètres!$A$1:$I$89,3,0)*0.475*44/12</f>
        <v>7.2442938092740325</v>
      </c>
      <c r="CM173" s="21">
        <f>EXP(-LN(2)/2)*CM172+(1-EXP(-LN(2)/2))/(LN(2)/2)*CG173*CJ173*VLOOKUP('Données projet'!$B$12,Paramètres!$A$1:$I$89,3,0)*0.475*44/12</f>
        <v>3.6527226854799013E-9</v>
      </c>
      <c r="CN173" s="22">
        <f t="shared" si="172"/>
        <v>55.609198020098297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266.99999999999983</v>
      </c>
      <c r="CU173" s="17">
        <f>CT173*VLOOKUP('Données projet'!$B$13,Paramètres!$A$1:$I$89,3,0)*VLOOKUP('Données projet'!$B$13,Paramètres!$A$1:$I$89,5,0)</f>
        <v>195.76439999999985</v>
      </c>
      <c r="CV173" s="13">
        <f t="shared" si="173"/>
        <v>48.812154563023455</v>
      </c>
      <c r="CW173" s="20">
        <f t="shared" si="174"/>
        <v>425.9708325305989</v>
      </c>
      <c r="CX173" s="59">
        <f t="shared" si="122"/>
        <v>719.30416586393221</v>
      </c>
      <c r="CY173" s="59">
        <f ca="1">AVERAGE(OFFSET($CX$3,0,0,'Données projet'!$E$13+1,1))-AVERAGE(OFFSET($H$3,0,0,'Données projet'!$E$13+1,1))</f>
        <v>198.78436129430389</v>
      </c>
      <c r="CZ173" s="59">
        <f t="shared" si="150"/>
        <v>198.28846462484438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3.6216355464090042</v>
      </c>
      <c r="DG173" s="21">
        <f>EXP(-LN(2)/25)*DG172+(1-EXP(-LN(2)/25))/(LN(2)/25)*Calculateur!DB173*Calculateur!DD173*VLOOKUP('Données projet'!$B$13,Paramètres!$A$1:$I$89,3,0)*0.475*44/12</f>
        <v>0.51357158300351291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4.1352071294125174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274.57619581652199</v>
      </c>
      <c r="T174" s="59">
        <f t="shared" si="142"/>
        <v>366.15117322598775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163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278.21846622758881</v>
      </c>
      <c r="AO174" s="59">
        <f t="shared" si="144"/>
        <v>245.37578316242906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-2.8421709430404007E-13</v>
      </c>
      <c r="BE174" s="13">
        <f>BD174*VLOOKUP('Données projet'!$B$11,Paramètres!$A$1:$I$89,3,0)*VLOOKUP('Données projet'!$B$11,Paramètres!$A$1:$I$89,5,0)</f>
        <v>-1.69961822393816E-13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187.18641061466138</v>
      </c>
      <c r="BJ174" s="59">
        <f t="shared" si="146"/>
        <v>143.07246221325369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30.87897675117323</v>
      </c>
      <c r="BQ174" s="21">
        <f>EXP(-LN(2)/25)*BQ173+(1-EXP(-LN(2)/25))/(LN(2)/25)*Calculateur!BL174*Calculateur!BN174*VLOOKUP('Données projet'!$B$11,Paramètres!$A$1:$I$89,3,0)*0.475*44/12</f>
        <v>5.4154888828269048</v>
      </c>
      <c r="BR174" s="21">
        <f>EXP(-LN(2)/2)*BR173+(1-EXP(-LN(2)/2))/(LN(2)/2)*BL174*BO174*VLOOKUP('Données projet'!$B$11,Paramètres!$A$1:$I$89,3,0)*0.475*44/12</f>
        <v>1.0565899906616201E-9</v>
      </c>
      <c r="BS174" s="22">
        <f t="shared" si="169"/>
        <v>36.294465635056724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3.4106051316484809E-13</v>
      </c>
      <c r="BZ174" s="13">
        <f>BY174*VLOOKUP('Données projet'!$B$12,Paramètres!$A$1:$I$89,3,0)*VLOOKUP('Données projet'!$B$12,Paramètres!$A$1:$I$89,5,0)</f>
        <v>1.5961632016114892E-13</v>
      </c>
      <c r="CA174" s="13">
        <f t="shared" si="170"/>
        <v>2.2708641912150958E-12</v>
      </c>
      <c r="CB174" s="20">
        <f t="shared" si="171"/>
        <v>4.2330868906469593E-12</v>
      </c>
      <c r="CC174" s="59">
        <f t="shared" si="119"/>
        <v>293.33333333333752</v>
      </c>
      <c r="CD174" s="59">
        <f ca="1">AVERAGE(OFFSET($CC$3,0,0,'Données projet'!$E$12+1,1))-AVERAGE(OFFSET($H$3,0,0,'Données projet'!$E$12+1,1))</f>
        <v>198.17898804494365</v>
      </c>
      <c r="CE174" s="59">
        <f t="shared" si="148"/>
        <v>186.24772922797723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47.416497935347621</v>
      </c>
      <c r="CL174" s="21">
        <f>EXP(-LN(2)/25)*CL173+(1-EXP(-LN(2)/25))/(LN(2)/25)*Calculateur!CG174*Calculateur!CI174*VLOOKUP('Données projet'!$B$12,Paramètres!$A$1:$I$89,3,0)*0.475*44/12</f>
        <v>7.0461982140985802</v>
      </c>
      <c r="CM174" s="21">
        <f>EXP(-LN(2)/2)*CM173+(1-EXP(-LN(2)/2))/(LN(2)/2)*CG174*CJ174*VLOOKUP('Données projet'!$B$12,Paramètres!$A$1:$I$89,3,0)*0.475*44/12</f>
        <v>2.5828649806967749E-9</v>
      </c>
      <c r="CN174" s="22">
        <f t="shared" si="172"/>
        <v>54.462696152029068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266.99999999999983</v>
      </c>
      <c r="CU174" s="17">
        <f>CT174*VLOOKUP('Données projet'!$B$13,Paramètres!$A$1:$I$89,3,0)*VLOOKUP('Données projet'!$B$13,Paramètres!$A$1:$I$89,5,0)</f>
        <v>195.76439999999985</v>
      </c>
      <c r="CV174" s="13">
        <f t="shared" si="173"/>
        <v>48.812154563023455</v>
      </c>
      <c r="CW174" s="20">
        <f t="shared" si="174"/>
        <v>425.9708325305989</v>
      </c>
      <c r="CX174" s="59">
        <f t="shared" si="122"/>
        <v>719.30416586393221</v>
      </c>
      <c r="CY174" s="59">
        <f ca="1">AVERAGE(OFFSET($CX$3,0,0,'Données projet'!$E$13+1,1))-AVERAGE(OFFSET($H$3,0,0,'Données projet'!$E$13+1,1))</f>
        <v>198.78436129430389</v>
      </c>
      <c r="CZ174" s="59">
        <f t="shared" si="150"/>
        <v>198.28846462484438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3.5506174823234882</v>
      </c>
      <c r="DG174" s="21">
        <f>EXP(-LN(2)/25)*DG173+(1-EXP(-LN(2)/25))/(LN(2)/25)*Calculateur!DB174*Calculateur!DD174*VLOOKUP('Données projet'!$B$13,Paramètres!$A$1:$I$89,3,0)*0.475*44/12</f>
        <v>0.49952794105872611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4.0501454233822143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274.57619581652199</v>
      </c>
      <c r="T175" s="59">
        <f t="shared" si="142"/>
        <v>366.15117322598775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163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278.21846622758881</v>
      </c>
      <c r="AO175" s="59">
        <f t="shared" si="144"/>
        <v>245.37578316242906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-2.8421709430404007E-13</v>
      </c>
      <c r="BE175" s="13">
        <f>BD175*VLOOKUP('Données projet'!$B$11,Paramètres!$A$1:$I$89,3,0)*VLOOKUP('Données projet'!$B$11,Paramètres!$A$1:$I$89,5,0)</f>
        <v>-1.69961822393816E-13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187.18641061466138</v>
      </c>
      <c r="BJ175" s="59">
        <f t="shared" si="146"/>
        <v>143.07246221325369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30.273458851398807</v>
      </c>
      <c r="BQ175" s="21">
        <f>EXP(-LN(2)/25)*BQ174+(1-EXP(-LN(2)/25))/(LN(2)/25)*Calculateur!BL175*Calculateur!BN175*VLOOKUP('Données projet'!$B$11,Paramètres!$A$1:$I$89,3,0)*0.475*44/12</f>
        <v>5.2674020545378202</v>
      </c>
      <c r="BR175" s="21">
        <f>EXP(-LN(2)/2)*BR174+(1-EXP(-LN(2)/2))/(LN(2)/2)*BL175*BO175*VLOOKUP('Données projet'!$B$11,Paramètres!$A$1:$I$89,3,0)*0.475*44/12</f>
        <v>7.4712194733066252E-10</v>
      </c>
      <c r="BS175" s="22">
        <f t="shared" si="169"/>
        <v>35.540860906683747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3.4106051316484809E-13</v>
      </c>
      <c r="BZ175" s="13">
        <f>BY175*VLOOKUP('Données projet'!$B$12,Paramètres!$A$1:$I$89,3,0)*VLOOKUP('Données projet'!$B$12,Paramètres!$A$1:$I$89,5,0)</f>
        <v>1.5961632016114892E-13</v>
      </c>
      <c r="CA175" s="13">
        <f t="shared" si="170"/>
        <v>2.2708641912150958E-12</v>
      </c>
      <c r="CB175" s="20">
        <f t="shared" si="171"/>
        <v>4.2330868906469593E-12</v>
      </c>
      <c r="CC175" s="59">
        <f t="shared" si="119"/>
        <v>293.33333333333752</v>
      </c>
      <c r="CD175" s="59">
        <f ca="1">AVERAGE(OFFSET($CC$3,0,0,'Données projet'!$E$12+1,1))-AVERAGE(OFFSET($H$3,0,0,'Données projet'!$E$12+1,1))</f>
        <v>198.17898804494365</v>
      </c>
      <c r="CE175" s="59">
        <f t="shared" si="148"/>
        <v>186.24772922797723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46.486689332043461</v>
      </c>
      <c r="CL175" s="21">
        <f>EXP(-LN(2)/25)*CL174+(1-EXP(-LN(2)/25))/(LN(2)/25)*Calculateur!CG175*Calculateur!CI175*VLOOKUP('Données projet'!$B$12,Paramètres!$A$1:$I$89,3,0)*0.475*44/12</f>
        <v>6.853519553390595</v>
      </c>
      <c r="CM175" s="21">
        <f>EXP(-LN(2)/2)*CM174+(1-EXP(-LN(2)/2))/(LN(2)/2)*CG175*CJ175*VLOOKUP('Données projet'!$B$12,Paramètres!$A$1:$I$89,3,0)*0.475*44/12</f>
        <v>1.8263613427399508E-9</v>
      </c>
      <c r="CN175" s="22">
        <f t="shared" si="172"/>
        <v>53.340208887260424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266.99999999999983</v>
      </c>
      <c r="CU175" s="17">
        <f>CT175*VLOOKUP('Données projet'!$B$13,Paramètres!$A$1:$I$89,3,0)*VLOOKUP('Données projet'!$B$13,Paramètres!$A$1:$I$89,5,0)</f>
        <v>195.76439999999985</v>
      </c>
      <c r="CV175" s="13">
        <f t="shared" si="173"/>
        <v>48.812154563023455</v>
      </c>
      <c r="CW175" s="20">
        <f t="shared" si="174"/>
        <v>425.9708325305989</v>
      </c>
      <c r="CX175" s="59">
        <f t="shared" si="122"/>
        <v>719.30416586393221</v>
      </c>
      <c r="CY175" s="59">
        <f ca="1">AVERAGE(OFFSET($CX$3,0,0,'Données projet'!$E$13+1,1))-AVERAGE(OFFSET($H$3,0,0,'Données projet'!$E$13+1,1))</f>
        <v>198.78436129430389</v>
      </c>
      <c r="CZ175" s="59">
        <f t="shared" si="150"/>
        <v>198.28846462484438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3.4809920391579472</v>
      </c>
      <c r="DG175" s="21">
        <f>EXP(-LN(2)/25)*DG174+(1-EXP(-LN(2)/25))/(LN(2)/25)*Calculateur!DB175*Calculateur!DD175*VLOOKUP('Données projet'!$B$13,Paramètres!$A$1:$I$89,3,0)*0.475*44/12</f>
        <v>0.48586832324144252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3.9668603623993897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274.57619581652199</v>
      </c>
      <c r="T176" s="59">
        <f t="shared" si="142"/>
        <v>366.15117322598775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163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278.21846622758881</v>
      </c>
      <c r="AO176" s="59">
        <f t="shared" si="144"/>
        <v>245.37578316242906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-2.8421709430404007E-13</v>
      </c>
      <c r="BE176" s="13">
        <f>BD176*VLOOKUP('Données projet'!$B$11,Paramètres!$A$1:$I$89,3,0)*VLOOKUP('Données projet'!$B$11,Paramètres!$A$1:$I$89,5,0)</f>
        <v>-1.69961822393816E-13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187.18641061466138</v>
      </c>
      <c r="BJ176" s="59">
        <f t="shared" si="146"/>
        <v>143.07246221325369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29.67981478830951</v>
      </c>
      <c r="BQ176" s="21">
        <f>EXP(-LN(2)/25)*BQ175+(1-EXP(-LN(2)/25))/(LN(2)/25)*Calculateur!BL176*Calculateur!BN176*VLOOKUP('Données projet'!$B$11,Paramètres!$A$1:$I$89,3,0)*0.475*44/12</f>
        <v>5.1233646683558485</v>
      </c>
      <c r="BR176" s="21">
        <f>EXP(-LN(2)/2)*BR175+(1-EXP(-LN(2)/2))/(LN(2)/2)*BL176*BO176*VLOOKUP('Données projet'!$B$11,Paramètres!$A$1:$I$89,3,0)*0.475*44/12</f>
        <v>5.2829499533081006E-10</v>
      </c>
      <c r="BS176" s="22">
        <f t="shared" si="169"/>
        <v>34.803179457193657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3.4106051316484809E-13</v>
      </c>
      <c r="BZ176" s="13">
        <f>BY176*VLOOKUP('Données projet'!$B$12,Paramètres!$A$1:$I$89,3,0)*VLOOKUP('Données projet'!$B$12,Paramètres!$A$1:$I$89,5,0)</f>
        <v>1.5961632016114892E-13</v>
      </c>
      <c r="CA176" s="13">
        <f t="shared" si="170"/>
        <v>2.2708641912150958E-12</v>
      </c>
      <c r="CB176" s="20">
        <f t="shared" si="171"/>
        <v>4.2330868906469593E-12</v>
      </c>
      <c r="CC176" s="59">
        <f t="shared" si="119"/>
        <v>293.33333333333752</v>
      </c>
      <c r="CD176" s="59">
        <f ca="1">AVERAGE(OFFSET($CC$3,0,0,'Données projet'!$E$12+1,1))-AVERAGE(OFFSET($H$3,0,0,'Données projet'!$E$12+1,1))</f>
        <v>198.17898804494365</v>
      </c>
      <c r="CE176" s="59">
        <f t="shared" si="148"/>
        <v>186.24772922797723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45.575113708322846</v>
      </c>
      <c r="CL176" s="21">
        <f>EXP(-LN(2)/25)*CL175+(1-EXP(-LN(2)/25))/(LN(2)/25)*Calculateur!CG176*Calculateur!CI176*VLOOKUP('Données projet'!$B$12,Paramètres!$A$1:$I$89,3,0)*0.475*44/12</f>
        <v>6.6661097007921999</v>
      </c>
      <c r="CM176" s="21">
        <f>EXP(-LN(2)/2)*CM175+(1-EXP(-LN(2)/2))/(LN(2)/2)*CG176*CJ176*VLOOKUP('Données projet'!$B$12,Paramètres!$A$1:$I$89,3,0)*0.475*44/12</f>
        <v>1.2914324903483877E-9</v>
      </c>
      <c r="CN176" s="22">
        <f t="shared" si="172"/>
        <v>52.241223410406477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266.99999999999983</v>
      </c>
      <c r="CU176" s="17">
        <f>CT176*VLOOKUP('Données projet'!$B$13,Paramètres!$A$1:$I$89,3,0)*VLOOKUP('Données projet'!$B$13,Paramètres!$A$1:$I$89,5,0)</f>
        <v>195.76439999999985</v>
      </c>
      <c r="CV176" s="13">
        <f t="shared" si="173"/>
        <v>48.812154563023455</v>
      </c>
      <c r="CW176" s="20">
        <f t="shared" si="174"/>
        <v>425.9708325305989</v>
      </c>
      <c r="CX176" s="59">
        <f t="shared" si="122"/>
        <v>719.30416586393221</v>
      </c>
      <c r="CY176" s="59">
        <f ca="1">AVERAGE(OFFSET($CX$3,0,0,'Données projet'!$E$13+1,1))-AVERAGE(OFFSET($H$3,0,0,'Données projet'!$E$13+1,1))</f>
        <v>198.78436129430389</v>
      </c>
      <c r="CZ176" s="59">
        <f t="shared" si="150"/>
        <v>198.28846462484438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3.4127319084655556</v>
      </c>
      <c r="DG176" s="21">
        <f>EXP(-LN(2)/25)*DG175+(1-EXP(-LN(2)/25))/(LN(2)/25)*Calculateur!DB176*Calculateur!DD176*VLOOKUP('Données projet'!$B$13,Paramètres!$A$1:$I$89,3,0)*0.475*44/12</f>
        <v>0.47258222839170061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3.8853141368572564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274.57619581652199</v>
      </c>
      <c r="T177" s="59">
        <f t="shared" si="142"/>
        <v>366.15117322598775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163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278.21846622758881</v>
      </c>
      <c r="AO177" s="59">
        <f t="shared" si="144"/>
        <v>245.37578316242906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-2.8421709430404007E-13</v>
      </c>
      <c r="BE177" s="13">
        <f>BD177*VLOOKUP('Données projet'!$B$11,Paramètres!$A$1:$I$89,3,0)*VLOOKUP('Données projet'!$B$11,Paramètres!$A$1:$I$89,5,0)</f>
        <v>-1.69961822393816E-13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187.18641061466138</v>
      </c>
      <c r="BJ177" s="59">
        <f t="shared" si="146"/>
        <v>143.07246221325369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29.09781172321027</v>
      </c>
      <c r="BQ177" s="21">
        <f>EXP(-LN(2)/25)*BQ176+(1-EXP(-LN(2)/25))/(LN(2)/25)*Calculateur!BL177*Calculateur!BN177*VLOOKUP('Données projet'!$B$11,Paramètres!$A$1:$I$89,3,0)*0.475*44/12</f>
        <v>4.9832659920736191</v>
      </c>
      <c r="BR177" s="21">
        <f>EXP(-LN(2)/2)*BR176+(1-EXP(-LN(2)/2))/(LN(2)/2)*BL177*BO177*VLOOKUP('Données projet'!$B$11,Paramètres!$A$1:$I$89,3,0)*0.475*44/12</f>
        <v>3.7356097366533126E-10</v>
      </c>
      <c r="BS177" s="22">
        <f t="shared" si="169"/>
        <v>34.08107771565745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3.4106051316484809E-13</v>
      </c>
      <c r="BZ177" s="13">
        <f>BY177*VLOOKUP('Données projet'!$B$12,Paramètres!$A$1:$I$89,3,0)*VLOOKUP('Données projet'!$B$12,Paramètres!$A$1:$I$89,5,0)</f>
        <v>1.5961632016114892E-13</v>
      </c>
      <c r="CA177" s="13">
        <f t="shared" si="170"/>
        <v>2.2708641912150958E-12</v>
      </c>
      <c r="CB177" s="20">
        <f t="shared" si="171"/>
        <v>4.2330868906469593E-12</v>
      </c>
      <c r="CC177" s="59">
        <f t="shared" si="119"/>
        <v>293.33333333333752</v>
      </c>
      <c r="CD177" s="59">
        <f ca="1">AVERAGE(OFFSET($CC$3,0,0,'Données projet'!$E$12+1,1))-AVERAGE(OFFSET($H$3,0,0,'Données projet'!$E$12+1,1))</f>
        <v>198.17898804494365</v>
      </c>
      <c r="CE177" s="59">
        <f t="shared" si="148"/>
        <v>186.24772922797723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44.681413526577167</v>
      </c>
      <c r="CL177" s="21">
        <f>EXP(-LN(2)/25)*CL176+(1-EXP(-LN(2)/25))/(LN(2)/25)*Calculateur!CG177*Calculateur!CI177*VLOOKUP('Données projet'!$B$12,Paramètres!$A$1:$I$89,3,0)*0.475*44/12</f>
        <v>6.4838245804685632</v>
      </c>
      <c r="CM177" s="21">
        <f>EXP(-LN(2)/2)*CM176+(1-EXP(-LN(2)/2))/(LN(2)/2)*CG177*CJ177*VLOOKUP('Données projet'!$B$12,Paramètres!$A$1:$I$89,3,0)*0.475*44/12</f>
        <v>9.1318067136997553E-10</v>
      </c>
      <c r="CN177" s="22">
        <f t="shared" si="172"/>
        <v>51.165238107958913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266.99999999999983</v>
      </c>
      <c r="CU177" s="17">
        <f>CT177*VLOOKUP('Données projet'!$B$13,Paramètres!$A$1:$I$89,3,0)*VLOOKUP('Données projet'!$B$13,Paramètres!$A$1:$I$89,5,0)</f>
        <v>195.76439999999985</v>
      </c>
      <c r="CV177" s="13">
        <f t="shared" si="173"/>
        <v>48.812154563023455</v>
      </c>
      <c r="CW177" s="20">
        <f t="shared" si="174"/>
        <v>425.9708325305989</v>
      </c>
      <c r="CX177" s="59">
        <f t="shared" si="122"/>
        <v>719.30416586393221</v>
      </c>
      <c r="CY177" s="59">
        <f ca="1">AVERAGE(OFFSET($CX$3,0,0,'Données projet'!$E$13+1,1))-AVERAGE(OFFSET($H$3,0,0,'Données projet'!$E$13+1,1))</f>
        <v>198.78436129430389</v>
      </c>
      <c r="CZ177" s="59">
        <f t="shared" si="150"/>
        <v>198.28846462484438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3.3458103173014733</v>
      </c>
      <c r="DG177" s="21">
        <f>EXP(-LN(2)/25)*DG176+(1-EXP(-LN(2)/25))/(LN(2)/25)*Calculateur!DB177*Calculateur!DD177*VLOOKUP('Données projet'!$B$13,Paramètres!$A$1:$I$89,3,0)*0.475*44/12</f>
        <v>0.45965944250431029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3.8054697598057836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274.57619581652199</v>
      </c>
      <c r="T178" s="59">
        <f t="shared" si="142"/>
        <v>366.15117322598775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163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278.21846622758881</v>
      </c>
      <c r="AO178" s="59">
        <f t="shared" si="144"/>
        <v>245.37578316242906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-2.8421709430404007E-13</v>
      </c>
      <c r="BE178" s="13">
        <f>BD178*VLOOKUP('Données projet'!$B$11,Paramètres!$A$1:$I$89,3,0)*VLOOKUP('Données projet'!$B$11,Paramètres!$A$1:$I$89,5,0)</f>
        <v>-1.69961822393816E-13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187.18641061466138</v>
      </c>
      <c r="BJ178" s="59">
        <f t="shared" si="146"/>
        <v>143.07246221325369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28.527221383230806</v>
      </c>
      <c r="BQ178" s="21">
        <f>EXP(-LN(2)/25)*BQ177+(1-EXP(-LN(2)/25))/(LN(2)/25)*Calculateur!BL178*Calculateur!BN178*VLOOKUP('Données projet'!$B$11,Paramètres!$A$1:$I$89,3,0)*0.475*44/12</f>
        <v>4.8469983214617969</v>
      </c>
      <c r="BR178" s="21">
        <f>EXP(-LN(2)/2)*BR177+(1-EXP(-LN(2)/2))/(LN(2)/2)*BL178*BO178*VLOOKUP('Données projet'!$B$11,Paramètres!$A$1:$I$89,3,0)*0.475*44/12</f>
        <v>2.6414749766540503E-10</v>
      </c>
      <c r="BS178" s="22">
        <f t="shared" si="169"/>
        <v>33.374219704956751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3.4106051316484809E-13</v>
      </c>
      <c r="BZ178" s="13">
        <f>BY178*VLOOKUP('Données projet'!$B$12,Paramètres!$A$1:$I$89,3,0)*VLOOKUP('Données projet'!$B$12,Paramètres!$A$1:$I$89,5,0)</f>
        <v>1.5961632016114892E-13</v>
      </c>
      <c r="CA178" s="13">
        <f t="shared" si="170"/>
        <v>2.2708641912150958E-12</v>
      </c>
      <c r="CB178" s="20">
        <f t="shared" si="171"/>
        <v>4.2330868906469593E-12</v>
      </c>
      <c r="CC178" s="59">
        <f t="shared" si="119"/>
        <v>293.33333333333752</v>
      </c>
      <c r="CD178" s="59">
        <f ca="1">AVERAGE(OFFSET($CC$3,0,0,'Données projet'!$E$12+1,1))-AVERAGE(OFFSET($H$3,0,0,'Données projet'!$E$12+1,1))</f>
        <v>198.17898804494365</v>
      </c>
      <c r="CE178" s="59">
        <f t="shared" si="148"/>
        <v>186.24772922797723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43.805238260292235</v>
      </c>
      <c r="CL178" s="21">
        <f>EXP(-LN(2)/25)*CL177+(1-EXP(-LN(2)/25))/(LN(2)/25)*Calculateur!CG178*Calculateur!CI178*VLOOKUP('Données projet'!$B$12,Paramètres!$A$1:$I$89,3,0)*0.475*44/12</f>
        <v>6.3065240563461344</v>
      </c>
      <c r="CM178" s="21">
        <f>EXP(-LN(2)/2)*CM177+(1-EXP(-LN(2)/2))/(LN(2)/2)*CG178*CJ178*VLOOKUP('Données projet'!$B$12,Paramètres!$A$1:$I$89,3,0)*0.475*44/12</f>
        <v>6.4571624517419394E-10</v>
      </c>
      <c r="CN178" s="22">
        <f t="shared" si="172"/>
        <v>50.111762317284082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266.99999999999983</v>
      </c>
      <c r="CU178" s="17">
        <f>CT178*VLOOKUP('Données projet'!$B$13,Paramètres!$A$1:$I$89,3,0)*VLOOKUP('Données projet'!$B$13,Paramètres!$A$1:$I$89,5,0)</f>
        <v>195.76439999999985</v>
      </c>
      <c r="CV178" s="13">
        <f t="shared" si="173"/>
        <v>48.812154563023455</v>
      </c>
      <c r="CW178" s="20">
        <f t="shared" si="174"/>
        <v>425.9708325305989</v>
      </c>
      <c r="CX178" s="59">
        <f t="shared" si="122"/>
        <v>719.30416586393221</v>
      </c>
      <c r="CY178" s="59">
        <f ca="1">AVERAGE(OFFSET($CX$3,0,0,'Données projet'!$E$13+1,1))-AVERAGE(OFFSET($H$3,0,0,'Données projet'!$E$13+1,1))</f>
        <v>198.78436129430389</v>
      </c>
      <c r="CZ178" s="59">
        <f t="shared" si="150"/>
        <v>198.28846462484438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3.2802010177219785</v>
      </c>
      <c r="DG178" s="21">
        <f>EXP(-LN(2)/25)*DG177+(1-EXP(-LN(2)/25))/(LN(2)/25)*Calculateur!DB178*Calculateur!DD178*VLOOKUP('Données projet'!$B$13,Paramètres!$A$1:$I$89,3,0)*0.475*44/12</f>
        <v>0.44709003087659038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3.7272910485985689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274.57619581652199</v>
      </c>
      <c r="T179" s="59">
        <f t="shared" si="142"/>
        <v>366.15117322598775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163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278.21846622758881</v>
      </c>
      <c r="AO179" s="59">
        <f t="shared" si="144"/>
        <v>245.37578316242906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-2.8421709430404007E-13</v>
      </c>
      <c r="BE179" s="13">
        <f>BD179*VLOOKUP('Données projet'!$B$11,Paramètres!$A$1:$I$89,3,0)*VLOOKUP('Données projet'!$B$11,Paramètres!$A$1:$I$89,5,0)</f>
        <v>-1.69961822393816E-13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187.18641061466138</v>
      </c>
      <c r="BJ179" s="59">
        <f t="shared" si="146"/>
        <v>143.07246221325369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27.967819971792597</v>
      </c>
      <c r="BQ179" s="21">
        <f>EXP(-LN(2)/25)*BQ178+(1-EXP(-LN(2)/25))/(LN(2)/25)*Calculateur!BL179*Calculateur!BN179*VLOOKUP('Données projet'!$B$11,Paramètres!$A$1:$I$89,3,0)*0.475*44/12</f>
        <v>4.7144568974688603</v>
      </c>
      <c r="BR179" s="21">
        <f>EXP(-LN(2)/2)*BR178+(1-EXP(-LN(2)/2))/(LN(2)/2)*BL179*BO179*VLOOKUP('Données projet'!$B$11,Paramètres!$A$1:$I$89,3,0)*0.475*44/12</f>
        <v>1.8678048683266563E-10</v>
      </c>
      <c r="BS179" s="22">
        <f t="shared" si="169"/>
        <v>32.682276869448238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3.4106051316484809E-13</v>
      </c>
      <c r="BZ179" s="13">
        <f>BY179*VLOOKUP('Données projet'!$B$12,Paramètres!$A$1:$I$89,3,0)*VLOOKUP('Données projet'!$B$12,Paramètres!$A$1:$I$89,5,0)</f>
        <v>1.5961632016114892E-13</v>
      </c>
      <c r="CA179" s="13">
        <f t="shared" si="170"/>
        <v>2.2708641912150958E-12</v>
      </c>
      <c r="CB179" s="20">
        <f t="shared" si="171"/>
        <v>4.2330868906469593E-12</v>
      </c>
      <c r="CC179" s="59">
        <f t="shared" si="119"/>
        <v>293.33333333333752</v>
      </c>
      <c r="CD179" s="59">
        <f ca="1">AVERAGE(OFFSET($CC$3,0,0,'Données projet'!$E$12+1,1))-AVERAGE(OFFSET($H$3,0,0,'Données projet'!$E$12+1,1))</f>
        <v>198.17898804494365</v>
      </c>
      <c r="CE179" s="59">
        <f t="shared" si="148"/>
        <v>186.24772922797723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42.946244256565002</v>
      </c>
      <c r="CL179" s="21">
        <f>EXP(-LN(2)/25)*CL178+(1-EXP(-LN(2)/25))/(LN(2)/25)*Calculateur!CG179*Calculateur!CI179*VLOOKUP('Données projet'!$B$12,Paramètres!$A$1:$I$89,3,0)*0.475*44/12</f>
        <v>6.1340718243796628</v>
      </c>
      <c r="CM179" s="21">
        <f>EXP(-LN(2)/2)*CM178+(1-EXP(-LN(2)/2))/(LN(2)/2)*CG179*CJ179*VLOOKUP('Données projet'!$B$12,Paramètres!$A$1:$I$89,3,0)*0.475*44/12</f>
        <v>4.5659033568498787E-10</v>
      </c>
      <c r="CN179" s="22">
        <f t="shared" si="172"/>
        <v>49.08031608140125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266.99999999999983</v>
      </c>
      <c r="CU179" s="17">
        <f>CT179*VLOOKUP('Données projet'!$B$13,Paramètres!$A$1:$I$89,3,0)*VLOOKUP('Données projet'!$B$13,Paramètres!$A$1:$I$89,5,0)</f>
        <v>195.76439999999985</v>
      </c>
      <c r="CV179" s="13">
        <f t="shared" si="173"/>
        <v>48.812154563023455</v>
      </c>
      <c r="CW179" s="20">
        <f t="shared" si="174"/>
        <v>425.9708325305989</v>
      </c>
      <c r="CX179" s="59">
        <f t="shared" si="122"/>
        <v>719.30416586393221</v>
      </c>
      <c r="CY179" s="59">
        <f ca="1">AVERAGE(OFFSET($CX$3,0,0,'Données projet'!$E$13+1,1))-AVERAGE(OFFSET($H$3,0,0,'Données projet'!$E$13+1,1))</f>
        <v>198.78436129430389</v>
      </c>
      <c r="CZ179" s="59">
        <f t="shared" si="150"/>
        <v>198.28846462484438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3.2158782764895162</v>
      </c>
      <c r="DG179" s="21">
        <f>EXP(-LN(2)/25)*DG178+(1-EXP(-LN(2)/25))/(LN(2)/25)*Calculateur!DB179*Calculateur!DD179*VLOOKUP('Données projet'!$B$13,Paramètres!$A$1:$I$89,3,0)*0.475*44/12</f>
        <v>0.43486433047082712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3.6507426069603435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274.57619581652199</v>
      </c>
      <c r="T180" s="59">
        <f t="shared" si="142"/>
        <v>366.15117322598775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163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278.21846622758881</v>
      </c>
      <c r="AO180" s="59">
        <f t="shared" si="144"/>
        <v>245.37578316242906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-2.8421709430404007E-13</v>
      </c>
      <c r="BE180" s="13">
        <f>BD180*VLOOKUP('Données projet'!$B$11,Paramètres!$A$1:$I$89,3,0)*VLOOKUP('Données projet'!$B$11,Paramètres!$A$1:$I$89,5,0)</f>
        <v>-1.69961822393816E-13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187.18641061466138</v>
      </c>
      <c r="BJ180" s="59">
        <f t="shared" si="146"/>
        <v>143.07246221325369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27.419388080831521</v>
      </c>
      <c r="BQ180" s="21">
        <f>EXP(-LN(2)/25)*BQ179+(1-EXP(-LN(2)/25))/(LN(2)/25)*Calculateur!BL180*Calculateur!BN180*VLOOKUP('Données projet'!$B$11,Paramètres!$A$1:$I$89,3,0)*0.475*44/12</f>
        <v>4.5855398256850615</v>
      </c>
      <c r="BR180" s="21">
        <f>EXP(-LN(2)/2)*BR179+(1-EXP(-LN(2)/2))/(LN(2)/2)*BL180*BO180*VLOOKUP('Données projet'!$B$11,Paramètres!$A$1:$I$89,3,0)*0.475*44/12</f>
        <v>1.3207374883270252E-10</v>
      </c>
      <c r="BS180" s="22">
        <f t="shared" si="169"/>
        <v>32.00492790664866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3.4106051316484809E-13</v>
      </c>
      <c r="BZ180" s="13">
        <f>BY180*VLOOKUP('Données projet'!$B$12,Paramètres!$A$1:$I$89,3,0)*VLOOKUP('Données projet'!$B$12,Paramètres!$A$1:$I$89,5,0)</f>
        <v>1.5961632016114892E-13</v>
      </c>
      <c r="CA180" s="13">
        <f t="shared" si="170"/>
        <v>2.2708641912150958E-12</v>
      </c>
      <c r="CB180" s="20">
        <f t="shared" si="171"/>
        <v>4.2330868906469593E-12</v>
      </c>
      <c r="CC180" s="59">
        <f t="shared" si="119"/>
        <v>293.33333333333752</v>
      </c>
      <c r="CD180" s="59">
        <f ca="1">AVERAGE(OFFSET($CC$3,0,0,'Données projet'!$E$12+1,1))-AVERAGE(OFFSET($H$3,0,0,'Données projet'!$E$12+1,1))</f>
        <v>198.17898804494365</v>
      </c>
      <c r="CE180" s="59">
        <f t="shared" si="148"/>
        <v>186.24772922797723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42.104094601316255</v>
      </c>
      <c r="CL180" s="21">
        <f>EXP(-LN(2)/25)*CL179+(1-EXP(-LN(2)/25))/(LN(2)/25)*Calculateur!CG180*Calculateur!CI180*VLOOKUP('Données projet'!$B$12,Paramètres!$A$1:$I$89,3,0)*0.475*44/12</f>
        <v>5.9663353077651831</v>
      </c>
      <c r="CM180" s="21">
        <f>EXP(-LN(2)/2)*CM179+(1-EXP(-LN(2)/2))/(LN(2)/2)*CG180*CJ180*VLOOKUP('Données projet'!$B$12,Paramètres!$A$1:$I$89,3,0)*0.475*44/12</f>
        <v>3.2285812258709702E-10</v>
      </c>
      <c r="CN180" s="22">
        <f t="shared" si="172"/>
        <v>48.070429909404297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266.99999999999983</v>
      </c>
      <c r="CU180" s="17">
        <f>CT180*VLOOKUP('Données projet'!$B$13,Paramètres!$A$1:$I$89,3,0)*VLOOKUP('Données projet'!$B$13,Paramètres!$A$1:$I$89,5,0)</f>
        <v>195.76439999999985</v>
      </c>
      <c r="CV180" s="13">
        <f t="shared" si="173"/>
        <v>48.812154563023455</v>
      </c>
      <c r="CW180" s="20">
        <f t="shared" si="174"/>
        <v>425.9708325305989</v>
      </c>
      <c r="CX180" s="59">
        <f t="shared" si="122"/>
        <v>719.30416586393221</v>
      </c>
      <c r="CY180" s="59">
        <f ca="1">AVERAGE(OFFSET($CX$3,0,0,'Données projet'!$E$13+1,1))-AVERAGE(OFFSET($H$3,0,0,'Données projet'!$E$13+1,1))</f>
        <v>198.78436129430389</v>
      </c>
      <c r="CZ180" s="59">
        <f t="shared" si="150"/>
        <v>198.28846462484438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3.152816864979624</v>
      </c>
      <c r="DG180" s="21">
        <f>EXP(-LN(2)/25)*DG179+(1-EXP(-LN(2)/25))/(LN(2)/25)*Calculateur!DB180*Calculateur!DD180*VLOOKUP('Données projet'!$B$13,Paramètres!$A$1:$I$89,3,0)*0.475*44/12</f>
        <v>0.42297294248558109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3.5757898074652053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274.57619581652199</v>
      </c>
      <c r="T181" s="59">
        <f t="shared" si="142"/>
        <v>366.15117322598775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163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278.21846622758881</v>
      </c>
      <c r="AO181" s="59">
        <f t="shared" si="144"/>
        <v>245.37578316242906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-2.8421709430404007E-13</v>
      </c>
      <c r="BE181" s="13">
        <f>BD181*VLOOKUP('Données projet'!$B$11,Paramètres!$A$1:$I$89,3,0)*VLOOKUP('Données projet'!$B$11,Paramètres!$A$1:$I$89,5,0)</f>
        <v>-1.69961822393816E-13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187.18641061466138</v>
      </c>
      <c r="BJ181" s="59">
        <f t="shared" si="146"/>
        <v>143.07246221325369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26.88171060474177</v>
      </c>
      <c r="BQ181" s="21">
        <f>EXP(-LN(2)/25)*BQ180+(1-EXP(-LN(2)/25))/(LN(2)/25)*Calculateur!BL181*Calculateur!BN181*VLOOKUP('Données projet'!$B$11,Paramètres!$A$1:$I$89,3,0)*0.475*44/12</f>
        <v>4.4601479980086447</v>
      </c>
      <c r="BR181" s="21">
        <f>EXP(-LN(2)/2)*BR180+(1-EXP(-LN(2)/2))/(LN(2)/2)*BL181*BO181*VLOOKUP('Données projet'!$B$11,Paramètres!$A$1:$I$89,3,0)*0.475*44/12</f>
        <v>9.3390243416332815E-11</v>
      </c>
      <c r="BS181" s="22">
        <f t="shared" si="169"/>
        <v>31.341858602843804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3.4106051316484809E-13</v>
      </c>
      <c r="BZ181" s="13">
        <f>BY181*VLOOKUP('Données projet'!$B$12,Paramètres!$A$1:$I$89,3,0)*VLOOKUP('Données projet'!$B$12,Paramètres!$A$1:$I$89,5,0)</f>
        <v>1.5961632016114892E-13</v>
      </c>
      <c r="CA181" s="13">
        <f t="shared" si="170"/>
        <v>2.2708641912150958E-12</v>
      </c>
      <c r="CB181" s="20">
        <f t="shared" si="171"/>
        <v>4.2330868906469593E-12</v>
      </c>
      <c r="CC181" s="59">
        <f t="shared" si="119"/>
        <v>293.33333333333752</v>
      </c>
      <c r="CD181" s="59">
        <f ca="1">AVERAGE(OFFSET($CC$3,0,0,'Données projet'!$E$12+1,1))-AVERAGE(OFFSET($H$3,0,0,'Données projet'!$E$12+1,1))</f>
        <v>198.17898804494365</v>
      </c>
      <c r="CE181" s="59">
        <f t="shared" si="148"/>
        <v>186.24772922797723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41.278458987146365</v>
      </c>
      <c r="CL181" s="21">
        <f>EXP(-LN(2)/25)*CL180+(1-EXP(-LN(2)/25))/(LN(2)/25)*Calculateur!CG181*Calculateur!CI181*VLOOKUP('Données projet'!$B$12,Paramètres!$A$1:$I$89,3,0)*0.475*44/12</f>
        <v>5.8031855550184064</v>
      </c>
      <c r="CM181" s="21">
        <f>EXP(-LN(2)/2)*CM180+(1-EXP(-LN(2)/2))/(LN(2)/2)*CG181*CJ181*VLOOKUP('Données projet'!$B$12,Paramètres!$A$1:$I$89,3,0)*0.475*44/12</f>
        <v>2.2829516784249396E-10</v>
      </c>
      <c r="CN181" s="22">
        <f t="shared" si="172"/>
        <v>47.081644542393072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266.99999999999983</v>
      </c>
      <c r="CU181" s="17">
        <f>CT181*VLOOKUP('Données projet'!$B$13,Paramètres!$A$1:$I$89,3,0)*VLOOKUP('Données projet'!$B$13,Paramètres!$A$1:$I$89,5,0)</f>
        <v>195.76439999999985</v>
      </c>
      <c r="CV181" s="13">
        <f t="shared" si="173"/>
        <v>48.812154563023455</v>
      </c>
      <c r="CW181" s="20">
        <f t="shared" si="174"/>
        <v>425.9708325305989</v>
      </c>
      <c r="CX181" s="59">
        <f t="shared" si="122"/>
        <v>719.30416586393221</v>
      </c>
      <c r="CY181" s="59">
        <f ca="1">AVERAGE(OFFSET($CX$3,0,0,'Données projet'!$E$13+1,1))-AVERAGE(OFFSET($H$3,0,0,'Données projet'!$E$13+1,1))</f>
        <v>198.78436129430389</v>
      </c>
      <c r="CZ181" s="59">
        <f t="shared" si="150"/>
        <v>198.28846462484438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3.0909920492857781</v>
      </c>
      <c r="DG181" s="21">
        <f>EXP(-LN(2)/25)*DG180+(1-EXP(-LN(2)/25))/(LN(2)/25)*Calculateur!DB181*Calculateur!DD181*VLOOKUP('Données projet'!$B$13,Paramètres!$A$1:$I$89,3,0)*0.475*44/12</f>
        <v>0.41140672513013254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3.5023987744159104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274.57619581652199</v>
      </c>
      <c r="T182" s="59">
        <f t="shared" si="142"/>
        <v>366.15117322598775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163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278.21846622758881</v>
      </c>
      <c r="AO182" s="59">
        <f t="shared" si="144"/>
        <v>245.37578316242906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-2.8421709430404007E-13</v>
      </c>
      <c r="BE182" s="13">
        <f>BD182*VLOOKUP('Données projet'!$B$11,Paramètres!$A$1:$I$89,3,0)*VLOOKUP('Données projet'!$B$11,Paramètres!$A$1:$I$89,5,0)</f>
        <v>-1.69961822393816E-13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187.18641061466138</v>
      </c>
      <c r="BJ182" s="59">
        <f t="shared" si="146"/>
        <v>143.07246221325369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26.354576656007261</v>
      </c>
      <c r="BQ182" s="21">
        <f>EXP(-LN(2)/25)*BQ181+(1-EXP(-LN(2)/25))/(LN(2)/25)*Calculateur!BL182*Calculateur!BN182*VLOOKUP('Données projet'!$B$11,Paramètres!$A$1:$I$89,3,0)*0.475*44/12</f>
        <v>4.3381850164541085</v>
      </c>
      <c r="BR182" s="21">
        <f>EXP(-LN(2)/2)*BR181+(1-EXP(-LN(2)/2))/(LN(2)/2)*BL182*BO182*VLOOKUP('Données projet'!$B$11,Paramètres!$A$1:$I$89,3,0)*0.475*44/12</f>
        <v>6.6036874416351258E-11</v>
      </c>
      <c r="BS182" s="22">
        <f t="shared" si="169"/>
        <v>30.692761672527407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3.4106051316484809E-13</v>
      </c>
      <c r="BZ182" s="13">
        <f>BY182*VLOOKUP('Données projet'!$B$12,Paramètres!$A$1:$I$89,3,0)*VLOOKUP('Données projet'!$B$12,Paramètres!$A$1:$I$89,5,0)</f>
        <v>1.5961632016114892E-13</v>
      </c>
      <c r="CA182" s="13">
        <f t="shared" si="170"/>
        <v>2.2708641912150958E-12</v>
      </c>
      <c r="CB182" s="20">
        <f t="shared" si="171"/>
        <v>4.2330868906469593E-12</v>
      </c>
      <c r="CC182" s="59">
        <f t="shared" si="119"/>
        <v>293.33333333333752</v>
      </c>
      <c r="CD182" s="59">
        <f ca="1">AVERAGE(OFFSET($CC$3,0,0,'Données projet'!$E$12+1,1))-AVERAGE(OFFSET($H$3,0,0,'Données projet'!$E$12+1,1))</f>
        <v>198.17898804494365</v>
      </c>
      <c r="CE182" s="59">
        <f t="shared" si="148"/>
        <v>186.24772922797723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40.469013583782349</v>
      </c>
      <c r="CL182" s="21">
        <f>EXP(-LN(2)/25)*CL181+(1-EXP(-LN(2)/25))/(LN(2)/25)*Calculateur!CG182*Calculateur!CI182*VLOOKUP('Données projet'!$B$12,Paramètres!$A$1:$I$89,3,0)*0.475*44/12</f>
        <v>5.644497140840163</v>
      </c>
      <c r="CM182" s="21">
        <f>EXP(-LN(2)/2)*CM181+(1-EXP(-LN(2)/2))/(LN(2)/2)*CG182*CJ182*VLOOKUP('Données projet'!$B$12,Paramètres!$A$1:$I$89,3,0)*0.475*44/12</f>
        <v>1.6142906129354854E-10</v>
      </c>
      <c r="CN182" s="22">
        <f t="shared" si="172"/>
        <v>46.113510724783943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266.99999999999983</v>
      </c>
      <c r="CU182" s="17">
        <f>CT182*VLOOKUP('Données projet'!$B$13,Paramètres!$A$1:$I$89,3,0)*VLOOKUP('Données projet'!$B$13,Paramètres!$A$1:$I$89,5,0)</f>
        <v>195.76439999999985</v>
      </c>
      <c r="CV182" s="13">
        <f t="shared" si="173"/>
        <v>48.812154563023455</v>
      </c>
      <c r="CW182" s="20">
        <f t="shared" si="174"/>
        <v>425.9708325305989</v>
      </c>
      <c r="CX182" s="59">
        <f t="shared" si="122"/>
        <v>719.30416586393221</v>
      </c>
      <c r="CY182" s="59">
        <f ca="1">AVERAGE(OFFSET($CX$3,0,0,'Données projet'!$E$13+1,1))-AVERAGE(OFFSET($H$3,0,0,'Données projet'!$E$13+1,1))</f>
        <v>198.78436129430389</v>
      </c>
      <c r="CZ182" s="59">
        <f t="shared" si="150"/>
        <v>198.28846462484438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3.0303795805182743</v>
      </c>
      <c r="DG182" s="21">
        <f>EXP(-LN(2)/25)*DG181+(1-EXP(-LN(2)/25))/(LN(2)/25)*Calculateur!DB182*Calculateur!DD182*VLOOKUP('Données projet'!$B$13,Paramètres!$A$1:$I$89,3,0)*0.475*44/12</f>
        <v>0.40015678659650966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3.4305363671147839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274.57619581652199</v>
      </c>
      <c r="T183" s="59">
        <f t="shared" si="142"/>
        <v>366.15117322598775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163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278.21846622758881</v>
      </c>
      <c r="AO183" s="59">
        <f t="shared" si="144"/>
        <v>245.37578316242906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-2.8421709430404007E-13</v>
      </c>
      <c r="BE183" s="13">
        <f>BD183*VLOOKUP('Données projet'!$B$11,Paramètres!$A$1:$I$89,3,0)*VLOOKUP('Données projet'!$B$11,Paramètres!$A$1:$I$89,5,0)</f>
        <v>-1.69961822393816E-13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187.18641061466138</v>
      </c>
      <c r="BJ183" s="59">
        <f t="shared" si="146"/>
        <v>143.07246221325369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25.837779482487473</v>
      </c>
      <c r="BQ183" s="21">
        <f>EXP(-LN(2)/25)*BQ182+(1-EXP(-LN(2)/25))/(LN(2)/25)*Calculateur!BL183*Calculateur!BN183*VLOOKUP('Données projet'!$B$11,Paramètres!$A$1:$I$89,3,0)*0.475*44/12</f>
        <v>4.2195571190439356</v>
      </c>
      <c r="BR183" s="21">
        <f>EXP(-LN(2)/2)*BR182+(1-EXP(-LN(2)/2))/(LN(2)/2)*BL183*BO183*VLOOKUP('Données projet'!$B$11,Paramètres!$A$1:$I$89,3,0)*0.475*44/12</f>
        <v>4.6695121708166408E-11</v>
      </c>
      <c r="BS183" s="22">
        <f t="shared" si="169"/>
        <v>30.057336601578108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3.4106051316484809E-13</v>
      </c>
      <c r="BZ183" s="13">
        <f>BY183*VLOOKUP('Données projet'!$B$12,Paramètres!$A$1:$I$89,3,0)*VLOOKUP('Données projet'!$B$12,Paramètres!$A$1:$I$89,5,0)</f>
        <v>1.5961632016114892E-13</v>
      </c>
      <c r="CA183" s="13">
        <f t="shared" si="170"/>
        <v>2.2708641912150958E-12</v>
      </c>
      <c r="CB183" s="20">
        <f t="shared" si="171"/>
        <v>4.2330868906469593E-12</v>
      </c>
      <c r="CC183" s="59">
        <f t="shared" si="119"/>
        <v>293.33333333333752</v>
      </c>
      <c r="CD183" s="59">
        <f ca="1">AVERAGE(OFFSET($CC$3,0,0,'Données projet'!$E$12+1,1))-AVERAGE(OFFSET($H$3,0,0,'Données projet'!$E$12+1,1))</f>
        <v>198.17898804494365</v>
      </c>
      <c r="CE183" s="59">
        <f t="shared" si="148"/>
        <v>186.24772922797723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39.675440911065351</v>
      </c>
      <c r="CL183" s="21">
        <f>EXP(-LN(2)/25)*CL182+(1-EXP(-LN(2)/25))/(LN(2)/25)*Calculateur!CG183*Calculateur!CI183*VLOOKUP('Données projet'!$B$12,Paramètres!$A$1:$I$89,3,0)*0.475*44/12</f>
        <v>5.490148069692685</v>
      </c>
      <c r="CM183" s="21">
        <f>EXP(-LN(2)/2)*CM182+(1-EXP(-LN(2)/2))/(LN(2)/2)*CG183*CJ183*VLOOKUP('Données projet'!$B$12,Paramètres!$A$1:$I$89,3,0)*0.475*44/12</f>
        <v>1.1414758392124701E-10</v>
      </c>
      <c r="CN183" s="22">
        <f t="shared" si="172"/>
        <v>45.165588980872187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266.99999999999983</v>
      </c>
      <c r="CU183" s="17">
        <f>CT183*VLOOKUP('Données projet'!$B$13,Paramètres!$A$1:$I$89,3,0)*VLOOKUP('Données projet'!$B$13,Paramètres!$A$1:$I$89,5,0)</f>
        <v>195.76439999999985</v>
      </c>
      <c r="CV183" s="13">
        <f t="shared" si="173"/>
        <v>48.812154563023455</v>
      </c>
      <c r="CW183" s="20">
        <f t="shared" si="174"/>
        <v>425.9708325305989</v>
      </c>
      <c r="CX183" s="59">
        <f t="shared" si="122"/>
        <v>719.30416586393221</v>
      </c>
      <c r="CY183" s="59">
        <f ca="1">AVERAGE(OFFSET($CX$3,0,0,'Données projet'!$E$13+1,1))-AVERAGE(OFFSET($H$3,0,0,'Données projet'!$E$13+1,1))</f>
        <v>198.78436129430389</v>
      </c>
      <c r="CZ183" s="59">
        <f t="shared" si="150"/>
        <v>198.28846462484438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2.9709556852933456</v>
      </c>
      <c r="DG183" s="21">
        <f>EXP(-LN(2)/25)*DG182+(1-EXP(-LN(2)/25))/(LN(2)/25)*Calculateur!DB183*Calculateur!DD183*VLOOKUP('Données projet'!$B$13,Paramètres!$A$1:$I$89,3,0)*0.475*44/12</f>
        <v>0.38921447822369726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3.3601701635170427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274.57619581652199</v>
      </c>
      <c r="T184" s="59">
        <f t="shared" si="142"/>
        <v>366.15117322598775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163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278.21846622758881</v>
      </c>
      <c r="AO184" s="59">
        <f t="shared" si="144"/>
        <v>245.37578316242906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-2.8421709430404007E-13</v>
      </c>
      <c r="BE184" s="13">
        <f>BD184*VLOOKUP('Données projet'!$B$11,Paramètres!$A$1:$I$89,3,0)*VLOOKUP('Données projet'!$B$11,Paramètres!$A$1:$I$89,5,0)</f>
        <v>-1.69961822393816E-13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187.18641061466138</v>
      </c>
      <c r="BJ184" s="59">
        <f t="shared" si="146"/>
        <v>143.07246221325369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25.33111638632526</v>
      </c>
      <c r="BQ184" s="21">
        <f>EXP(-LN(2)/25)*BQ183+(1-EXP(-LN(2)/25))/(LN(2)/25)*Calculateur!BL184*Calculateur!BN184*VLOOKUP('Données projet'!$B$11,Paramètres!$A$1:$I$89,3,0)*0.475*44/12</f>
        <v>4.1041731077268144</v>
      </c>
      <c r="BR184" s="21">
        <f>EXP(-LN(2)/2)*BR183+(1-EXP(-LN(2)/2))/(LN(2)/2)*BL184*BO184*VLOOKUP('Données projet'!$B$11,Paramètres!$A$1:$I$89,3,0)*0.475*44/12</f>
        <v>3.3018437208175629E-11</v>
      </c>
      <c r="BS184" s="22">
        <f t="shared" si="169"/>
        <v>29.435289494085094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3.4106051316484809E-13</v>
      </c>
      <c r="BZ184" s="13">
        <f>BY184*VLOOKUP('Données projet'!$B$12,Paramètres!$A$1:$I$89,3,0)*VLOOKUP('Données projet'!$B$12,Paramètres!$A$1:$I$89,5,0)</f>
        <v>1.5961632016114892E-13</v>
      </c>
      <c r="CA184" s="13">
        <f t="shared" si="170"/>
        <v>2.2708641912150958E-12</v>
      </c>
      <c r="CB184" s="20">
        <f t="shared" si="171"/>
        <v>4.2330868906469593E-12</v>
      </c>
      <c r="CC184" s="59">
        <f t="shared" si="119"/>
        <v>293.33333333333752</v>
      </c>
      <c r="CD184" s="59">
        <f ca="1">AVERAGE(OFFSET($CC$3,0,0,'Données projet'!$E$12+1,1))-AVERAGE(OFFSET($H$3,0,0,'Données projet'!$E$12+1,1))</f>
        <v>198.17898804494365</v>
      </c>
      <c r="CE184" s="59">
        <f t="shared" si="148"/>
        <v>186.24772922797723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38.897429714428803</v>
      </c>
      <c r="CL184" s="21">
        <f>EXP(-LN(2)/25)*CL183+(1-EXP(-LN(2)/25))/(LN(2)/25)*Calculateur!CG184*Calculateur!CI184*VLOOKUP('Données projet'!$B$12,Paramètres!$A$1:$I$89,3,0)*0.475*44/12</f>
        <v>5.3400196820125991</v>
      </c>
      <c r="CM184" s="21">
        <f>EXP(-LN(2)/2)*CM183+(1-EXP(-LN(2)/2))/(LN(2)/2)*CG184*CJ184*VLOOKUP('Données projet'!$B$12,Paramètres!$A$1:$I$89,3,0)*0.475*44/12</f>
        <v>8.0714530646774281E-11</v>
      </c>
      <c r="CN184" s="22">
        <f t="shared" si="172"/>
        <v>44.237449396522123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266.99999999999983</v>
      </c>
      <c r="CU184" s="17">
        <f>CT184*VLOOKUP('Données projet'!$B$13,Paramètres!$A$1:$I$89,3,0)*VLOOKUP('Données projet'!$B$13,Paramètres!$A$1:$I$89,5,0)</f>
        <v>195.76439999999985</v>
      </c>
      <c r="CV184" s="13">
        <f t="shared" si="173"/>
        <v>48.812154563023455</v>
      </c>
      <c r="CW184" s="20">
        <f t="shared" si="174"/>
        <v>425.9708325305989</v>
      </c>
      <c r="CX184" s="59">
        <f t="shared" si="122"/>
        <v>719.30416586393221</v>
      </c>
      <c r="CY184" s="59">
        <f ca="1">AVERAGE(OFFSET($CX$3,0,0,'Données projet'!$E$13+1,1))-AVERAGE(OFFSET($H$3,0,0,'Données projet'!$E$13+1,1))</f>
        <v>198.78436129430389</v>
      </c>
      <c r="CZ184" s="59">
        <f t="shared" si="150"/>
        <v>198.28846462484438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2.9126970564087808</v>
      </c>
      <c r="DG184" s="21">
        <f>EXP(-LN(2)/25)*DG183+(1-EXP(-LN(2)/25))/(LN(2)/25)*Calculateur!DB184*Calculateur!DD184*VLOOKUP('Données projet'!$B$13,Paramètres!$A$1:$I$89,3,0)*0.475*44/12</f>
        <v>0.37857138784877042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3.2912684442575513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274.57619581652199</v>
      </c>
      <c r="T185" s="59">
        <f t="shared" si="142"/>
        <v>366.15117322598775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163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278.21846622758881</v>
      </c>
      <c r="AO185" s="59">
        <f t="shared" si="144"/>
        <v>245.37578316242906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-2.8421709430404007E-13</v>
      </c>
      <c r="BE185" s="13">
        <f>BD185*VLOOKUP('Données projet'!$B$11,Paramètres!$A$1:$I$89,3,0)*VLOOKUP('Données projet'!$B$11,Paramètres!$A$1:$I$89,5,0)</f>
        <v>-1.69961822393816E-13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187.18641061466138</v>
      </c>
      <c r="BJ185" s="59">
        <f t="shared" si="146"/>
        <v>143.07246221325369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24.834388644444811</v>
      </c>
      <c r="BQ185" s="21">
        <f>EXP(-LN(2)/25)*BQ184+(1-EXP(-LN(2)/25))/(LN(2)/25)*Calculateur!BL185*Calculateur!BN185*VLOOKUP('Données projet'!$B$11,Paramètres!$A$1:$I$89,3,0)*0.475*44/12</f>
        <v>3.9919442782669412</v>
      </c>
      <c r="BR185" s="21">
        <f>EXP(-LN(2)/2)*BR184+(1-EXP(-LN(2)/2))/(LN(2)/2)*BL185*BO185*VLOOKUP('Données projet'!$B$11,Paramètres!$A$1:$I$89,3,0)*0.475*44/12</f>
        <v>2.3347560854083204E-11</v>
      </c>
      <c r="BS185" s="22">
        <f t="shared" si="169"/>
        <v>28.826332922735102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3.4106051316484809E-13</v>
      </c>
      <c r="BZ185" s="13">
        <f>BY185*VLOOKUP('Données projet'!$B$12,Paramètres!$A$1:$I$89,3,0)*VLOOKUP('Données projet'!$B$12,Paramètres!$A$1:$I$89,5,0)</f>
        <v>1.5961632016114892E-13</v>
      </c>
      <c r="CA185" s="13">
        <f t="shared" si="170"/>
        <v>2.2708641912150958E-12</v>
      </c>
      <c r="CB185" s="20">
        <f t="shared" si="171"/>
        <v>4.2330868906469593E-12</v>
      </c>
      <c r="CC185" s="59">
        <f t="shared" si="119"/>
        <v>293.33333333333752</v>
      </c>
      <c r="CD185" s="59">
        <f ca="1">AVERAGE(OFFSET($CC$3,0,0,'Données projet'!$E$12+1,1))-AVERAGE(OFFSET($H$3,0,0,'Données projet'!$E$12+1,1))</f>
        <v>198.17898804494365</v>
      </c>
      <c r="CE185" s="59">
        <f t="shared" si="148"/>
        <v>186.24772922797723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38.13467484281832</v>
      </c>
      <c r="CL185" s="21">
        <f>EXP(-LN(2)/25)*CL184+(1-EXP(-LN(2)/25))/(LN(2)/25)*Calculateur!CG185*Calculateur!CI185*VLOOKUP('Données projet'!$B$12,Paramètres!$A$1:$I$89,3,0)*0.475*44/12</f>
        <v>5.1939965629885343</v>
      </c>
      <c r="CM185" s="21">
        <f>EXP(-LN(2)/2)*CM184+(1-EXP(-LN(2)/2))/(LN(2)/2)*CG185*CJ185*VLOOKUP('Données projet'!$B$12,Paramètres!$A$1:$I$89,3,0)*0.475*44/12</f>
        <v>5.7073791960623509E-11</v>
      </c>
      <c r="CN185" s="22">
        <f t="shared" si="172"/>
        <v>43.328671405863929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266.99999999999983</v>
      </c>
      <c r="CU185" s="17">
        <f>CT185*VLOOKUP('Données projet'!$B$13,Paramètres!$A$1:$I$89,3,0)*VLOOKUP('Données projet'!$B$13,Paramètres!$A$1:$I$89,5,0)</f>
        <v>195.76439999999985</v>
      </c>
      <c r="CV185" s="13">
        <f t="shared" si="173"/>
        <v>48.812154563023455</v>
      </c>
      <c r="CW185" s="20">
        <f t="shared" si="174"/>
        <v>425.9708325305989</v>
      </c>
      <c r="CX185" s="59">
        <f t="shared" si="122"/>
        <v>719.30416586393221</v>
      </c>
      <c r="CY185" s="59">
        <f ca="1">AVERAGE(OFFSET($CX$3,0,0,'Données projet'!$E$13+1,1))-AVERAGE(OFFSET($H$3,0,0,'Données projet'!$E$13+1,1))</f>
        <v>198.78436129430389</v>
      </c>
      <c r="CZ185" s="59">
        <f t="shared" si="150"/>
        <v>198.28846462484438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2.8555808437023873</v>
      </c>
      <c r="DG185" s="21">
        <f>EXP(-LN(2)/25)*DG184+(1-EXP(-LN(2)/25))/(LN(2)/25)*Calculateur!DB185*Calculateur!DD185*VLOOKUP('Données projet'!$B$13,Paramètres!$A$1:$I$89,3,0)*0.475*44/12</f>
        <v>0.36821933333984175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3.2238001770422291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274.57619581652199</v>
      </c>
      <c r="T186" s="59">
        <f t="shared" si="142"/>
        <v>366.15117322598775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163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278.21846622758881</v>
      </c>
      <c r="AO186" s="59">
        <f t="shared" si="144"/>
        <v>245.37578316242906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-2.8421709430404007E-13</v>
      </c>
      <c r="BE186" s="13">
        <f>BD186*VLOOKUP('Données projet'!$B$11,Paramètres!$A$1:$I$89,3,0)*VLOOKUP('Données projet'!$B$11,Paramètres!$A$1:$I$89,5,0)</f>
        <v>-1.69961822393816E-13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187.18641061466138</v>
      </c>
      <c r="BJ186" s="59">
        <f t="shared" si="146"/>
        <v>143.07246221325369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24.347401430608631</v>
      </c>
      <c r="BQ186" s="21">
        <f>EXP(-LN(2)/25)*BQ185+(1-EXP(-LN(2)/25))/(LN(2)/25)*Calculateur!BL186*Calculateur!BN186*VLOOKUP('Données projet'!$B$11,Paramètres!$A$1:$I$89,3,0)*0.475*44/12</f>
        <v>3.8827843520505056</v>
      </c>
      <c r="BR186" s="21">
        <f>EXP(-LN(2)/2)*BR185+(1-EXP(-LN(2)/2))/(LN(2)/2)*BL186*BO186*VLOOKUP('Données projet'!$B$11,Paramètres!$A$1:$I$89,3,0)*0.475*44/12</f>
        <v>1.6509218604087815E-11</v>
      </c>
      <c r="BS186" s="22">
        <f t="shared" si="169"/>
        <v>28.230185782675647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3.4106051316484809E-13</v>
      </c>
      <c r="BZ186" s="13">
        <f>BY186*VLOOKUP('Données projet'!$B$12,Paramètres!$A$1:$I$89,3,0)*VLOOKUP('Données projet'!$B$12,Paramètres!$A$1:$I$89,5,0)</f>
        <v>1.5961632016114892E-13</v>
      </c>
      <c r="CA186" s="13">
        <f t="shared" si="170"/>
        <v>2.2708641912150958E-12</v>
      </c>
      <c r="CB186" s="20">
        <f t="shared" si="171"/>
        <v>4.2330868906469593E-12</v>
      </c>
      <c r="CC186" s="59">
        <f t="shared" si="119"/>
        <v>293.33333333333752</v>
      </c>
      <c r="CD186" s="59">
        <f ca="1">AVERAGE(OFFSET($CC$3,0,0,'Données projet'!$E$12+1,1))-AVERAGE(OFFSET($H$3,0,0,'Données projet'!$E$12+1,1))</f>
        <v>198.17898804494365</v>
      </c>
      <c r="CE186" s="59">
        <f t="shared" si="148"/>
        <v>186.24772922797723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37.38687712900559</v>
      </c>
      <c r="CL186" s="21">
        <f>EXP(-LN(2)/25)*CL185+(1-EXP(-LN(2)/25))/(LN(2)/25)*Calculateur!CG186*Calculateur!CI186*VLOOKUP('Données projet'!$B$12,Paramètres!$A$1:$I$89,3,0)*0.475*44/12</f>
        <v>5.051966453833205</v>
      </c>
      <c r="CM186" s="21">
        <f>EXP(-LN(2)/2)*CM185+(1-EXP(-LN(2)/2))/(LN(2)/2)*CG186*CJ186*VLOOKUP('Données projet'!$B$12,Paramètres!$A$1:$I$89,3,0)*0.475*44/12</f>
        <v>4.0357265323387147E-11</v>
      </c>
      <c r="CN186" s="22">
        <f t="shared" si="172"/>
        <v>42.438843582879151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266.99999999999983</v>
      </c>
      <c r="CU186" s="17">
        <f>CT186*VLOOKUP('Données projet'!$B$13,Paramètres!$A$1:$I$89,3,0)*VLOOKUP('Données projet'!$B$13,Paramètres!$A$1:$I$89,5,0)</f>
        <v>195.76439999999985</v>
      </c>
      <c r="CV186" s="13">
        <f t="shared" si="173"/>
        <v>48.812154563023455</v>
      </c>
      <c r="CW186" s="20">
        <f t="shared" si="174"/>
        <v>425.9708325305989</v>
      </c>
      <c r="CX186" s="59">
        <f t="shared" si="122"/>
        <v>719.30416586393221</v>
      </c>
      <c r="CY186" s="59">
        <f ca="1">AVERAGE(OFFSET($CX$3,0,0,'Données projet'!$E$13+1,1))-AVERAGE(OFFSET($H$3,0,0,'Données projet'!$E$13+1,1))</f>
        <v>198.78436129430389</v>
      </c>
      <c r="CZ186" s="59">
        <f t="shared" si="150"/>
        <v>198.28846462484438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2.7995846450897162</v>
      </c>
      <c r="DG186" s="21">
        <f>EXP(-LN(2)/25)*DG185+(1-EXP(-LN(2)/25))/(LN(2)/25)*Calculateur!DB186*Calculateur!DD186*VLOOKUP('Données projet'!$B$13,Paramètres!$A$1:$I$89,3,0)*0.475*44/12</f>
        <v>0.35815035630585063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3.157735001395567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274.57619581652199</v>
      </c>
      <c r="T187" s="59">
        <f t="shared" si="142"/>
        <v>366.15117322598775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163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278.21846622758881</v>
      </c>
      <c r="AO187" s="59">
        <f t="shared" si="144"/>
        <v>245.37578316242906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-2.8421709430404007E-13</v>
      </c>
      <c r="BE187" s="13">
        <f>BD187*VLOOKUP('Données projet'!$B$11,Paramètres!$A$1:$I$89,3,0)*VLOOKUP('Données projet'!$B$11,Paramètres!$A$1:$I$89,5,0)</f>
        <v>-1.69961822393816E-13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187.18641061466138</v>
      </c>
      <c r="BJ187" s="59">
        <f t="shared" si="146"/>
        <v>143.07246221325369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23.869963739002909</v>
      </c>
      <c r="BQ187" s="21">
        <f>EXP(-LN(2)/25)*BQ186+(1-EXP(-LN(2)/25))/(LN(2)/25)*Calculateur!BL187*Calculateur!BN187*VLOOKUP('Données projet'!$B$11,Paramètres!$A$1:$I$89,3,0)*0.475*44/12</f>
        <v>3.7766094097569298</v>
      </c>
      <c r="BR187" s="21">
        <f>EXP(-LN(2)/2)*BR186+(1-EXP(-LN(2)/2))/(LN(2)/2)*BL187*BO187*VLOOKUP('Données projet'!$B$11,Paramètres!$A$1:$I$89,3,0)*0.475*44/12</f>
        <v>1.1673780427041602E-11</v>
      </c>
      <c r="BS187" s="22">
        <f t="shared" si="169"/>
        <v>27.646573148771513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3.4106051316484809E-13</v>
      </c>
      <c r="BZ187" s="13">
        <f>BY187*VLOOKUP('Données projet'!$B$12,Paramètres!$A$1:$I$89,3,0)*VLOOKUP('Données projet'!$B$12,Paramètres!$A$1:$I$89,5,0)</f>
        <v>1.5961632016114892E-13</v>
      </c>
      <c r="CA187" s="13">
        <f t="shared" si="170"/>
        <v>2.2708641912150958E-12</v>
      </c>
      <c r="CB187" s="20">
        <f t="shared" si="171"/>
        <v>4.2330868906469593E-12</v>
      </c>
      <c r="CC187" s="59">
        <f t="shared" si="119"/>
        <v>293.33333333333752</v>
      </c>
      <c r="CD187" s="59">
        <f ca="1">AVERAGE(OFFSET($CC$3,0,0,'Données projet'!$E$12+1,1))-AVERAGE(OFFSET($H$3,0,0,'Données projet'!$E$12+1,1))</f>
        <v>198.17898804494365</v>
      </c>
      <c r="CE187" s="59">
        <f t="shared" si="148"/>
        <v>186.24772922797723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36.653743272249159</v>
      </c>
      <c r="CL187" s="21">
        <f>EXP(-LN(2)/25)*CL186+(1-EXP(-LN(2)/25))/(LN(2)/25)*Calculateur!CG187*Calculateur!CI187*VLOOKUP('Données projet'!$B$12,Paramètres!$A$1:$I$89,3,0)*0.475*44/12</f>
        <v>4.9138201654817664</v>
      </c>
      <c r="CM187" s="21">
        <f>EXP(-LN(2)/2)*CM186+(1-EXP(-LN(2)/2))/(LN(2)/2)*CG187*CJ187*VLOOKUP('Données projet'!$B$12,Paramètres!$A$1:$I$89,3,0)*0.475*44/12</f>
        <v>2.8536895980311761E-11</v>
      </c>
      <c r="CN187" s="22">
        <f t="shared" si="172"/>
        <v>41.56756343775946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266.99999999999983</v>
      </c>
      <c r="CU187" s="17">
        <f>CT187*VLOOKUP('Données projet'!$B$13,Paramètres!$A$1:$I$89,3,0)*VLOOKUP('Données projet'!$B$13,Paramètres!$A$1:$I$89,5,0)</f>
        <v>195.76439999999985</v>
      </c>
      <c r="CV187" s="13">
        <f t="shared" si="173"/>
        <v>48.812154563023455</v>
      </c>
      <c r="CW187" s="20">
        <f t="shared" si="174"/>
        <v>425.9708325305989</v>
      </c>
      <c r="CX187" s="59">
        <f t="shared" si="122"/>
        <v>719.30416586393221</v>
      </c>
      <c r="CY187" s="59">
        <f ca="1">AVERAGE(OFFSET($CX$3,0,0,'Données projet'!$E$13+1,1))-AVERAGE(OFFSET($H$3,0,0,'Données projet'!$E$13+1,1))</f>
        <v>198.78436129430389</v>
      </c>
      <c r="CZ187" s="59">
        <f t="shared" si="150"/>
        <v>198.28846462484438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2.7446864977775309</v>
      </c>
      <c r="DG187" s="21">
        <f>EXP(-LN(2)/25)*DG186+(1-EXP(-LN(2)/25))/(LN(2)/25)*Calculateur!DB187*Calculateur!DD187*VLOOKUP('Données projet'!$B$13,Paramètres!$A$1:$I$89,3,0)*0.475*44/12</f>
        <v>0.34835671597835849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3.0930432137558892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274.57619581652199</v>
      </c>
      <c r="T188" s="59">
        <f t="shared" si="142"/>
        <v>366.15117322598775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163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278.21846622758881</v>
      </c>
      <c r="AO188" s="59">
        <f t="shared" si="144"/>
        <v>245.37578316242906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-2.8421709430404007E-13</v>
      </c>
      <c r="BE188" s="13">
        <f>BD188*VLOOKUP('Données projet'!$B$11,Paramètres!$A$1:$I$89,3,0)*VLOOKUP('Données projet'!$B$11,Paramètres!$A$1:$I$89,5,0)</f>
        <v>-1.69961822393816E-13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187.18641061466138</v>
      </c>
      <c r="BJ188" s="59">
        <f t="shared" si="146"/>
        <v>143.07246221325369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23.401888309321336</v>
      </c>
      <c r="BQ188" s="21">
        <f>EXP(-LN(2)/25)*BQ187+(1-EXP(-LN(2)/25))/(LN(2)/25)*Calculateur!BL188*Calculateur!BN188*VLOOKUP('Données projet'!$B$11,Paramètres!$A$1:$I$89,3,0)*0.475*44/12</f>
        <v>3.6733378268438694</v>
      </c>
      <c r="BR188" s="21">
        <f>EXP(-LN(2)/2)*BR187+(1-EXP(-LN(2)/2))/(LN(2)/2)*BL188*BO188*VLOOKUP('Données projet'!$B$11,Paramètres!$A$1:$I$89,3,0)*0.475*44/12</f>
        <v>8.2546093020439073E-12</v>
      </c>
      <c r="BS188" s="22">
        <f t="shared" si="169"/>
        <v>27.075226136173459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3.4106051316484809E-13</v>
      </c>
      <c r="BZ188" s="13">
        <f>BY188*VLOOKUP('Données projet'!$B$12,Paramètres!$A$1:$I$89,3,0)*VLOOKUP('Données projet'!$B$12,Paramètres!$A$1:$I$89,5,0)</f>
        <v>1.5961632016114892E-13</v>
      </c>
      <c r="CA188" s="13">
        <f t="shared" si="170"/>
        <v>2.2708641912150958E-12</v>
      </c>
      <c r="CB188" s="20">
        <f t="shared" si="171"/>
        <v>4.2330868906469593E-12</v>
      </c>
      <c r="CC188" s="59">
        <f t="shared" si="119"/>
        <v>293.33333333333752</v>
      </c>
      <c r="CD188" s="59">
        <f ca="1">AVERAGE(OFFSET($CC$3,0,0,'Données projet'!$E$12+1,1))-AVERAGE(OFFSET($H$3,0,0,'Données projet'!$E$12+1,1))</f>
        <v>198.17898804494365</v>
      </c>
      <c r="CE188" s="59">
        <f t="shared" si="148"/>
        <v>186.24772922797723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35.934985723256219</v>
      </c>
      <c r="CL188" s="21">
        <f>EXP(-LN(2)/25)*CL187+(1-EXP(-LN(2)/25))/(LN(2)/25)*Calculateur!CG188*Calculateur!CI188*VLOOKUP('Données projet'!$B$12,Paramètres!$A$1:$I$89,3,0)*0.475*44/12</f>
        <v>4.7794514946500959</v>
      </c>
      <c r="CM188" s="21">
        <f>EXP(-LN(2)/2)*CM187+(1-EXP(-LN(2)/2))/(LN(2)/2)*CG188*CJ188*VLOOKUP('Données projet'!$B$12,Paramètres!$A$1:$I$89,3,0)*0.475*44/12</f>
        <v>2.0178632661693577E-11</v>
      </c>
      <c r="CN188" s="22">
        <f t="shared" si="172"/>
        <v>40.714437217926495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266.99999999999983</v>
      </c>
      <c r="CU188" s="17">
        <f>CT188*VLOOKUP('Données projet'!$B$13,Paramètres!$A$1:$I$89,3,0)*VLOOKUP('Données projet'!$B$13,Paramètres!$A$1:$I$89,5,0)</f>
        <v>195.76439999999985</v>
      </c>
      <c r="CV188" s="13">
        <f t="shared" si="173"/>
        <v>48.812154563023455</v>
      </c>
      <c r="CW188" s="20">
        <f t="shared" si="174"/>
        <v>425.9708325305989</v>
      </c>
      <c r="CX188" s="59">
        <f t="shared" si="122"/>
        <v>719.30416586393221</v>
      </c>
      <c r="CY188" s="59">
        <f ca="1">AVERAGE(OFFSET($CX$3,0,0,'Données projet'!$E$13+1,1))-AVERAGE(OFFSET($H$3,0,0,'Données projet'!$E$13+1,1))</f>
        <v>198.78436129430389</v>
      </c>
      <c r="CZ188" s="59">
        <f t="shared" si="150"/>
        <v>198.28846462484438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2.6908648696495741</v>
      </c>
      <c r="DG188" s="21">
        <f>EXP(-LN(2)/25)*DG187+(1-EXP(-LN(2)/25))/(LN(2)/25)*Calculateur!DB188*Calculateur!DD188*VLOOKUP('Données projet'!$B$13,Paramètres!$A$1:$I$89,3,0)*0.475*44/12</f>
        <v>0.33883088326064675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3.0296957529102206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274.57619581652199</v>
      </c>
      <c r="T189" s="59">
        <f t="shared" si="142"/>
        <v>366.15117322598775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163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278.21846622758881</v>
      </c>
      <c r="AO189" s="59">
        <f t="shared" si="144"/>
        <v>245.37578316242906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-2.8421709430404007E-13</v>
      </c>
      <c r="BE189" s="13">
        <f>BD189*VLOOKUP('Données projet'!$B$11,Paramètres!$A$1:$I$89,3,0)*VLOOKUP('Données projet'!$B$11,Paramètres!$A$1:$I$89,5,0)</f>
        <v>-1.69961822393816E-13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187.18641061466138</v>
      </c>
      <c r="BJ189" s="59">
        <f t="shared" si="146"/>
        <v>143.07246221325369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22.942991553317999</v>
      </c>
      <c r="BQ189" s="21">
        <f>EXP(-LN(2)/25)*BQ188+(1-EXP(-LN(2)/25))/(LN(2)/25)*Calculateur!BL189*Calculateur!BN189*VLOOKUP('Données projet'!$B$11,Paramètres!$A$1:$I$89,3,0)*0.475*44/12</f>
        <v>3.5728902107963831</v>
      </c>
      <c r="BR189" s="21">
        <f>EXP(-LN(2)/2)*BR188+(1-EXP(-LN(2)/2))/(LN(2)/2)*BL189*BO189*VLOOKUP('Données projet'!$B$11,Paramètres!$A$1:$I$89,3,0)*0.475*44/12</f>
        <v>5.836890213520801E-12</v>
      </c>
      <c r="BS189" s="22">
        <f t="shared" si="169"/>
        <v>26.51588176412022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3.4106051316484809E-13</v>
      </c>
      <c r="BZ189" s="13">
        <f>BY189*VLOOKUP('Données projet'!$B$12,Paramètres!$A$1:$I$89,3,0)*VLOOKUP('Données projet'!$B$12,Paramètres!$A$1:$I$89,5,0)</f>
        <v>1.5961632016114892E-13</v>
      </c>
      <c r="CA189" s="13">
        <f t="shared" si="170"/>
        <v>2.2708641912150958E-12</v>
      </c>
      <c r="CB189" s="20">
        <f t="shared" si="171"/>
        <v>4.2330868906469593E-12</v>
      </c>
      <c r="CC189" s="59">
        <f t="shared" si="119"/>
        <v>293.33333333333752</v>
      </c>
      <c r="CD189" s="59">
        <f ca="1">AVERAGE(OFFSET($CC$3,0,0,'Données projet'!$E$12+1,1))-AVERAGE(OFFSET($H$3,0,0,'Données projet'!$E$12+1,1))</f>
        <v>198.17898804494365</v>
      </c>
      <c r="CE189" s="59">
        <f t="shared" si="148"/>
        <v>186.24772922797723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35.230322571400215</v>
      </c>
      <c r="CL189" s="21">
        <f>EXP(-LN(2)/25)*CL188+(1-EXP(-LN(2)/25))/(LN(2)/25)*Calculateur!CG189*Calculateur!CI189*VLOOKUP('Données projet'!$B$12,Paramètres!$A$1:$I$89,3,0)*0.475*44/12</f>
        <v>4.6487571421884581</v>
      </c>
      <c r="CM189" s="21">
        <f>EXP(-LN(2)/2)*CM188+(1-EXP(-LN(2)/2))/(LN(2)/2)*CG189*CJ189*VLOOKUP('Données projet'!$B$12,Paramètres!$A$1:$I$89,3,0)*0.475*44/12</f>
        <v>1.4268447990155882E-11</v>
      </c>
      <c r="CN189" s="22">
        <f t="shared" si="172"/>
        <v>39.879079713602941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266.99999999999983</v>
      </c>
      <c r="CU189" s="17">
        <f>CT189*VLOOKUP('Données projet'!$B$13,Paramètres!$A$1:$I$89,3,0)*VLOOKUP('Données projet'!$B$13,Paramètres!$A$1:$I$89,5,0)</f>
        <v>195.76439999999985</v>
      </c>
      <c r="CV189" s="13">
        <f t="shared" si="173"/>
        <v>48.812154563023455</v>
      </c>
      <c r="CW189" s="20">
        <f t="shared" si="174"/>
        <v>425.9708325305989</v>
      </c>
      <c r="CX189" s="59">
        <f t="shared" si="122"/>
        <v>719.30416586393221</v>
      </c>
      <c r="CY189" s="59">
        <f ca="1">AVERAGE(OFFSET($CX$3,0,0,'Données projet'!$E$13+1,1))-AVERAGE(OFFSET($H$3,0,0,'Données projet'!$E$13+1,1))</f>
        <v>198.78436129430389</v>
      </c>
      <c r="CZ189" s="59">
        <f t="shared" si="150"/>
        <v>198.28846462484438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2.6380986508212549</v>
      </c>
      <c r="DG189" s="21">
        <f>EXP(-LN(2)/25)*DG188+(1-EXP(-LN(2)/25))/(LN(2)/25)*Calculateur!DB189*Calculateur!DD189*VLOOKUP('Données projet'!$B$13,Paramètres!$A$1:$I$89,3,0)*0.475*44/12</f>
        <v>0.3295655349395426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2.9676641857607975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274.57619581652199</v>
      </c>
      <c r="T190" s="59">
        <f t="shared" si="142"/>
        <v>366.15117322598775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163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278.21846622758881</v>
      </c>
      <c r="AO190" s="59">
        <f t="shared" si="144"/>
        <v>245.37578316242906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-2.8421709430404007E-13</v>
      </c>
      <c r="BE190" s="13">
        <f>BD190*VLOOKUP('Données projet'!$B$11,Paramètres!$A$1:$I$89,3,0)*VLOOKUP('Données projet'!$B$11,Paramètres!$A$1:$I$89,5,0)</f>
        <v>-1.69961822393816E-13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187.18641061466138</v>
      </c>
      <c r="BJ190" s="59">
        <f t="shared" si="146"/>
        <v>143.07246221325369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22.493093482800504</v>
      </c>
      <c r="BQ190" s="21">
        <f>EXP(-LN(2)/25)*BQ189+(1-EXP(-LN(2)/25))/(LN(2)/25)*Calculateur!BL190*Calculateur!BN190*VLOOKUP('Données projet'!$B$11,Paramètres!$A$1:$I$89,3,0)*0.475*44/12</f>
        <v>3.475189340092026</v>
      </c>
      <c r="BR190" s="21">
        <f>EXP(-LN(2)/2)*BR189+(1-EXP(-LN(2)/2))/(LN(2)/2)*BL190*BO190*VLOOKUP('Données projet'!$B$11,Paramètres!$A$1:$I$89,3,0)*0.475*44/12</f>
        <v>4.1273046510219536E-12</v>
      </c>
      <c r="BS190" s="22">
        <f t="shared" si="169"/>
        <v>25.968282822896658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3.4106051316484809E-13</v>
      </c>
      <c r="BZ190" s="13">
        <f>BY190*VLOOKUP('Données projet'!$B$12,Paramètres!$A$1:$I$89,3,0)*VLOOKUP('Données projet'!$B$12,Paramètres!$A$1:$I$89,5,0)</f>
        <v>1.5961632016114892E-13</v>
      </c>
      <c r="CA190" s="13">
        <f t="shared" si="170"/>
        <v>2.2708641912150958E-12</v>
      </c>
      <c r="CB190" s="20">
        <f t="shared" si="171"/>
        <v>4.2330868906469593E-12</v>
      </c>
      <c r="CC190" s="59">
        <f t="shared" si="119"/>
        <v>293.33333333333752</v>
      </c>
      <c r="CD190" s="59">
        <f ca="1">AVERAGE(OFFSET($CC$3,0,0,'Données projet'!$E$12+1,1))-AVERAGE(OFFSET($H$3,0,0,'Données projet'!$E$12+1,1))</f>
        <v>198.17898804494365</v>
      </c>
      <c r="CE190" s="59">
        <f t="shared" si="148"/>
        <v>186.24772922797723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34.539477434150022</v>
      </c>
      <c r="CL190" s="21">
        <f>EXP(-LN(2)/25)*CL189+(1-EXP(-LN(2)/25))/(LN(2)/25)*Calculateur!CG190*Calculateur!CI190*VLOOKUP('Données projet'!$B$12,Paramètres!$A$1:$I$89,3,0)*0.475*44/12</f>
        <v>4.5216366336678018</v>
      </c>
      <c r="CM190" s="21">
        <f>EXP(-LN(2)/2)*CM189+(1-EXP(-LN(2)/2))/(LN(2)/2)*CG190*CJ190*VLOOKUP('Données projet'!$B$12,Paramètres!$A$1:$I$89,3,0)*0.475*44/12</f>
        <v>1.008931633084679E-11</v>
      </c>
      <c r="CN190" s="22">
        <f t="shared" si="172"/>
        <v>39.061114067827916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266.99999999999983</v>
      </c>
      <c r="CU190" s="17">
        <f>CT190*VLOOKUP('Données projet'!$B$13,Paramètres!$A$1:$I$89,3,0)*VLOOKUP('Données projet'!$B$13,Paramètres!$A$1:$I$89,5,0)</f>
        <v>195.76439999999985</v>
      </c>
      <c r="CV190" s="13">
        <f t="shared" si="173"/>
        <v>48.812154563023455</v>
      </c>
      <c r="CW190" s="20">
        <f t="shared" si="174"/>
        <v>425.9708325305989</v>
      </c>
      <c r="CX190" s="59">
        <f t="shared" si="122"/>
        <v>719.30416586393221</v>
      </c>
      <c r="CY190" s="59">
        <f ca="1">AVERAGE(OFFSET($CX$3,0,0,'Données projet'!$E$13+1,1))-AVERAGE(OFFSET($H$3,0,0,'Données projet'!$E$13+1,1))</f>
        <v>198.78436129430389</v>
      </c>
      <c r="CZ190" s="59">
        <f t="shared" si="150"/>
        <v>198.28846462484438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2.5863671453599437</v>
      </c>
      <c r="DG190" s="21">
        <f>EXP(-LN(2)/25)*DG189+(1-EXP(-LN(2)/25))/(LN(2)/25)*Calculateur!DB190*Calculateur!DD190*VLOOKUP('Données projet'!$B$13,Paramètres!$A$1:$I$89,3,0)*0.475*44/12</f>
        <v>0.32055354805552255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2.9069206934154663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274.57619581652199</v>
      </c>
      <c r="T191" s="59">
        <f t="shared" si="142"/>
        <v>366.15117322598775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163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278.21846622758881</v>
      </c>
      <c r="AO191" s="59">
        <f t="shared" si="144"/>
        <v>245.37578316242906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-2.8421709430404007E-13</v>
      </c>
      <c r="BE191" s="13">
        <f>BD191*VLOOKUP('Données projet'!$B$11,Paramètres!$A$1:$I$89,3,0)*VLOOKUP('Données projet'!$B$11,Paramètres!$A$1:$I$89,5,0)</f>
        <v>-1.69961822393816E-13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187.18641061466138</v>
      </c>
      <c r="BJ191" s="59">
        <f t="shared" si="146"/>
        <v>143.07246221325369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22.052017639035128</v>
      </c>
      <c r="BQ191" s="21">
        <f>EXP(-LN(2)/25)*BQ190+(1-EXP(-LN(2)/25))/(LN(2)/25)*Calculateur!BL191*Calculateur!BN191*VLOOKUP('Données projet'!$B$11,Paramètres!$A$1:$I$89,3,0)*0.475*44/12</f>
        <v>3.3801601048349448</v>
      </c>
      <c r="BR191" s="21">
        <f>EXP(-LN(2)/2)*BR190+(1-EXP(-LN(2)/2))/(LN(2)/2)*BL191*BO191*VLOOKUP('Données projet'!$B$11,Paramètres!$A$1:$I$89,3,0)*0.475*44/12</f>
        <v>2.9184451067604005E-12</v>
      </c>
      <c r="BS191" s="22">
        <f t="shared" si="169"/>
        <v>25.432177743872991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3.4106051316484809E-13</v>
      </c>
      <c r="BZ191" s="13">
        <f>BY191*VLOOKUP('Données projet'!$B$12,Paramètres!$A$1:$I$89,3,0)*VLOOKUP('Données projet'!$B$12,Paramètres!$A$1:$I$89,5,0)</f>
        <v>1.5961632016114892E-13</v>
      </c>
      <c r="CA191" s="13">
        <f t="shared" si="170"/>
        <v>2.2708641912150958E-12</v>
      </c>
      <c r="CB191" s="20">
        <f t="shared" si="171"/>
        <v>4.2330868906469593E-12</v>
      </c>
      <c r="CC191" s="59">
        <f t="shared" si="119"/>
        <v>293.33333333333752</v>
      </c>
      <c r="CD191" s="59">
        <f ca="1">AVERAGE(OFFSET($CC$3,0,0,'Données projet'!$E$12+1,1))-AVERAGE(OFFSET($H$3,0,0,'Données projet'!$E$12+1,1))</f>
        <v>198.17898804494365</v>
      </c>
      <c r="CE191" s="59">
        <f t="shared" si="148"/>
        <v>186.24772922797723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33.862179348667382</v>
      </c>
      <c r="CL191" s="21">
        <f>EXP(-LN(2)/25)*CL190+(1-EXP(-LN(2)/25))/(LN(2)/25)*Calculateur!CG191*Calculateur!CI191*VLOOKUP('Données projet'!$B$12,Paramètres!$A$1:$I$89,3,0)*0.475*44/12</f>
        <v>4.3979922421376196</v>
      </c>
      <c r="CM191" s="21">
        <f>EXP(-LN(2)/2)*CM190+(1-EXP(-LN(2)/2))/(LN(2)/2)*CG191*CJ191*VLOOKUP('Données projet'!$B$12,Paramètres!$A$1:$I$89,3,0)*0.475*44/12</f>
        <v>7.1342239950779419E-12</v>
      </c>
      <c r="CN191" s="22">
        <f t="shared" si="172"/>
        <v>38.260171590812135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266.99999999999983</v>
      </c>
      <c r="CU191" s="17">
        <f>CT191*VLOOKUP('Données projet'!$B$13,Paramètres!$A$1:$I$89,3,0)*VLOOKUP('Données projet'!$B$13,Paramètres!$A$1:$I$89,5,0)</f>
        <v>195.76439999999985</v>
      </c>
      <c r="CV191" s="13">
        <f t="shared" si="173"/>
        <v>48.812154563023455</v>
      </c>
      <c r="CW191" s="20">
        <f t="shared" si="174"/>
        <v>425.9708325305989</v>
      </c>
      <c r="CX191" s="59">
        <f t="shared" si="122"/>
        <v>719.30416586393221</v>
      </c>
      <c r="CY191" s="59">
        <f ca="1">AVERAGE(OFFSET($CX$3,0,0,'Données projet'!$E$13+1,1))-AVERAGE(OFFSET($H$3,0,0,'Données projet'!$E$13+1,1))</f>
        <v>198.78436129430389</v>
      </c>
      <c r="CZ191" s="59">
        <f t="shared" si="150"/>
        <v>198.28846462484438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2.5356500631676258</v>
      </c>
      <c r="DG191" s="21">
        <f>EXP(-LN(2)/25)*DG190+(1-EXP(-LN(2)/25))/(LN(2)/25)*Calculateur!DB191*Calculateur!DD191*VLOOKUP('Données projet'!$B$13,Paramètres!$A$1:$I$89,3,0)*0.475*44/12</f>
        <v>0.31178799442676586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2.8474380575943918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274.57619581652199</v>
      </c>
      <c r="T192" s="59">
        <f t="shared" si="142"/>
        <v>366.15117322598775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163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278.21846622758881</v>
      </c>
      <c r="AO192" s="59">
        <f t="shared" si="144"/>
        <v>245.37578316242906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-2.8421709430404007E-13</v>
      </c>
      <c r="BE192" s="13">
        <f>BD192*VLOOKUP('Données projet'!$B$11,Paramètres!$A$1:$I$89,3,0)*VLOOKUP('Données projet'!$B$11,Paramètres!$A$1:$I$89,5,0)</f>
        <v>-1.69961822393816E-13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187.18641061466138</v>
      </c>
      <c r="BJ192" s="59">
        <f t="shared" si="146"/>
        <v>143.07246221325369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21.619591023536291</v>
      </c>
      <c r="BQ192" s="21">
        <f>EXP(-LN(2)/25)*BQ191+(1-EXP(-LN(2)/25))/(LN(2)/25)*Calculateur!BL192*Calculateur!BN192*VLOOKUP('Données projet'!$B$11,Paramètres!$A$1:$I$89,3,0)*0.475*44/12</f>
        <v>3.2877294490133386</v>
      </c>
      <c r="BR192" s="21">
        <f>EXP(-LN(2)/2)*BR191+(1-EXP(-LN(2)/2))/(LN(2)/2)*BL192*BO192*VLOOKUP('Données projet'!$B$11,Paramètres!$A$1:$I$89,3,0)*0.475*44/12</f>
        <v>2.0636523255109768E-12</v>
      </c>
      <c r="BS192" s="22">
        <f t="shared" si="169"/>
        <v>24.907320472551692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3.4106051316484809E-13</v>
      </c>
      <c r="BZ192" s="13">
        <f>BY192*VLOOKUP('Données projet'!$B$12,Paramètres!$A$1:$I$89,3,0)*VLOOKUP('Données projet'!$B$12,Paramètres!$A$1:$I$89,5,0)</f>
        <v>1.5961632016114892E-13</v>
      </c>
      <c r="CA192" s="13">
        <f t="shared" si="170"/>
        <v>2.2708641912150958E-12</v>
      </c>
      <c r="CB192" s="20">
        <f t="shared" si="171"/>
        <v>4.2330868906469593E-12</v>
      </c>
      <c r="CC192" s="59">
        <f t="shared" si="119"/>
        <v>293.33333333333752</v>
      </c>
      <c r="CD192" s="59">
        <f ca="1">AVERAGE(OFFSET($CC$3,0,0,'Données projet'!$E$12+1,1))-AVERAGE(OFFSET($H$3,0,0,'Données projet'!$E$12+1,1))</f>
        <v>198.17898804494365</v>
      </c>
      <c r="CE192" s="59">
        <f t="shared" si="148"/>
        <v>186.24772922797723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33.198162665530013</v>
      </c>
      <c r="CL192" s="21">
        <f>EXP(-LN(2)/25)*CL191+(1-EXP(-LN(2)/25))/(LN(2)/25)*Calculateur!CG192*Calculateur!CI192*VLOOKUP('Données projet'!$B$12,Paramètres!$A$1:$I$89,3,0)*0.475*44/12</f>
        <v>4.2777289129960065</v>
      </c>
      <c r="CM192" s="21">
        <f>EXP(-LN(2)/2)*CM191+(1-EXP(-LN(2)/2))/(LN(2)/2)*CG192*CJ192*VLOOKUP('Données projet'!$B$12,Paramètres!$A$1:$I$89,3,0)*0.475*44/12</f>
        <v>5.0446581654233958E-12</v>
      </c>
      <c r="CN192" s="22">
        <f t="shared" si="172"/>
        <v>37.475891578531062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266.99999999999983</v>
      </c>
      <c r="CU192" s="17">
        <f>CT192*VLOOKUP('Données projet'!$B$13,Paramètres!$A$1:$I$89,3,0)*VLOOKUP('Données projet'!$B$13,Paramètres!$A$1:$I$89,5,0)</f>
        <v>195.76439999999985</v>
      </c>
      <c r="CV192" s="13">
        <f t="shared" si="173"/>
        <v>48.812154563023455</v>
      </c>
      <c r="CW192" s="20">
        <f t="shared" si="174"/>
        <v>425.9708325305989</v>
      </c>
      <c r="CX192" s="59">
        <f t="shared" si="122"/>
        <v>719.30416586393221</v>
      </c>
      <c r="CY192" s="59">
        <f ca="1">AVERAGE(OFFSET($CX$3,0,0,'Données projet'!$E$13+1,1))-AVERAGE(OFFSET($H$3,0,0,'Données projet'!$E$13+1,1))</f>
        <v>198.78436129430389</v>
      </c>
      <c r="CZ192" s="59">
        <f t="shared" si="150"/>
        <v>198.28846462484438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2.4859275120227338</v>
      </c>
      <c r="DG192" s="21">
        <f>EXP(-LN(2)/25)*DG191+(1-EXP(-LN(2)/25))/(LN(2)/25)*Calculateur!DB192*Calculateur!DD192*VLOOKUP('Données projet'!$B$13,Paramètres!$A$1:$I$89,3,0)*0.475*44/12</f>
        <v>0.30326213532294793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2.7891896473456819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274.57619581652199</v>
      </c>
      <c r="T193" s="59">
        <f t="shared" si="142"/>
        <v>366.15117322598775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163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278.21846622758881</v>
      </c>
      <c r="AO193" s="59">
        <f t="shared" si="144"/>
        <v>245.37578316242906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-2.8421709430404007E-13</v>
      </c>
      <c r="BE193" s="13">
        <f>BD193*VLOOKUP('Données projet'!$B$11,Paramètres!$A$1:$I$89,3,0)*VLOOKUP('Données projet'!$B$11,Paramètres!$A$1:$I$89,5,0)</f>
        <v>-1.69961822393816E-13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187.18641061466138</v>
      </c>
      <c r="BJ193" s="59">
        <f t="shared" si="146"/>
        <v>143.07246221325369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21.195644030213195</v>
      </c>
      <c r="BQ193" s="21">
        <f>EXP(-LN(2)/25)*BQ192+(1-EXP(-LN(2)/25))/(LN(2)/25)*Calculateur!BL193*Calculateur!BN193*VLOOKUP('Données projet'!$B$11,Paramètres!$A$1:$I$89,3,0)*0.475*44/12</f>
        <v>3.1978263143358912</v>
      </c>
      <c r="BR193" s="21">
        <f>EXP(-LN(2)/2)*BR192+(1-EXP(-LN(2)/2))/(LN(2)/2)*BL193*BO193*VLOOKUP('Données projet'!$B$11,Paramètres!$A$1:$I$89,3,0)*0.475*44/12</f>
        <v>1.4592225533802002E-12</v>
      </c>
      <c r="BS193" s="22">
        <f t="shared" si="169"/>
        <v>24.393470344550547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3.4106051316484809E-13</v>
      </c>
      <c r="BZ193" s="13">
        <f>BY193*VLOOKUP('Données projet'!$B$12,Paramètres!$A$1:$I$89,3,0)*VLOOKUP('Données projet'!$B$12,Paramètres!$A$1:$I$89,5,0)</f>
        <v>1.5961632016114892E-13</v>
      </c>
      <c r="CA193" s="13">
        <f t="shared" si="170"/>
        <v>2.2708641912150958E-12</v>
      </c>
      <c r="CB193" s="20">
        <f t="shared" si="171"/>
        <v>4.2330868906469593E-12</v>
      </c>
      <c r="CC193" s="59">
        <f t="shared" si="119"/>
        <v>293.33333333333752</v>
      </c>
      <c r="CD193" s="59">
        <f ca="1">AVERAGE(OFFSET($CC$3,0,0,'Données projet'!$E$12+1,1))-AVERAGE(OFFSET($H$3,0,0,'Données projet'!$E$12+1,1))</f>
        <v>198.17898804494365</v>
      </c>
      <c r="CE193" s="59">
        <f t="shared" si="148"/>
        <v>186.24772922797723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32.547166944538787</v>
      </c>
      <c r="CL193" s="21">
        <f>EXP(-LN(2)/25)*CL192+(1-EXP(-LN(2)/25))/(LN(2)/25)*Calculateur!CG193*Calculateur!CI193*VLOOKUP('Données projet'!$B$12,Paramètres!$A$1:$I$89,3,0)*0.475*44/12</f>
        <v>4.1607541909141439</v>
      </c>
      <c r="CM193" s="21">
        <f>EXP(-LN(2)/2)*CM192+(1-EXP(-LN(2)/2))/(LN(2)/2)*CG193*CJ193*VLOOKUP('Données projet'!$B$12,Paramètres!$A$1:$I$89,3,0)*0.475*44/12</f>
        <v>3.5671119975389718E-12</v>
      </c>
      <c r="CN193" s="22">
        <f t="shared" si="172"/>
        <v>36.707921135456502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266.99999999999983</v>
      </c>
      <c r="CU193" s="17">
        <f>CT193*VLOOKUP('Données projet'!$B$13,Paramètres!$A$1:$I$89,3,0)*VLOOKUP('Données projet'!$B$13,Paramètres!$A$1:$I$89,5,0)</f>
        <v>195.76439999999985</v>
      </c>
      <c r="CV193" s="13">
        <f t="shared" si="173"/>
        <v>48.812154563023455</v>
      </c>
      <c r="CW193" s="20">
        <f t="shared" si="174"/>
        <v>425.9708325305989</v>
      </c>
      <c r="CX193" s="59">
        <f t="shared" si="122"/>
        <v>719.30416586393221</v>
      </c>
      <c r="CY193" s="59">
        <f ca="1">AVERAGE(OFFSET($CX$3,0,0,'Données projet'!$E$13+1,1))-AVERAGE(OFFSET($H$3,0,0,'Données projet'!$E$13+1,1))</f>
        <v>198.78436129430389</v>
      </c>
      <c r="CZ193" s="59">
        <f t="shared" si="150"/>
        <v>198.28846462484438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2.4371799897780315</v>
      </c>
      <c r="DG193" s="21">
        <f>EXP(-LN(2)/25)*DG192+(1-EXP(-LN(2)/25))/(LN(2)/25)*Calculateur!DB193*Calculateur!DD193*VLOOKUP('Données projet'!$B$13,Paramètres!$A$1:$I$89,3,0)*0.475*44/12</f>
        <v>0.29496941628467932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2.7321494060627107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274.57619581652199</v>
      </c>
      <c r="T194" s="59">
        <f t="shared" si="142"/>
        <v>366.15117322598775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163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278.21846622758881</v>
      </c>
      <c r="AO194" s="59">
        <f t="shared" si="144"/>
        <v>245.37578316242906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-2.8421709430404007E-13</v>
      </c>
      <c r="BE194" s="13">
        <f>BD194*VLOOKUP('Données projet'!$B$11,Paramètres!$A$1:$I$89,3,0)*VLOOKUP('Données projet'!$B$11,Paramètres!$A$1:$I$89,5,0)</f>
        <v>-1.69961822393816E-13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187.18641061466138</v>
      </c>
      <c r="BJ194" s="59">
        <f t="shared" si="146"/>
        <v>143.07246221325369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20.780010378847031</v>
      </c>
      <c r="BQ194" s="21">
        <f>EXP(-LN(2)/25)*BQ193+(1-EXP(-LN(2)/25))/(LN(2)/25)*Calculateur!BL194*Calculateur!BN194*VLOOKUP('Données projet'!$B$11,Paramètres!$A$1:$I$89,3,0)*0.475*44/12</f>
        <v>3.1103815856039989</v>
      </c>
      <c r="BR194" s="21">
        <f>EXP(-LN(2)/2)*BR193+(1-EXP(-LN(2)/2))/(LN(2)/2)*BL194*BO194*VLOOKUP('Données projet'!$B$11,Paramètres!$A$1:$I$89,3,0)*0.475*44/12</f>
        <v>1.0318261627554884E-12</v>
      </c>
      <c r="BS194" s="22">
        <f t="shared" si="169"/>
        <v>23.890391964452061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3.4106051316484809E-13</v>
      </c>
      <c r="BZ194" s="13">
        <f>BY194*VLOOKUP('Données projet'!$B$12,Paramètres!$A$1:$I$89,3,0)*VLOOKUP('Données projet'!$B$12,Paramètres!$A$1:$I$89,5,0)</f>
        <v>1.5961632016114892E-13</v>
      </c>
      <c r="CA194" s="13">
        <f t="shared" si="170"/>
        <v>2.2708641912150958E-12</v>
      </c>
      <c r="CB194" s="20">
        <f t="shared" si="171"/>
        <v>4.2330868906469593E-12</v>
      </c>
      <c r="CC194" s="59">
        <f t="shared" si="119"/>
        <v>293.33333333333752</v>
      </c>
      <c r="CD194" s="59">
        <f ca="1">AVERAGE(OFFSET($CC$3,0,0,'Données projet'!$E$12+1,1))-AVERAGE(OFFSET($H$3,0,0,'Données projet'!$E$12+1,1))</f>
        <v>198.17898804494365</v>
      </c>
      <c r="CE194" s="59">
        <f t="shared" si="148"/>
        <v>186.24772922797723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31.908936852568015</v>
      </c>
      <c r="CL194" s="21">
        <f>EXP(-LN(2)/25)*CL193+(1-EXP(-LN(2)/25))/(LN(2)/25)*Calculateur!CG194*Calculateur!CI194*VLOOKUP('Données projet'!$B$12,Paramètres!$A$1:$I$89,3,0)*0.475*44/12</f>
        <v>4.0469781487590435</v>
      </c>
      <c r="CM194" s="21">
        <f>EXP(-LN(2)/2)*CM193+(1-EXP(-LN(2)/2))/(LN(2)/2)*CG194*CJ194*VLOOKUP('Données projet'!$B$12,Paramètres!$A$1:$I$89,3,0)*0.475*44/12</f>
        <v>2.5223290827116983E-12</v>
      </c>
      <c r="CN194" s="22">
        <f t="shared" si="172"/>
        <v>35.955915001329579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266.99999999999983</v>
      </c>
      <c r="CU194" s="17">
        <f>CT194*VLOOKUP('Données projet'!$B$13,Paramètres!$A$1:$I$89,3,0)*VLOOKUP('Données projet'!$B$13,Paramètres!$A$1:$I$89,5,0)</f>
        <v>195.76439999999985</v>
      </c>
      <c r="CV194" s="13">
        <f t="shared" si="173"/>
        <v>48.812154563023455</v>
      </c>
      <c r="CW194" s="20">
        <f t="shared" si="174"/>
        <v>425.9708325305989</v>
      </c>
      <c r="CX194" s="59">
        <f t="shared" si="122"/>
        <v>719.30416586393221</v>
      </c>
      <c r="CY194" s="59">
        <f ca="1">AVERAGE(OFFSET($CX$3,0,0,'Données projet'!$E$13+1,1))-AVERAGE(OFFSET($H$3,0,0,'Données projet'!$E$13+1,1))</f>
        <v>198.78436129430389</v>
      </c>
      <c r="CZ194" s="59">
        <f t="shared" si="150"/>
        <v>198.28846462484438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2.3893883767114952</v>
      </c>
      <c r="DG194" s="21">
        <f>EXP(-LN(2)/25)*DG193+(1-EXP(-LN(2)/25))/(LN(2)/25)*Calculateur!DB194*Calculateur!DD194*VLOOKUP('Données projet'!$B$13,Paramètres!$A$1:$I$89,3,0)*0.475*44/12</f>
        <v>0.28690346208460732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2.6762918387961023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274.57619581652199</v>
      </c>
      <c r="T195" s="59">
        <f t="shared" si="142"/>
        <v>366.15117322598775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163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278.21846622758881</v>
      </c>
      <c r="AO195" s="59">
        <f t="shared" si="144"/>
        <v>245.37578316242906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-1.69961822393816E-13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187.18641061466138</v>
      </c>
      <c r="BJ195" s="59">
        <f t="shared" si="146"/>
        <v>143.07246221325369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20.372527049872662</v>
      </c>
      <c r="BQ195" s="21">
        <f>EXP(-LN(2)/25)*BQ194+(1-EXP(-LN(2)/25))/(LN(2)/25)*Calculateur!BL195*Calculateur!BN195*VLOOKUP('Données projet'!$B$11,Paramètres!$A$1:$I$89,3,0)*0.475*44/12</f>
        <v>3.0253280375777987</v>
      </c>
      <c r="BR195" s="21">
        <f>EXP(-LN(2)/2)*BR194+(1-EXP(-LN(2)/2))/(LN(2)/2)*BL195*BO195*VLOOKUP('Données projet'!$B$11,Paramètres!$A$1:$I$89,3,0)*0.475*44/12</f>
        <v>7.2961127669010012E-13</v>
      </c>
      <c r="BS195" s="22">
        <f t="shared" si="169"/>
        <v>23.397855087451187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3.4106051316484809E-13</v>
      </c>
      <c r="BZ195" s="13">
        <f>BY195*VLOOKUP('Données projet'!$B$12,Paramètres!$A$1:$I$89,3,0)*VLOOKUP('Données projet'!$B$12,Paramètres!$A$1:$I$89,5,0)</f>
        <v>1.5961632016114892E-13</v>
      </c>
      <c r="CA195" s="13">
        <f t="shared" si="170"/>
        <v>2.2708641912150958E-12</v>
      </c>
      <c r="CB195" s="20">
        <f t="shared" si="171"/>
        <v>4.2330868906469593E-12</v>
      </c>
      <c r="CC195" s="59">
        <f t="shared" si="119"/>
        <v>293.33333333333752</v>
      </c>
      <c r="CD195" s="59">
        <f ca="1">AVERAGE(OFFSET($CC$3,0,0,'Données projet'!$E$12+1,1))-AVERAGE(OFFSET($H$3,0,0,'Données projet'!$E$12+1,1))</f>
        <v>198.17898804494365</v>
      </c>
      <c r="CE195" s="59">
        <f t="shared" si="148"/>
        <v>186.24772922797723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31.283222063418872</v>
      </c>
      <c r="CL195" s="21">
        <f>EXP(-LN(2)/25)*CL194+(1-EXP(-LN(2)/25))/(LN(2)/25)*Calculateur!CG195*Calculateur!CI195*VLOOKUP('Données projet'!$B$12,Paramètres!$A$1:$I$89,3,0)*0.475*44/12</f>
        <v>3.936313318459896</v>
      </c>
      <c r="CM195" s="21">
        <f>EXP(-LN(2)/2)*CM194+(1-EXP(-LN(2)/2))/(LN(2)/2)*CG195*CJ195*VLOOKUP('Données projet'!$B$12,Paramètres!$A$1:$I$89,3,0)*0.475*44/12</f>
        <v>1.7835559987694861E-12</v>
      </c>
      <c r="CN195" s="22">
        <f t="shared" si="172"/>
        <v>35.219535381880554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266.99999999999983</v>
      </c>
      <c r="CU195" s="17">
        <f>CT195*VLOOKUP('Données projet'!$B$13,Paramètres!$A$1:$I$89,3,0)*VLOOKUP('Données projet'!$B$13,Paramètres!$A$1:$I$89,5,0)</f>
        <v>195.76439999999985</v>
      </c>
      <c r="CV195" s="13">
        <f t="shared" si="173"/>
        <v>48.812154563023455</v>
      </c>
      <c r="CW195" s="20">
        <f t="shared" si="174"/>
        <v>425.9708325305989</v>
      </c>
      <c r="CX195" s="59">
        <f t="shared" si="122"/>
        <v>719.30416586393221</v>
      </c>
      <c r="CY195" s="59">
        <f ca="1">AVERAGE(OFFSET($CX$3,0,0,'Données projet'!$E$13+1,1))-AVERAGE(OFFSET($H$3,0,0,'Données projet'!$E$13+1,1))</f>
        <v>198.78436129430389</v>
      </c>
      <c r="CZ195" s="59">
        <f t="shared" si="150"/>
        <v>198.28846462484438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2.342533928027188</v>
      </c>
      <c r="DG195" s="21">
        <f>EXP(-LN(2)/25)*DG194+(1-EXP(-LN(2)/25))/(LN(2)/25)*Calculateur!DB195*Calculateur!DD195*VLOOKUP('Données projet'!$B$13,Paramètres!$A$1:$I$89,3,0)*0.475*44/12</f>
        <v>0.27905807182630638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2.6215919998534942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274.57619581652199</v>
      </c>
      <c r="T196" s="59">
        <f t="shared" si="142"/>
        <v>366.15117322598775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163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278.21846622758881</v>
      </c>
      <c r="AO196" s="59">
        <f t="shared" si="144"/>
        <v>245.37578316242906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-1.69961822393816E-13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187.18641061466138</v>
      </c>
      <c r="BJ196" s="59">
        <f t="shared" si="146"/>
        <v>143.07246221325369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19.973034220439192</v>
      </c>
      <c r="BQ196" s="21">
        <f>EXP(-LN(2)/25)*BQ195+(1-EXP(-LN(2)/25))/(LN(2)/25)*Calculateur!BL196*Calculateur!BN196*VLOOKUP('Données projet'!$B$11,Paramètres!$A$1:$I$89,3,0)*0.475*44/12</f>
        <v>2.9426002832951466</v>
      </c>
      <c r="BR196" s="21">
        <f>EXP(-LN(2)/2)*BR195+(1-EXP(-LN(2)/2))/(LN(2)/2)*BL196*BO196*VLOOKUP('Données projet'!$B$11,Paramètres!$A$1:$I$89,3,0)*0.475*44/12</f>
        <v>5.159130813777442E-13</v>
      </c>
      <c r="BS196" s="22">
        <f t="shared" si="169"/>
        <v>22.915634503734854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3.4106051316484809E-13</v>
      </c>
      <c r="BZ196" s="13">
        <f>BY196*VLOOKUP('Données projet'!$B$12,Paramètres!$A$1:$I$89,3,0)*VLOOKUP('Données projet'!$B$12,Paramètres!$A$1:$I$89,5,0)</f>
        <v>1.5961632016114892E-13</v>
      </c>
      <c r="CA196" s="13">
        <f t="shared" si="170"/>
        <v>2.2708641912150958E-12</v>
      </c>
      <c r="CB196" s="20">
        <f t="shared" si="171"/>
        <v>4.2330868906469593E-12</v>
      </c>
      <c r="CC196" s="59">
        <f t="shared" ref="CC196:CC203" si="195">CB196+(BT196+BU196)*44/12</f>
        <v>293.33333333333752</v>
      </c>
      <c r="CD196" s="59">
        <f ca="1">AVERAGE(OFFSET($CC$3,0,0,'Données projet'!$E$12+1,1))-AVERAGE(OFFSET($H$3,0,0,'Données projet'!$E$12+1,1))</f>
        <v>198.17898804494365</v>
      </c>
      <c r="CE196" s="59">
        <f t="shared" si="148"/>
        <v>186.24772922797723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30.669777159636606</v>
      </c>
      <c r="CL196" s="21">
        <f>EXP(-LN(2)/25)*CL195+(1-EXP(-LN(2)/25))/(LN(2)/25)*Calculateur!CG196*Calculateur!CI196*VLOOKUP('Données projet'!$B$12,Paramètres!$A$1:$I$89,3,0)*0.475*44/12</f>
        <v>3.8286746237648894</v>
      </c>
      <c r="CM196" s="21">
        <f>EXP(-LN(2)/2)*CM195+(1-EXP(-LN(2)/2))/(LN(2)/2)*CG196*CJ196*VLOOKUP('Données projet'!$B$12,Paramètres!$A$1:$I$89,3,0)*0.475*44/12</f>
        <v>1.2611645413558494E-12</v>
      </c>
      <c r="CN196" s="22">
        <f t="shared" si="172"/>
        <v>34.49845178340275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266.99999999999983</v>
      </c>
      <c r="CU196" s="17">
        <f>CT196*VLOOKUP('Données projet'!$B$13,Paramètres!$A$1:$I$89,3,0)*VLOOKUP('Données projet'!$B$13,Paramètres!$A$1:$I$89,5,0)</f>
        <v>195.76439999999985</v>
      </c>
      <c r="CV196" s="13">
        <f t="shared" si="173"/>
        <v>48.812154563023455</v>
      </c>
      <c r="CW196" s="20">
        <f t="shared" si="174"/>
        <v>425.9708325305989</v>
      </c>
      <c r="CX196" s="59">
        <f t="shared" ref="CX196:CX203" si="196">CW196+(CO196+CP196)*44/12</f>
        <v>719.30416586393221</v>
      </c>
      <c r="CY196" s="59">
        <f ca="1">AVERAGE(OFFSET($CX$3,0,0,'Données projet'!$E$13+1,1))-AVERAGE(OFFSET($H$3,0,0,'Données projet'!$E$13+1,1))</f>
        <v>198.78436129430389</v>
      </c>
      <c r="CZ196" s="59">
        <f t="shared" si="150"/>
        <v>198.28846462484438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2.2965982665031883</v>
      </c>
      <c r="DG196" s="21">
        <f>EXP(-LN(2)/25)*DG195+(1-EXP(-LN(2)/25))/(LN(2)/25)*Calculateur!DB196*Calculateur!DD196*VLOOKUP('Données projet'!$B$13,Paramètres!$A$1:$I$89,3,0)*0.475*44/12</f>
        <v>0.27142721417718985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2.5680254806803782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274.57619581652199</v>
      </c>
      <c r="T197" s="59">
        <f t="shared" ref="T197:T203" si="204">$T$3</f>
        <v>366.15117322598775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163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278.21846622758881</v>
      </c>
      <c r="AO197" s="59">
        <f t="shared" ref="AO197:AO203" si="205">$AO$3</f>
        <v>245.37578316242906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-1.69961822393816E-13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187.18641061466138</v>
      </c>
      <c r="BJ197" s="59">
        <f t="shared" ref="BJ197:BJ203" si="206">$BJ$3</f>
        <v>143.07246221325369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19.581375201724349</v>
      </c>
      <c r="BQ197" s="21">
        <f>EXP(-LN(2)/25)*BQ196+(1-EXP(-LN(2)/25))/(LN(2)/25)*Calculateur!BL197*Calculateur!BN197*VLOOKUP('Données projet'!$B$11,Paramètres!$A$1:$I$89,3,0)*0.475*44/12</f>
        <v>2.8621347238038171</v>
      </c>
      <c r="BR197" s="21">
        <f>EXP(-LN(2)/2)*BR196+(1-EXP(-LN(2)/2))/(LN(2)/2)*BL197*BO197*VLOOKUP('Données projet'!$B$11,Paramètres!$A$1:$I$89,3,0)*0.475*44/12</f>
        <v>3.6480563834505006E-13</v>
      </c>
      <c r="BS197" s="22">
        <f t="shared" si="169"/>
        <v>22.443509925528531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3.4106051316484809E-13</v>
      </c>
      <c r="BZ197" s="13">
        <f>BY197*VLOOKUP('Données projet'!$B$12,Paramètres!$A$1:$I$89,3,0)*VLOOKUP('Données projet'!$B$12,Paramètres!$A$1:$I$89,5,0)</f>
        <v>1.5961632016114892E-13</v>
      </c>
      <c r="CA197" s="13">
        <f t="shared" si="170"/>
        <v>2.2708641912150958E-12</v>
      </c>
      <c r="CB197" s="20">
        <f t="shared" si="171"/>
        <v>4.2330868906469593E-12</v>
      </c>
      <c r="CC197" s="59">
        <f t="shared" si="195"/>
        <v>293.33333333333752</v>
      </c>
      <c r="CD197" s="59">
        <f ca="1">AVERAGE(OFFSET($CC$3,0,0,'Données projet'!$E$12+1,1))-AVERAGE(OFFSET($H$3,0,0,'Données projet'!$E$12+1,1))</f>
        <v>198.17898804494365</v>
      </c>
      <c r="CE197" s="59">
        <f t="shared" ref="CE197:CE203" si="207">$CE$3</f>
        <v>186.24772922797723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30.068361536253065</v>
      </c>
      <c r="CL197" s="21">
        <f>EXP(-LN(2)/25)*CL196+(1-EXP(-LN(2)/25))/(LN(2)/25)*Calculateur!CG197*Calculateur!CI197*VLOOKUP('Données projet'!$B$12,Paramètres!$A$1:$I$89,3,0)*0.475*44/12</f>
        <v>3.7239793148367908</v>
      </c>
      <c r="CM197" s="21">
        <f>EXP(-LN(2)/2)*CM196+(1-EXP(-LN(2)/2))/(LN(2)/2)*CG197*CJ197*VLOOKUP('Données projet'!$B$12,Paramètres!$A$1:$I$89,3,0)*0.475*44/12</f>
        <v>8.9177799938474324E-13</v>
      </c>
      <c r="CN197" s="22">
        <f t="shared" si="172"/>
        <v>33.792340851090749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266.99999999999983</v>
      </c>
      <c r="CU197" s="17">
        <f>CT197*VLOOKUP('Données projet'!$B$13,Paramètres!$A$1:$I$89,3,0)*VLOOKUP('Données projet'!$B$13,Paramètres!$A$1:$I$89,5,0)</f>
        <v>195.76439999999985</v>
      </c>
      <c r="CV197" s="13">
        <f t="shared" si="173"/>
        <v>48.812154563023455</v>
      </c>
      <c r="CW197" s="20">
        <f t="shared" si="174"/>
        <v>425.9708325305989</v>
      </c>
      <c r="CX197" s="59">
        <f t="shared" si="196"/>
        <v>719.30416586393221</v>
      </c>
      <c r="CY197" s="59">
        <f ca="1">AVERAGE(OFFSET($CX$3,0,0,'Données projet'!$E$13+1,1))-AVERAGE(OFFSET($H$3,0,0,'Données projet'!$E$13+1,1))</f>
        <v>198.78436129430389</v>
      </c>
      <c r="CZ197" s="59">
        <f t="shared" ref="CZ197:CZ203" si="208">$CZ$3</f>
        <v>198.28846462484438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2.2515633752836872</v>
      </c>
      <c r="DG197" s="21">
        <f>EXP(-LN(2)/25)*DG196+(1-EXP(-LN(2)/25))/(LN(2)/25)*Calculateur!DB197*Calculateur!DD197*VLOOKUP('Données projet'!$B$13,Paramètres!$A$1:$I$89,3,0)*0.475*44/12</f>
        <v>0.26400502273177773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2.5155683980154651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274.57619581652199</v>
      </c>
      <c r="T198" s="59">
        <f t="shared" si="204"/>
        <v>366.15117322598775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163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278.21846622758881</v>
      </c>
      <c r="AO198" s="59">
        <f t="shared" si="205"/>
        <v>245.37578316242906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-1.69961822393816E-13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187.18641061466138</v>
      </c>
      <c r="BJ198" s="59">
        <f t="shared" si="206"/>
        <v>143.07246221325369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19.197396377478089</v>
      </c>
      <c r="BQ198" s="21">
        <f>EXP(-LN(2)/25)*BQ197+(1-EXP(-LN(2)/25))/(LN(2)/25)*Calculateur!BL198*Calculateur!BN198*VLOOKUP('Données projet'!$B$11,Paramètres!$A$1:$I$89,3,0)*0.475*44/12</f>
        <v>2.783869499268278</v>
      </c>
      <c r="BR198" s="21">
        <f>EXP(-LN(2)/2)*BR197+(1-EXP(-LN(2)/2))/(LN(2)/2)*BL198*BO198*VLOOKUP('Données projet'!$B$11,Paramètres!$A$1:$I$89,3,0)*0.475*44/12</f>
        <v>2.579565406888721E-13</v>
      </c>
      <c r="BS198" s="22">
        <f t="shared" si="169"/>
        <v>21.981265876746626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3.4106051316484809E-13</v>
      </c>
      <c r="BZ198" s="13">
        <f>BY198*VLOOKUP('Données projet'!$B$12,Paramètres!$A$1:$I$89,3,0)*VLOOKUP('Données projet'!$B$12,Paramètres!$A$1:$I$89,5,0)</f>
        <v>1.5961632016114892E-13</v>
      </c>
      <c r="CA198" s="13">
        <f t="shared" si="170"/>
        <v>2.2708641912150958E-12</v>
      </c>
      <c r="CB198" s="20">
        <f t="shared" si="171"/>
        <v>4.2330868906469593E-12</v>
      </c>
      <c r="CC198" s="59">
        <f t="shared" si="195"/>
        <v>293.33333333333752</v>
      </c>
      <c r="CD198" s="59">
        <f ca="1">AVERAGE(OFFSET($CC$3,0,0,'Données projet'!$E$12+1,1))-AVERAGE(OFFSET($H$3,0,0,'Données projet'!$E$12+1,1))</f>
        <v>198.17898804494365</v>
      </c>
      <c r="CE198" s="59">
        <f t="shared" si="207"/>
        <v>186.24772922797723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29.478739306416767</v>
      </c>
      <c r="CL198" s="21">
        <f>EXP(-LN(2)/25)*CL197+(1-EXP(-LN(2)/25))/(LN(2)/25)*Calculateur!CG198*Calculateur!CI198*VLOOKUP('Données projet'!$B$12,Paramètres!$A$1:$I$89,3,0)*0.475*44/12</f>
        <v>3.6221469046370181</v>
      </c>
      <c r="CM198" s="21">
        <f>EXP(-LN(2)/2)*CM197+(1-EXP(-LN(2)/2))/(LN(2)/2)*CG198*CJ198*VLOOKUP('Données projet'!$B$12,Paramètres!$A$1:$I$89,3,0)*0.475*44/12</f>
        <v>6.3058227067792478E-13</v>
      </c>
      <c r="CN198" s="22">
        <f t="shared" si="172"/>
        <v>33.100886211054416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266.99999999999983</v>
      </c>
      <c r="CU198" s="17">
        <f>CT198*VLOOKUP('Données projet'!$B$13,Paramètres!$A$1:$I$89,3,0)*VLOOKUP('Données projet'!$B$13,Paramètres!$A$1:$I$89,5,0)</f>
        <v>195.76439999999985</v>
      </c>
      <c r="CV198" s="13">
        <f t="shared" si="173"/>
        <v>48.812154563023455</v>
      </c>
      <c r="CW198" s="20">
        <f t="shared" si="174"/>
        <v>425.9708325305989</v>
      </c>
      <c r="CX198" s="59">
        <f t="shared" si="196"/>
        <v>719.30416586393221</v>
      </c>
      <c r="CY198" s="59">
        <f ca="1">AVERAGE(OFFSET($CX$3,0,0,'Données projet'!$E$13+1,1))-AVERAGE(OFFSET($H$3,0,0,'Données projet'!$E$13+1,1))</f>
        <v>198.78436129430389</v>
      </c>
      <c r="CZ198" s="59">
        <f t="shared" si="208"/>
        <v>198.28846462484438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2.2074115908124292</v>
      </c>
      <c r="DG198" s="21">
        <f>EXP(-LN(2)/25)*DG197+(1-EXP(-LN(2)/25))/(LN(2)/25)*Calculateur!DB198*Calculateur!DD198*VLOOKUP('Données projet'!$B$13,Paramètres!$A$1:$I$89,3,0)*0.475*44/12</f>
        <v>0.25678579150175651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2.4641973823141856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274.57619581652199</v>
      </c>
      <c r="T199" s="59">
        <f t="shared" si="204"/>
        <v>366.15117322598775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163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278.21846622758881</v>
      </c>
      <c r="AO199" s="59">
        <f t="shared" si="205"/>
        <v>245.37578316242906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-1.69961822393816E-13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187.18641061466138</v>
      </c>
      <c r="BJ199" s="59">
        <f t="shared" si="206"/>
        <v>143.07246221325369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18.820947143771342</v>
      </c>
      <c r="BQ199" s="21">
        <f>EXP(-LN(2)/25)*BQ198+(1-EXP(-LN(2)/25))/(LN(2)/25)*Calculateur!BL199*Calculateur!BN199*VLOOKUP('Données projet'!$B$11,Paramètres!$A$1:$I$89,3,0)*0.475*44/12</f>
        <v>2.7077444414134524</v>
      </c>
      <c r="BR199" s="21">
        <f>EXP(-LN(2)/2)*BR198+(1-EXP(-LN(2)/2))/(LN(2)/2)*BL199*BO199*VLOOKUP('Données projet'!$B$11,Paramètres!$A$1:$I$89,3,0)*0.475*44/12</f>
        <v>1.8240281917252503E-13</v>
      </c>
      <c r="BS199" s="22">
        <f t="shared" si="169"/>
        <v>21.528691585184976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3.4106051316484809E-13</v>
      </c>
      <c r="BZ199" s="13">
        <f>BY199*VLOOKUP('Données projet'!$B$12,Paramètres!$A$1:$I$89,3,0)*VLOOKUP('Données projet'!$B$12,Paramètres!$A$1:$I$89,5,0)</f>
        <v>1.5961632016114892E-13</v>
      </c>
      <c r="CA199" s="13">
        <f t="shared" si="170"/>
        <v>2.2708641912150958E-12</v>
      </c>
      <c r="CB199" s="20">
        <f t="shared" si="171"/>
        <v>4.2330868906469593E-12</v>
      </c>
      <c r="CC199" s="59">
        <f t="shared" si="195"/>
        <v>293.33333333333752</v>
      </c>
      <c r="CD199" s="59">
        <f ca="1">AVERAGE(OFFSET($CC$3,0,0,'Données projet'!$E$12+1,1))-AVERAGE(OFFSET($H$3,0,0,'Données projet'!$E$12+1,1))</f>
        <v>198.17898804494365</v>
      </c>
      <c r="CE199" s="59">
        <f t="shared" si="207"/>
        <v>186.24772922797723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28.900679208873509</v>
      </c>
      <c r="CL199" s="21">
        <f>EXP(-LN(2)/25)*CL198+(1-EXP(-LN(2)/25))/(LN(2)/25)*Calculateur!CG199*Calculateur!CI199*VLOOKUP('Données projet'!$B$12,Paramètres!$A$1:$I$89,3,0)*0.475*44/12</f>
        <v>3.5230991070492914</v>
      </c>
      <c r="CM199" s="21">
        <f>EXP(-LN(2)/2)*CM198+(1-EXP(-LN(2)/2))/(LN(2)/2)*CG199*CJ199*VLOOKUP('Données projet'!$B$12,Paramètres!$A$1:$I$89,3,0)*0.475*44/12</f>
        <v>4.4588899969237167E-13</v>
      </c>
      <c r="CN199" s="22">
        <f t="shared" si="172"/>
        <v>32.423778315923251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266.99999999999983</v>
      </c>
      <c r="CU199" s="17">
        <f>CT199*VLOOKUP('Données projet'!$B$13,Paramètres!$A$1:$I$89,3,0)*VLOOKUP('Données projet'!$B$13,Paramètres!$A$1:$I$89,5,0)</f>
        <v>195.76439999999985</v>
      </c>
      <c r="CV199" s="13">
        <f t="shared" si="173"/>
        <v>48.812154563023455</v>
      </c>
      <c r="CW199" s="20">
        <f t="shared" si="174"/>
        <v>425.9708325305989</v>
      </c>
      <c r="CX199" s="59">
        <f t="shared" si="196"/>
        <v>719.30416586393221</v>
      </c>
      <c r="CY199" s="59">
        <f ca="1">AVERAGE(OFFSET($CX$3,0,0,'Données projet'!$E$13+1,1))-AVERAGE(OFFSET($H$3,0,0,'Données projet'!$E$13+1,1))</f>
        <v>198.78436129430389</v>
      </c>
      <c r="CZ199" s="59">
        <f t="shared" si="208"/>
        <v>198.28846462484438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2.1641255959047232</v>
      </c>
      <c r="DG199" s="21">
        <f>EXP(-LN(2)/25)*DG198+(1-EXP(-LN(2)/25))/(LN(2)/25)*Calculateur!DB199*Calculateur!DD199*VLOOKUP('Données projet'!$B$13,Paramètres!$A$1:$I$89,3,0)*0.475*44/12</f>
        <v>0.24976397052936308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2.4138895664340865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274.57619581652199</v>
      </c>
      <c r="T200" s="59">
        <f t="shared" si="204"/>
        <v>366.15117322598775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163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278.21846622758881</v>
      </c>
      <c r="AO200" s="59">
        <f t="shared" si="205"/>
        <v>245.37578316242906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-1.69961822393816E-13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187.18641061466138</v>
      </c>
      <c r="BJ200" s="59">
        <f t="shared" si="206"/>
        <v>143.07246221325369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18.451879849926222</v>
      </c>
      <c r="BQ200" s="21">
        <f>EXP(-LN(2)/25)*BQ199+(1-EXP(-LN(2)/25))/(LN(2)/25)*Calculateur!BL200*Calculateur!BN200*VLOOKUP('Données projet'!$B$11,Paramètres!$A$1:$I$89,3,0)*0.475*44/12</f>
        <v>2.6337010272689101</v>
      </c>
      <c r="BR200" s="21">
        <f>EXP(-LN(2)/2)*BR199+(1-EXP(-LN(2)/2))/(LN(2)/2)*BL200*BO200*VLOOKUP('Données projet'!$B$11,Paramètres!$A$1:$I$89,3,0)*0.475*44/12</f>
        <v>1.2897827034443605E-13</v>
      </c>
      <c r="BS200" s="22">
        <f t="shared" si="169"/>
        <v>21.085580877195259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3.4106051316484809E-13</v>
      </c>
      <c r="BZ200" s="13">
        <f>BY200*VLOOKUP('Données projet'!$B$12,Paramètres!$A$1:$I$89,3,0)*VLOOKUP('Données projet'!$B$12,Paramètres!$A$1:$I$89,5,0)</f>
        <v>1.5961632016114892E-13</v>
      </c>
      <c r="CA200" s="13">
        <f t="shared" si="170"/>
        <v>2.2708641912150958E-12</v>
      </c>
      <c r="CB200" s="20">
        <f t="shared" si="171"/>
        <v>4.2330868906469593E-12</v>
      </c>
      <c r="CC200" s="59">
        <f t="shared" si="195"/>
        <v>293.33333333333752</v>
      </c>
      <c r="CD200" s="59">
        <f ca="1">AVERAGE(OFFSET($CC$3,0,0,'Données projet'!$E$12+1,1))-AVERAGE(OFFSET($H$3,0,0,'Données projet'!$E$12+1,1))</f>
        <v>198.17898804494365</v>
      </c>
      <c r="CE200" s="59">
        <f t="shared" si="207"/>
        <v>186.24772922797723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28.33395451726123</v>
      </c>
      <c r="CL200" s="21">
        <f>EXP(-LN(2)/25)*CL199+(1-EXP(-LN(2)/25))/(LN(2)/25)*Calculateur!CG200*Calculateur!CI200*VLOOKUP('Données projet'!$B$12,Paramètres!$A$1:$I$89,3,0)*0.475*44/12</f>
        <v>3.4267597766952989</v>
      </c>
      <c r="CM200" s="21">
        <f>EXP(-LN(2)/2)*CM199+(1-EXP(-LN(2)/2))/(LN(2)/2)*CG200*CJ200*VLOOKUP('Données projet'!$B$12,Paramètres!$A$1:$I$89,3,0)*0.475*44/12</f>
        <v>3.1529113533896244E-13</v>
      </c>
      <c r="CN200" s="22">
        <f t="shared" si="172"/>
        <v>31.760714293956845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266.99999999999983</v>
      </c>
      <c r="CU200" s="17">
        <f>CT200*VLOOKUP('Données projet'!$B$13,Paramètres!$A$1:$I$89,3,0)*VLOOKUP('Données projet'!$B$13,Paramètres!$A$1:$I$89,5,0)</f>
        <v>195.76439999999985</v>
      </c>
      <c r="CV200" s="13">
        <f t="shared" si="173"/>
        <v>48.812154563023455</v>
      </c>
      <c r="CW200" s="20">
        <f t="shared" si="174"/>
        <v>425.9708325305989</v>
      </c>
      <c r="CX200" s="59">
        <f t="shared" si="196"/>
        <v>719.30416586393221</v>
      </c>
      <c r="CY200" s="59">
        <f ca="1">AVERAGE(OFFSET($CX$3,0,0,'Données projet'!$E$13+1,1))-AVERAGE(OFFSET($H$3,0,0,'Données projet'!$E$13+1,1))</f>
        <v>198.78436129430389</v>
      </c>
      <c r="CZ200" s="59">
        <f t="shared" si="208"/>
        <v>198.28846462484438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2.1216884129553071</v>
      </c>
      <c r="DG200" s="21">
        <f>EXP(-LN(2)/25)*DG199+(1-EXP(-LN(2)/25))/(LN(2)/25)*Calculateur!DB200*Calculateur!DD200*VLOOKUP('Données projet'!$B$13,Paramètres!$A$1:$I$89,3,0)*0.475*44/12</f>
        <v>0.24293416162072129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2.3646225745760283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274.57619581652199</v>
      </c>
      <c r="T201" s="59">
        <f t="shared" si="204"/>
        <v>366.15117322598775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163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278.21846622758881</v>
      </c>
      <c r="AO201" s="59">
        <f t="shared" si="205"/>
        <v>245.37578316242906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-1.69961822393816E-13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187.18641061466138</v>
      </c>
      <c r="BJ201" s="59">
        <f t="shared" si="206"/>
        <v>143.07246221325369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18.090049740604584</v>
      </c>
      <c r="BQ201" s="21">
        <f>EXP(-LN(2)/25)*BQ200+(1-EXP(-LN(2)/25))/(LN(2)/25)*Calculateur!BL201*Calculateur!BN201*VLOOKUP('Données projet'!$B$11,Paramètres!$A$1:$I$89,3,0)*0.475*44/12</f>
        <v>2.5616823341779242</v>
      </c>
      <c r="BR201" s="21">
        <f>EXP(-LN(2)/2)*BR200+(1-EXP(-LN(2)/2))/(LN(2)/2)*BL201*BO201*VLOOKUP('Données projet'!$B$11,Paramètres!$A$1:$I$89,3,0)*0.475*44/12</f>
        <v>9.1201409586262515E-14</v>
      </c>
      <c r="BS201" s="22">
        <f t="shared" si="169"/>
        <v>20.651732074782601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3.4106051316484809E-13</v>
      </c>
      <c r="BZ201" s="13">
        <f>BY201*VLOOKUP('Données projet'!$B$12,Paramètres!$A$1:$I$89,3,0)*VLOOKUP('Données projet'!$B$12,Paramètres!$A$1:$I$89,5,0)</f>
        <v>1.5961632016114892E-13</v>
      </c>
      <c r="CA201" s="13">
        <f t="shared" si="170"/>
        <v>2.2708641912150958E-12</v>
      </c>
      <c r="CB201" s="20">
        <f t="shared" si="171"/>
        <v>4.2330868906469593E-12</v>
      </c>
      <c r="CC201" s="59">
        <f t="shared" si="195"/>
        <v>293.33333333333752</v>
      </c>
      <c r="CD201" s="59">
        <f ca="1">AVERAGE(OFFSET($CC$3,0,0,'Données projet'!$E$12+1,1))-AVERAGE(OFFSET($H$3,0,0,'Données projet'!$E$12+1,1))</f>
        <v>198.17898804494365</v>
      </c>
      <c r="CE201" s="59">
        <f t="shared" si="207"/>
        <v>186.24772922797723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27.778342951183536</v>
      </c>
      <c r="CL201" s="21">
        <f>EXP(-LN(2)/25)*CL200+(1-EXP(-LN(2)/25))/(LN(2)/25)*Calculateur!CG201*Calculateur!CI201*VLOOKUP('Données projet'!$B$12,Paramètres!$A$1:$I$89,3,0)*0.475*44/12</f>
        <v>3.3330548503961013</v>
      </c>
      <c r="CM201" s="21">
        <f>EXP(-LN(2)/2)*CM200+(1-EXP(-LN(2)/2))/(LN(2)/2)*CG201*CJ201*VLOOKUP('Données projet'!$B$12,Paramètres!$A$1:$I$89,3,0)*0.475*44/12</f>
        <v>2.2294449984618586E-13</v>
      </c>
      <c r="CN201" s="22">
        <f t="shared" si="172"/>
        <v>31.111397801579862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266.99999999999983</v>
      </c>
      <c r="CU201" s="17">
        <f>CT201*VLOOKUP('Données projet'!$B$13,Paramètres!$A$1:$I$89,3,0)*VLOOKUP('Données projet'!$B$13,Paramètres!$A$1:$I$89,5,0)</f>
        <v>195.76439999999985</v>
      </c>
      <c r="CV201" s="13">
        <f t="shared" si="173"/>
        <v>48.812154563023455</v>
      </c>
      <c r="CW201" s="20">
        <f t="shared" si="174"/>
        <v>425.9708325305989</v>
      </c>
      <c r="CX201" s="59">
        <f t="shared" si="196"/>
        <v>719.30416586393221</v>
      </c>
      <c r="CY201" s="59">
        <f ca="1">AVERAGE(OFFSET($CX$3,0,0,'Données projet'!$E$13+1,1))-AVERAGE(OFFSET($H$3,0,0,'Données projet'!$E$13+1,1))</f>
        <v>198.78436129430389</v>
      </c>
      <c r="CZ201" s="59">
        <f t="shared" si="208"/>
        <v>198.28846462484438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2.0800833972794033</v>
      </c>
      <c r="DG201" s="21">
        <f>EXP(-LN(2)/25)*DG200+(1-EXP(-LN(2)/25))/(LN(2)/25)*Calculateur!DB201*Calculateur!DD201*VLOOKUP('Données projet'!$B$13,Paramètres!$A$1:$I$89,3,0)*0.475*44/12</f>
        <v>0.23629111419585033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2.3163745114752534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274.57619581652199</v>
      </c>
      <c r="T202" s="59">
        <f t="shared" si="204"/>
        <v>366.15117322598775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163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278.21846622758881</v>
      </c>
      <c r="AO202" s="59">
        <f t="shared" si="205"/>
        <v>245.37578316242906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-1.69961822393816E-13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187.18641061466138</v>
      </c>
      <c r="BJ202" s="59">
        <f t="shared" si="206"/>
        <v>143.07246221325369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17.735314899032169</v>
      </c>
      <c r="BQ202" s="21">
        <f>EXP(-LN(2)/25)*BQ201+(1-EXP(-LN(2)/25))/(LN(2)/25)*Calculateur!BL202*Calculateur!BN202*VLOOKUP('Données projet'!$B$11,Paramètres!$A$1:$I$89,3,0)*0.475*44/12</f>
        <v>2.4916329960368095</v>
      </c>
      <c r="BR202" s="21">
        <f>EXP(-LN(2)/2)*BR201+(1-EXP(-LN(2)/2))/(LN(2)/2)*BL202*BO202*VLOOKUP('Données projet'!$B$11,Paramètres!$A$1:$I$89,3,0)*0.475*44/12</f>
        <v>6.4489135172218025E-14</v>
      </c>
      <c r="BS202" s="22">
        <f t="shared" si="169"/>
        <v>20.226947895069042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3.4106051316484809E-13</v>
      </c>
      <c r="BZ202" s="13">
        <f>BY202*VLOOKUP('Données projet'!$B$12,Paramètres!$A$1:$I$89,3,0)*VLOOKUP('Données projet'!$B$12,Paramètres!$A$1:$I$89,5,0)</f>
        <v>1.5961632016114892E-13</v>
      </c>
      <c r="CA202" s="13">
        <f t="shared" si="170"/>
        <v>2.2708641912150958E-12</v>
      </c>
      <c r="CB202" s="20">
        <f t="shared" si="171"/>
        <v>4.2330868906469593E-12</v>
      </c>
      <c r="CC202" s="59">
        <f t="shared" si="195"/>
        <v>293.33333333333752</v>
      </c>
      <c r="CD202" s="59">
        <f ca="1">AVERAGE(OFFSET($CC$3,0,0,'Données projet'!$E$12+1,1))-AVERAGE(OFFSET($H$3,0,0,'Données projet'!$E$12+1,1))</f>
        <v>198.17898804494365</v>
      </c>
      <c r="CE202" s="59">
        <f t="shared" si="207"/>
        <v>186.24772922797723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27.233626589027033</v>
      </c>
      <c r="CL202" s="21">
        <f>EXP(-LN(2)/25)*CL201+(1-EXP(-LN(2)/25))/(LN(2)/25)*Calculateur!CG202*Calculateur!CI202*VLOOKUP('Données projet'!$B$12,Paramètres!$A$1:$I$89,3,0)*0.475*44/12</f>
        <v>3.241912290234283</v>
      </c>
      <c r="CM202" s="21">
        <f>EXP(-LN(2)/2)*CM201+(1-EXP(-LN(2)/2))/(LN(2)/2)*CG202*CJ202*VLOOKUP('Données projet'!$B$12,Paramètres!$A$1:$I$89,3,0)*0.475*44/12</f>
        <v>1.5764556766948125E-13</v>
      </c>
      <c r="CN202" s="22">
        <f t="shared" si="172"/>
        <v>30.475538879261471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266.99999999999983</v>
      </c>
      <c r="CU202" s="17">
        <f>CT202*VLOOKUP('Données projet'!$B$13,Paramètres!$A$1:$I$89,3,0)*VLOOKUP('Données projet'!$B$13,Paramètres!$A$1:$I$89,5,0)</f>
        <v>195.76439999999985</v>
      </c>
      <c r="CV202" s="13">
        <f t="shared" si="173"/>
        <v>48.812154563023455</v>
      </c>
      <c r="CW202" s="20">
        <f t="shared" si="174"/>
        <v>425.9708325305989</v>
      </c>
      <c r="CX202" s="59">
        <f t="shared" si="196"/>
        <v>719.30416586393221</v>
      </c>
      <c r="CY202" s="59">
        <f ca="1">AVERAGE(OFFSET($CX$3,0,0,'Données projet'!$E$13+1,1))-AVERAGE(OFFSET($H$3,0,0,'Données projet'!$E$13+1,1))</f>
        <v>198.78436129430389</v>
      </c>
      <c r="CZ202" s="59">
        <f t="shared" si="208"/>
        <v>198.28846462484438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2.0392942305843502</v>
      </c>
      <c r="DG202" s="21">
        <f>EXP(-LN(2)/25)*DG201+(1-EXP(-LN(2)/25))/(LN(2)/25)*Calculateur!DB202*Calculateur!DD202*VLOOKUP('Données projet'!$B$13,Paramètres!$A$1:$I$89,3,0)*0.475*44/12</f>
        <v>0.22982972125215517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2.2691239518365052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274.57619581652199</v>
      </c>
      <c r="T203" s="59">
        <f t="shared" si="204"/>
        <v>366.15117322598775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163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278.21846622758881</v>
      </c>
      <c r="AO203" s="59">
        <f t="shared" si="205"/>
        <v>245.37578316242906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-1.69961822393816E-13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187.18641061466138</v>
      </c>
      <c r="BJ203" s="59">
        <f t="shared" si="206"/>
        <v>143.07246221325369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17.3875361913361</v>
      </c>
      <c r="BQ203" s="21">
        <f>EXP(-LN(2)/25)*BQ202+(1-EXP(-LN(2)/25))/(LN(2)/25)*Calculateur!BL203*Calculateur!BN203*VLOOKUP('Données projet'!$B$11,Paramètres!$A$1:$I$89,3,0)*0.475*44/12</f>
        <v>2.4234991607308984</v>
      </c>
      <c r="BR203" s="21">
        <f>EXP(-LN(2)/2)*BR202+(1-EXP(-LN(2)/2))/(LN(2)/2)*BL203*BO203*VLOOKUP('Données projet'!$B$11,Paramètres!$A$1:$I$89,3,0)*0.475*44/12</f>
        <v>4.5600704793131257E-14</v>
      </c>
      <c r="BS203" s="22">
        <f t="shared" si="169"/>
        <v>19.811035352067044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3.4106051316484809E-13</v>
      </c>
      <c r="BZ203" s="13">
        <f>BY203*VLOOKUP('Données projet'!$B$12,Paramètres!$A$1:$I$89,3,0)*VLOOKUP('Données projet'!$B$12,Paramètres!$A$1:$I$89,5,0)</f>
        <v>1.5961632016114892E-13</v>
      </c>
      <c r="CA203" s="13">
        <f t="shared" si="170"/>
        <v>2.2708641912150958E-12</v>
      </c>
      <c r="CB203" s="20">
        <f t="shared" si="171"/>
        <v>4.2330868906469593E-12</v>
      </c>
      <c r="CC203" s="59">
        <f t="shared" si="195"/>
        <v>293.33333333333752</v>
      </c>
      <c r="CD203" s="59">
        <f ca="1">AVERAGE(OFFSET($CC$3,0,0,'Données projet'!$E$12+1,1))-AVERAGE(OFFSET($H$3,0,0,'Données projet'!$E$12+1,1))</f>
        <v>198.17898804494365</v>
      </c>
      <c r="CE203" s="59">
        <f t="shared" si="207"/>
        <v>186.24772922797723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26.699591782488245</v>
      </c>
      <c r="CL203" s="21">
        <f>EXP(-LN(2)/25)*CL202+(1-EXP(-LN(2)/25))/(LN(2)/25)*Calculateur!CG203*Calculateur!CI203*VLOOKUP('Données projet'!$B$12,Paramètres!$A$1:$I$89,3,0)*0.475*44/12</f>
        <v>3.1532620281730686</v>
      </c>
      <c r="CM203" s="21">
        <f>EXP(-LN(2)/2)*CM202+(1-EXP(-LN(2)/2))/(LN(2)/2)*CG203*CJ203*VLOOKUP('Données projet'!$B$12,Paramètres!$A$1:$I$89,3,0)*0.475*44/12</f>
        <v>1.1147224992309296E-13</v>
      </c>
      <c r="CN203" s="22">
        <f t="shared" si="172"/>
        <v>29.852853810661422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266.99999999999983</v>
      </c>
      <c r="CU203" s="17">
        <f>CT203*VLOOKUP('Données projet'!$B$13,Paramètres!$A$1:$I$89,3,0)*VLOOKUP('Données projet'!$B$13,Paramètres!$A$1:$I$89,5,0)</f>
        <v>195.76439999999985</v>
      </c>
      <c r="CV203" s="13">
        <f t="shared" si="173"/>
        <v>48.812154563023455</v>
      </c>
      <c r="CW203" s="20">
        <f t="shared" si="174"/>
        <v>425.9708325305989</v>
      </c>
      <c r="CX203" s="59">
        <f t="shared" si="196"/>
        <v>719.30416586393221</v>
      </c>
      <c r="CY203" s="59">
        <f ca="1">AVERAGE(OFFSET($CX$3,0,0,'Données projet'!$E$13+1,1))-AVERAGE(OFFSET($H$3,0,0,'Données projet'!$E$13+1,1))</f>
        <v>198.78436129430389</v>
      </c>
      <c r="CZ203" s="59">
        <f t="shared" si="208"/>
        <v>198.28846462484438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1.9993049145692521</v>
      </c>
      <c r="DG203" s="21">
        <f>EXP(-LN(2)/25)*DG202+(1-EXP(-LN(2)/25))/(LN(2)/25)*Calculateur!DB203*Calculateur!DD203*VLOOKUP('Données projet'!$B$13,Paramètres!$A$1:$I$89,3,0)*0.475*44/12</f>
        <v>0.22354501543829522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2.2228499300075475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103</v>
      </c>
      <c r="BA204" s="81" t="s">
        <v>103</v>
      </c>
      <c r="BV204" s="81" t="s">
        <v>103</v>
      </c>
      <c r="CQ204" s="81" t="s">
        <v>103</v>
      </c>
      <c r="DL204" s="81" t="s">
        <v>103</v>
      </c>
      <c r="EG204" s="81" t="s">
        <v>103</v>
      </c>
      <c r="FB204" s="81" t="s">
        <v>103</v>
      </c>
      <c r="FW204" s="81" t="s">
        <v>103</v>
      </c>
      <c r="GR204" s="81" t="s">
        <v>103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>
        <f>EXP(LN('Données projet'!B88)/'Données projet'!A88)</f>
        <v>1.1779991009866786</v>
      </c>
      <c r="BV205" s="82">
        <f>EXP(LN('Données projet'!B114)/'Données projet'!A114)</f>
        <v>1.1963772029987372</v>
      </c>
      <c r="CQ205" s="82">
        <f>EXP(LN('Données projet'!B140)/'Données projet'!A140)</f>
        <v>1.2721747796233518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104</v>
      </c>
      <c r="B1" s="112" t="s">
        <v>105</v>
      </c>
      <c r="C1" s="113" t="s">
        <v>106</v>
      </c>
      <c r="D1" s="112" t="s">
        <v>107</v>
      </c>
      <c r="E1" s="113" t="s">
        <v>108</v>
      </c>
      <c r="F1" s="113" t="s">
        <v>107</v>
      </c>
      <c r="G1" s="113" t="s">
        <v>109</v>
      </c>
      <c r="H1" s="113" t="s">
        <v>107</v>
      </c>
      <c r="I1" s="114" t="s">
        <v>110</v>
      </c>
      <c r="J1" s="78"/>
      <c r="K1" s="78"/>
      <c r="L1" s="78"/>
      <c r="M1" s="78"/>
      <c r="N1" s="78"/>
    </row>
    <row r="2" spans="1:16" x14ac:dyDescent="0.25">
      <c r="A2" s="115" t="s">
        <v>111</v>
      </c>
      <c r="B2" s="116" t="s">
        <v>112</v>
      </c>
      <c r="C2" s="117">
        <v>0.62</v>
      </c>
      <c r="D2" s="117" t="s">
        <v>113</v>
      </c>
      <c r="E2" s="117">
        <v>1.56</v>
      </c>
      <c r="F2" s="117" t="s">
        <v>114</v>
      </c>
      <c r="G2" s="118">
        <v>0.43</v>
      </c>
      <c r="H2" s="119" t="s">
        <v>115</v>
      </c>
      <c r="I2" s="120">
        <v>0.25</v>
      </c>
      <c r="J2" s="78"/>
      <c r="K2" s="78"/>
      <c r="L2" s="78"/>
      <c r="M2" s="78"/>
      <c r="N2" s="78"/>
      <c r="O2" s="306" t="s">
        <v>116</v>
      </c>
      <c r="P2" s="121">
        <v>0</v>
      </c>
    </row>
    <row r="3" spans="1:16" ht="15.75" thickBot="1" x14ac:dyDescent="0.3">
      <c r="A3" s="122" t="s">
        <v>117</v>
      </c>
      <c r="B3" s="123" t="s">
        <v>118</v>
      </c>
      <c r="C3" s="124">
        <v>0.64</v>
      </c>
      <c r="D3" s="124" t="s">
        <v>113</v>
      </c>
      <c r="E3" s="124">
        <v>1.56</v>
      </c>
      <c r="F3" s="125" t="s">
        <v>114</v>
      </c>
      <c r="G3" s="126">
        <v>0.43</v>
      </c>
      <c r="H3" s="124" t="s">
        <v>115</v>
      </c>
      <c r="I3" s="127">
        <v>0.25</v>
      </c>
      <c r="J3" s="78"/>
      <c r="K3" s="78"/>
      <c r="L3" s="78"/>
      <c r="M3" s="78"/>
      <c r="N3" s="78"/>
      <c r="O3" s="307"/>
      <c r="P3" s="128">
        <v>0.2</v>
      </c>
    </row>
    <row r="4" spans="1:16" ht="15.75" thickBot="1" x14ac:dyDescent="0.3">
      <c r="A4" s="122" t="s">
        <v>119</v>
      </c>
      <c r="B4" s="123" t="s">
        <v>120</v>
      </c>
      <c r="C4" s="124">
        <v>0.42</v>
      </c>
      <c r="D4" s="124" t="s">
        <v>113</v>
      </c>
      <c r="E4" s="124">
        <v>1.56</v>
      </c>
      <c r="F4" s="125" t="s">
        <v>114</v>
      </c>
      <c r="G4" s="126">
        <v>0.43</v>
      </c>
      <c r="H4" s="124" t="s">
        <v>115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121</v>
      </c>
      <c r="B5" s="123" t="s">
        <v>122</v>
      </c>
      <c r="C5" s="124">
        <v>0.42</v>
      </c>
      <c r="D5" s="124" t="s">
        <v>113</v>
      </c>
      <c r="E5" s="124">
        <v>1.56</v>
      </c>
      <c r="F5" s="125" t="s">
        <v>114</v>
      </c>
      <c r="G5" s="126">
        <v>0.43</v>
      </c>
      <c r="H5" s="124" t="s">
        <v>115</v>
      </c>
      <c r="I5" s="127">
        <v>0.25</v>
      </c>
      <c r="J5" s="78"/>
      <c r="K5" s="78"/>
      <c r="L5" s="78"/>
      <c r="M5" s="78"/>
      <c r="N5" s="78"/>
      <c r="O5" s="306" t="s">
        <v>123</v>
      </c>
      <c r="P5" s="121">
        <v>0</v>
      </c>
    </row>
    <row r="6" spans="1:16" x14ac:dyDescent="0.25">
      <c r="A6" s="122" t="s">
        <v>124</v>
      </c>
      <c r="B6" s="123" t="s">
        <v>125</v>
      </c>
      <c r="C6" s="124">
        <v>0.42</v>
      </c>
      <c r="D6" s="124" t="s">
        <v>113</v>
      </c>
      <c r="E6" s="124">
        <v>1.56</v>
      </c>
      <c r="F6" s="125" t="s">
        <v>114</v>
      </c>
      <c r="G6" s="126">
        <v>0.43</v>
      </c>
      <c r="H6" s="124" t="s">
        <v>115</v>
      </c>
      <c r="I6" s="127">
        <v>0.25</v>
      </c>
      <c r="J6" s="78"/>
      <c r="K6" s="78"/>
      <c r="L6" s="78"/>
      <c r="M6" s="78"/>
      <c r="N6" s="78"/>
      <c r="O6" s="308"/>
      <c r="P6" s="129">
        <v>0.05</v>
      </c>
    </row>
    <row r="7" spans="1:16" x14ac:dyDescent="0.25">
      <c r="A7" s="122" t="s">
        <v>126</v>
      </c>
      <c r="B7" s="123" t="s">
        <v>127</v>
      </c>
      <c r="C7" s="124">
        <v>0.52</v>
      </c>
      <c r="D7" s="124" t="s">
        <v>113</v>
      </c>
      <c r="E7" s="124">
        <v>1.56</v>
      </c>
      <c r="F7" s="125" t="s">
        <v>114</v>
      </c>
      <c r="G7" s="126">
        <v>0.43</v>
      </c>
      <c r="H7" s="124" t="s">
        <v>115</v>
      </c>
      <c r="I7" s="127">
        <v>0.25</v>
      </c>
      <c r="J7" s="78"/>
      <c r="K7" s="78"/>
      <c r="L7" s="78"/>
      <c r="M7" s="78"/>
      <c r="N7" s="78"/>
      <c r="O7" s="308"/>
      <c r="P7" s="129">
        <v>0.1</v>
      </c>
    </row>
    <row r="8" spans="1:16" ht="15.75" thickBot="1" x14ac:dyDescent="0.3">
      <c r="A8" s="122" t="s">
        <v>23</v>
      </c>
      <c r="B8" s="123" t="s">
        <v>128</v>
      </c>
      <c r="C8" s="124">
        <v>0.36</v>
      </c>
      <c r="D8" s="124" t="s">
        <v>113</v>
      </c>
      <c r="E8" s="124">
        <v>1.3</v>
      </c>
      <c r="F8" s="125" t="s">
        <v>114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307"/>
      <c r="P8" s="128">
        <v>0.15</v>
      </c>
    </row>
    <row r="9" spans="1:16" ht="15.75" thickBot="1" x14ac:dyDescent="0.3">
      <c r="A9" s="122" t="s">
        <v>130</v>
      </c>
      <c r="B9" s="123" t="s">
        <v>131</v>
      </c>
      <c r="C9" s="124">
        <v>0.61</v>
      </c>
      <c r="D9" s="124" t="s">
        <v>113</v>
      </c>
      <c r="E9" s="124">
        <v>1.56</v>
      </c>
      <c r="F9" s="125" t="s">
        <v>114</v>
      </c>
      <c r="G9" s="126">
        <v>0.43</v>
      </c>
      <c r="H9" s="124" t="s">
        <v>115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132</v>
      </c>
      <c r="B10" s="123" t="s">
        <v>133</v>
      </c>
      <c r="C10" s="124">
        <v>0.66</v>
      </c>
      <c r="D10" s="124" t="s">
        <v>113</v>
      </c>
      <c r="E10" s="124">
        <v>1.56</v>
      </c>
      <c r="F10" s="125" t="s">
        <v>114</v>
      </c>
      <c r="G10" s="126">
        <v>0.43</v>
      </c>
      <c r="H10" s="124" t="s">
        <v>115</v>
      </c>
      <c r="I10" s="127">
        <v>0.25</v>
      </c>
      <c r="J10" s="78"/>
      <c r="K10" s="78"/>
      <c r="L10" s="78"/>
      <c r="M10" s="78"/>
      <c r="N10" s="78"/>
      <c r="O10" s="306" t="s">
        <v>134</v>
      </c>
      <c r="P10" s="121">
        <v>0</v>
      </c>
    </row>
    <row r="11" spans="1:16" ht="15.75" thickBot="1" x14ac:dyDescent="0.3">
      <c r="A11" s="122" t="s">
        <v>25</v>
      </c>
      <c r="B11" s="123" t="s">
        <v>135</v>
      </c>
      <c r="C11" s="124">
        <v>0.47</v>
      </c>
      <c r="D11" s="124" t="s">
        <v>113</v>
      </c>
      <c r="E11" s="124">
        <v>1.56</v>
      </c>
      <c r="F11" s="125" t="s">
        <v>114</v>
      </c>
      <c r="G11" s="126">
        <v>0.43</v>
      </c>
      <c r="H11" s="124" t="s">
        <v>115</v>
      </c>
      <c r="I11" s="127">
        <v>0.25</v>
      </c>
      <c r="J11" s="78"/>
      <c r="K11" s="78"/>
      <c r="L11" s="78"/>
      <c r="M11" s="78"/>
      <c r="N11" s="78"/>
      <c r="O11" s="307"/>
      <c r="P11" s="128">
        <v>0.1</v>
      </c>
    </row>
    <row r="12" spans="1:16" x14ac:dyDescent="0.25">
      <c r="A12" s="122" t="s">
        <v>136</v>
      </c>
      <c r="B12" s="123" t="s">
        <v>137</v>
      </c>
      <c r="C12" s="124">
        <v>0.67</v>
      </c>
      <c r="D12" s="124" t="s">
        <v>113</v>
      </c>
      <c r="E12" s="124">
        <v>1.56</v>
      </c>
      <c r="F12" s="125" t="s">
        <v>114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139</v>
      </c>
      <c r="B13" s="123" t="s">
        <v>140</v>
      </c>
      <c r="C13" s="124">
        <v>0.7</v>
      </c>
      <c r="D13" s="124" t="s">
        <v>113</v>
      </c>
      <c r="E13" s="124">
        <v>1.56</v>
      </c>
      <c r="F13" s="125" t="s">
        <v>114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141</v>
      </c>
      <c r="B14" s="123" t="s">
        <v>142</v>
      </c>
      <c r="C14" s="124">
        <v>0.54</v>
      </c>
      <c r="D14" s="124" t="s">
        <v>113</v>
      </c>
      <c r="E14" s="124">
        <v>1.56</v>
      </c>
      <c r="F14" s="125" t="s">
        <v>114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143</v>
      </c>
      <c r="B15" s="123" t="s">
        <v>144</v>
      </c>
      <c r="C15" s="124">
        <v>0.65</v>
      </c>
      <c r="D15" s="124" t="s">
        <v>113</v>
      </c>
      <c r="E15" s="124">
        <v>1.56</v>
      </c>
      <c r="F15" s="125" t="s">
        <v>114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145</v>
      </c>
      <c r="B16" s="123" t="s">
        <v>146</v>
      </c>
      <c r="C16" s="124">
        <v>0.56000000000000005</v>
      </c>
      <c r="D16" s="124" t="s">
        <v>113</v>
      </c>
      <c r="E16" s="124">
        <v>1.56</v>
      </c>
      <c r="F16" s="125" t="s">
        <v>114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147</v>
      </c>
      <c r="B17" s="123" t="s">
        <v>148</v>
      </c>
      <c r="C17" s="124">
        <v>0.57999999999999996</v>
      </c>
      <c r="D17" s="124" t="s">
        <v>113</v>
      </c>
      <c r="E17" s="124">
        <v>1.56</v>
      </c>
      <c r="F17" s="125" t="s">
        <v>114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149</v>
      </c>
      <c r="B18" s="123" t="s">
        <v>150</v>
      </c>
      <c r="C18" s="124">
        <v>0.64</v>
      </c>
      <c r="D18" s="124" t="s">
        <v>113</v>
      </c>
      <c r="E18" s="124">
        <v>1.56</v>
      </c>
      <c r="F18" s="125" t="s">
        <v>114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151</v>
      </c>
      <c r="B19" s="123" t="s">
        <v>152</v>
      </c>
      <c r="C19" s="124">
        <v>0.73</v>
      </c>
      <c r="D19" s="124" t="s">
        <v>113</v>
      </c>
      <c r="E19" s="124">
        <v>1.56</v>
      </c>
      <c r="F19" s="125" t="s">
        <v>114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153</v>
      </c>
      <c r="B20" s="123" t="s">
        <v>154</v>
      </c>
      <c r="C20" s="124">
        <v>0.69</v>
      </c>
      <c r="D20" s="124" t="s">
        <v>155</v>
      </c>
      <c r="E20" s="124">
        <v>1.56</v>
      </c>
      <c r="F20" s="125" t="s">
        <v>114</v>
      </c>
      <c r="G20" s="126">
        <v>0.43</v>
      </c>
      <c r="H20" s="124" t="s">
        <v>156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157</v>
      </c>
      <c r="B21" s="123" t="s">
        <v>158</v>
      </c>
      <c r="C21" s="124">
        <v>0.36</v>
      </c>
      <c r="D21" s="124" t="s">
        <v>113</v>
      </c>
      <c r="E21" s="124">
        <v>1.3</v>
      </c>
      <c r="F21" s="125" t="s">
        <v>114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159</v>
      </c>
      <c r="B22" s="123" t="s">
        <v>160</v>
      </c>
      <c r="C22" s="124">
        <v>0.4</v>
      </c>
      <c r="D22" s="124" t="s">
        <v>113</v>
      </c>
      <c r="E22" s="124">
        <v>1.3</v>
      </c>
      <c r="F22" s="125" t="s">
        <v>114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16</v>
      </c>
      <c r="B23" s="123" t="s">
        <v>161</v>
      </c>
      <c r="C23" s="124">
        <v>0.43</v>
      </c>
      <c r="D23" s="124" t="s">
        <v>113</v>
      </c>
      <c r="E23" s="124">
        <v>1.3</v>
      </c>
      <c r="F23" s="125" t="s">
        <v>114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162</v>
      </c>
      <c r="B24" s="123" t="s">
        <v>163</v>
      </c>
      <c r="C24" s="124">
        <v>0.37</v>
      </c>
      <c r="D24" s="124" t="s">
        <v>113</v>
      </c>
      <c r="E24" s="124">
        <v>1.3</v>
      </c>
      <c r="F24" s="125" t="s">
        <v>114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164</v>
      </c>
      <c r="B25" s="123" t="s">
        <v>165</v>
      </c>
      <c r="C25" s="124">
        <v>0.36</v>
      </c>
      <c r="D25" s="124" t="s">
        <v>113</v>
      </c>
      <c r="E25" s="124">
        <v>1.3</v>
      </c>
      <c r="F25" s="125" t="s">
        <v>114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166</v>
      </c>
      <c r="B26" s="123" t="s">
        <v>167</v>
      </c>
      <c r="C26" s="124">
        <v>0.56000000000000005</v>
      </c>
      <c r="D26" s="124" t="s">
        <v>113</v>
      </c>
      <c r="E26" s="124">
        <v>1.56</v>
      </c>
      <c r="F26" s="125" t="s">
        <v>114</v>
      </c>
      <c r="G26" s="126">
        <v>0.53</v>
      </c>
      <c r="H26" s="124" t="s">
        <v>168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169</v>
      </c>
      <c r="B27" s="123" t="s">
        <v>170</v>
      </c>
      <c r="C27" s="124">
        <v>0.51</v>
      </c>
      <c r="D27" s="124" t="s">
        <v>113</v>
      </c>
      <c r="E27" s="124">
        <v>1.56</v>
      </c>
      <c r="F27" s="125" t="s">
        <v>114</v>
      </c>
      <c r="G27" s="126">
        <v>0.53</v>
      </c>
      <c r="H27" s="124" t="s">
        <v>168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171</v>
      </c>
      <c r="B28" s="123" t="s">
        <v>172</v>
      </c>
      <c r="C28" s="124">
        <v>0.51</v>
      </c>
      <c r="D28" s="124" t="s">
        <v>113</v>
      </c>
      <c r="E28" s="124">
        <v>1.56</v>
      </c>
      <c r="F28" s="125" t="s">
        <v>114</v>
      </c>
      <c r="G28" s="126">
        <v>0.53</v>
      </c>
      <c r="H28" s="124" t="s">
        <v>168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173</v>
      </c>
      <c r="B29" s="123" t="s">
        <v>173</v>
      </c>
      <c r="C29" s="124">
        <v>0.56000000000000005</v>
      </c>
      <c r="D29" s="124" t="s">
        <v>113</v>
      </c>
      <c r="E29" s="124">
        <v>1.56</v>
      </c>
      <c r="F29" s="125" t="s">
        <v>114</v>
      </c>
      <c r="G29" s="126">
        <v>0.53</v>
      </c>
      <c r="H29" s="124" t="s">
        <v>168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174</v>
      </c>
      <c r="B30" s="123" t="s">
        <v>175</v>
      </c>
      <c r="C30" s="124">
        <v>0.55000000000000004</v>
      </c>
      <c r="D30" s="124" t="s">
        <v>113</v>
      </c>
      <c r="E30" s="124">
        <v>1.56</v>
      </c>
      <c r="F30" s="125" t="s">
        <v>114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176</v>
      </c>
      <c r="B31" s="123" t="s">
        <v>177</v>
      </c>
      <c r="C31" s="124">
        <v>0.56000000000000005</v>
      </c>
      <c r="D31" s="124" t="s">
        <v>113</v>
      </c>
      <c r="E31" s="124">
        <v>1.56</v>
      </c>
      <c r="F31" s="125" t="s">
        <v>114</v>
      </c>
      <c r="G31" s="126">
        <v>0.43</v>
      </c>
      <c r="H31" s="124" t="s">
        <v>115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178</v>
      </c>
      <c r="B32" s="123" t="s">
        <v>179</v>
      </c>
      <c r="C32" s="124">
        <v>0.48</v>
      </c>
      <c r="D32" s="124" t="s">
        <v>113</v>
      </c>
      <c r="E32" s="124">
        <v>1.3</v>
      </c>
      <c r="F32" s="125" t="s">
        <v>114</v>
      </c>
      <c r="G32" s="126">
        <v>0.6</v>
      </c>
      <c r="H32" s="124" t="s">
        <v>180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181</v>
      </c>
      <c r="B33" s="123" t="s">
        <v>182</v>
      </c>
      <c r="C33" s="124">
        <v>0.42</v>
      </c>
      <c r="D33" s="124" t="s">
        <v>113</v>
      </c>
      <c r="E33" s="124">
        <v>1.3</v>
      </c>
      <c r="F33" s="125" t="s">
        <v>114</v>
      </c>
      <c r="G33" s="126">
        <v>0.6</v>
      </c>
      <c r="H33" s="124" t="s">
        <v>180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183</v>
      </c>
      <c r="B34" s="123" t="s">
        <v>184</v>
      </c>
      <c r="C34" s="124">
        <v>0.42</v>
      </c>
      <c r="D34" s="124" t="s">
        <v>185</v>
      </c>
      <c r="E34" s="124">
        <v>1.3</v>
      </c>
      <c r="F34" s="125" t="s">
        <v>114</v>
      </c>
      <c r="G34" s="126">
        <v>0.6</v>
      </c>
      <c r="H34" s="123" t="s">
        <v>186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187</v>
      </c>
      <c r="B35" s="123" t="s">
        <v>188</v>
      </c>
      <c r="C35" s="124">
        <v>0.5</v>
      </c>
      <c r="D35" s="124" t="s">
        <v>113</v>
      </c>
      <c r="E35" s="124">
        <v>1.56</v>
      </c>
      <c r="F35" s="125" t="s">
        <v>114</v>
      </c>
      <c r="G35" s="126">
        <v>0.43</v>
      </c>
      <c r="H35" s="124" t="s">
        <v>115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189</v>
      </c>
      <c r="B36" s="123" t="s">
        <v>190</v>
      </c>
      <c r="C36" s="124">
        <v>0.55000000000000004</v>
      </c>
      <c r="D36" s="124" t="s">
        <v>113</v>
      </c>
      <c r="E36" s="124">
        <v>1.56</v>
      </c>
      <c r="F36" s="125" t="s">
        <v>114</v>
      </c>
      <c r="G36" s="126">
        <v>0.53</v>
      </c>
      <c r="H36" s="124" t="s">
        <v>168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191</v>
      </c>
      <c r="B37" s="123" t="s">
        <v>192</v>
      </c>
      <c r="C37" s="124">
        <v>0.52</v>
      </c>
      <c r="D37" s="124" t="s">
        <v>113</v>
      </c>
      <c r="E37" s="124">
        <v>1.56</v>
      </c>
      <c r="F37" s="125" t="s">
        <v>114</v>
      </c>
      <c r="G37" s="126">
        <v>0.53</v>
      </c>
      <c r="H37" s="124" t="s">
        <v>168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193</v>
      </c>
      <c r="B38" s="123" t="s">
        <v>194</v>
      </c>
      <c r="C38" s="124">
        <v>0.52</v>
      </c>
      <c r="D38" s="124" t="s">
        <v>113</v>
      </c>
      <c r="E38" s="124">
        <v>1.56</v>
      </c>
      <c r="F38" s="125" t="s">
        <v>114</v>
      </c>
      <c r="G38" s="126">
        <v>0.43</v>
      </c>
      <c r="H38" s="124" t="s">
        <v>115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195</v>
      </c>
      <c r="B39" s="123" t="s">
        <v>196</v>
      </c>
      <c r="C39" s="124">
        <v>0.313</v>
      </c>
      <c r="D39" s="124" t="s">
        <v>197</v>
      </c>
      <c r="E39" s="124">
        <v>1.56</v>
      </c>
      <c r="F39" s="125" t="s">
        <v>114</v>
      </c>
      <c r="G39" s="126">
        <v>0.6</v>
      </c>
      <c r="H39" s="124" t="s">
        <v>198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199</v>
      </c>
      <c r="B40" s="123" t="s">
        <v>196</v>
      </c>
      <c r="C40" s="124">
        <v>0.35199999999999998</v>
      </c>
      <c r="D40" s="124" t="s">
        <v>197</v>
      </c>
      <c r="E40" s="124">
        <v>1.56</v>
      </c>
      <c r="F40" s="125" t="s">
        <v>114</v>
      </c>
      <c r="G40" s="126">
        <v>0.6</v>
      </c>
      <c r="H40" s="124" t="s">
        <v>198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200</v>
      </c>
      <c r="B41" s="123" t="s">
        <v>196</v>
      </c>
      <c r="C41" s="124">
        <v>0.32200000000000001</v>
      </c>
      <c r="D41" s="124" t="s">
        <v>197</v>
      </c>
      <c r="E41" s="124">
        <v>1.56</v>
      </c>
      <c r="F41" s="125" t="s">
        <v>114</v>
      </c>
      <c r="G41" s="126">
        <v>0.6</v>
      </c>
      <c r="H41" s="124" t="s">
        <v>198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201</v>
      </c>
      <c r="B42" s="123" t="s">
        <v>196</v>
      </c>
      <c r="C42" s="124">
        <v>0.311</v>
      </c>
      <c r="D42" s="124" t="s">
        <v>197</v>
      </c>
      <c r="E42" s="124">
        <v>1.56</v>
      </c>
      <c r="F42" s="125" t="s">
        <v>114</v>
      </c>
      <c r="G42" s="126">
        <v>0.6</v>
      </c>
      <c r="H42" s="124" t="s">
        <v>198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202</v>
      </c>
      <c r="B43" s="123" t="s">
        <v>196</v>
      </c>
      <c r="C43" s="124">
        <v>0.33900000000000002</v>
      </c>
      <c r="D43" s="124" t="s">
        <v>197</v>
      </c>
      <c r="E43" s="124">
        <v>1.56</v>
      </c>
      <c r="F43" s="125" t="s">
        <v>114</v>
      </c>
      <c r="G43" s="126">
        <v>0.6</v>
      </c>
      <c r="H43" s="124" t="s">
        <v>198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203</v>
      </c>
      <c r="B44" s="123" t="s">
        <v>196</v>
      </c>
      <c r="C44" s="124">
        <v>0.33600000000000002</v>
      </c>
      <c r="D44" s="124" t="s">
        <v>197</v>
      </c>
      <c r="E44" s="124">
        <v>1.56</v>
      </c>
      <c r="F44" s="125" t="s">
        <v>114</v>
      </c>
      <c r="G44" s="126">
        <v>0.6</v>
      </c>
      <c r="H44" s="124" t="s">
        <v>198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204</v>
      </c>
      <c r="B45" s="123" t="s">
        <v>196</v>
      </c>
      <c r="C45" s="124">
        <v>0.32900000000000001</v>
      </c>
      <c r="D45" s="124" t="s">
        <v>197</v>
      </c>
      <c r="E45" s="124">
        <v>1.56</v>
      </c>
      <c r="F45" s="125" t="s">
        <v>114</v>
      </c>
      <c r="G45" s="126">
        <v>0.6</v>
      </c>
      <c r="H45" s="124" t="s">
        <v>198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205</v>
      </c>
      <c r="B46" s="123" t="s">
        <v>196</v>
      </c>
      <c r="C46" s="124">
        <v>0.34300000000000003</v>
      </c>
      <c r="D46" s="124" t="s">
        <v>197</v>
      </c>
      <c r="E46" s="124">
        <v>1.56</v>
      </c>
      <c r="F46" s="125" t="s">
        <v>114</v>
      </c>
      <c r="G46" s="126">
        <v>0.6</v>
      </c>
      <c r="H46" s="124" t="s">
        <v>198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206</v>
      </c>
      <c r="B47" s="123" t="s">
        <v>196</v>
      </c>
      <c r="C47" s="124">
        <v>0.32500000000000001</v>
      </c>
      <c r="D47" s="124" t="s">
        <v>197</v>
      </c>
      <c r="E47" s="124">
        <v>1.56</v>
      </c>
      <c r="F47" s="125" t="s">
        <v>114</v>
      </c>
      <c r="G47" s="126">
        <v>0.6</v>
      </c>
      <c r="H47" s="124" t="s">
        <v>198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207</v>
      </c>
      <c r="B48" s="123" t="s">
        <v>196</v>
      </c>
      <c r="C48" s="124">
        <v>0.32</v>
      </c>
      <c r="D48" s="124" t="s">
        <v>197</v>
      </c>
      <c r="E48" s="124">
        <v>1.56</v>
      </c>
      <c r="F48" s="125" t="s">
        <v>114</v>
      </c>
      <c r="G48" s="126">
        <v>0.6</v>
      </c>
      <c r="H48" s="124" t="s">
        <v>198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208</v>
      </c>
      <c r="B49" s="123" t="s">
        <v>196</v>
      </c>
      <c r="C49" s="124">
        <v>0.28199999999999997</v>
      </c>
      <c r="D49" s="124" t="s">
        <v>197</v>
      </c>
      <c r="E49" s="124">
        <v>1.56</v>
      </c>
      <c r="F49" s="125" t="s">
        <v>114</v>
      </c>
      <c r="G49" s="126">
        <v>0.6</v>
      </c>
      <c r="H49" s="124" t="s">
        <v>198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209</v>
      </c>
      <c r="B50" s="123" t="s">
        <v>196</v>
      </c>
      <c r="C50" s="124">
        <v>0.32800000000000001</v>
      </c>
      <c r="D50" s="124" t="s">
        <v>197</v>
      </c>
      <c r="E50" s="124">
        <v>1.56</v>
      </c>
      <c r="F50" s="125" t="s">
        <v>114</v>
      </c>
      <c r="G50" s="126">
        <v>0.6</v>
      </c>
      <c r="H50" s="124" t="s">
        <v>198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210</v>
      </c>
      <c r="B51" s="123" t="s">
        <v>196</v>
      </c>
      <c r="C51" s="124">
        <v>0.32600000000000001</v>
      </c>
      <c r="D51" s="124" t="s">
        <v>197</v>
      </c>
      <c r="E51" s="124">
        <v>1.56</v>
      </c>
      <c r="F51" s="125" t="s">
        <v>114</v>
      </c>
      <c r="G51" s="126">
        <v>0.6</v>
      </c>
      <c r="H51" s="124" t="s">
        <v>198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211</v>
      </c>
      <c r="B52" s="123" t="s">
        <v>196</v>
      </c>
      <c r="C52" s="124">
        <v>0.35899999999999999</v>
      </c>
      <c r="D52" s="124" t="s">
        <v>197</v>
      </c>
      <c r="E52" s="124">
        <v>1.56</v>
      </c>
      <c r="F52" s="125" t="s">
        <v>114</v>
      </c>
      <c r="G52" s="126">
        <v>0.6</v>
      </c>
      <c r="H52" s="124" t="s">
        <v>198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212</v>
      </c>
      <c r="B53" s="123" t="s">
        <v>196</v>
      </c>
      <c r="C53" s="124">
        <v>0.34599999999999997</v>
      </c>
      <c r="D53" s="124" t="s">
        <v>197</v>
      </c>
      <c r="E53" s="124">
        <v>1.56</v>
      </c>
      <c r="F53" s="125" t="s">
        <v>114</v>
      </c>
      <c r="G53" s="126">
        <v>0.6</v>
      </c>
      <c r="H53" s="124" t="s">
        <v>198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213</v>
      </c>
      <c r="B54" s="123" t="s">
        <v>196</v>
      </c>
      <c r="C54" s="124">
        <v>0.32600000000000001</v>
      </c>
      <c r="D54" s="124" t="s">
        <v>197</v>
      </c>
      <c r="E54" s="124">
        <v>1.56</v>
      </c>
      <c r="F54" s="125" t="s">
        <v>114</v>
      </c>
      <c r="G54" s="126">
        <v>0.6</v>
      </c>
      <c r="H54" s="124" t="s">
        <v>198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214</v>
      </c>
      <c r="B55" s="123" t="s">
        <v>196</v>
      </c>
      <c r="C55" s="124">
        <v>0.30499999999999999</v>
      </c>
      <c r="D55" s="124" t="s">
        <v>197</v>
      </c>
      <c r="E55" s="124">
        <v>1.56</v>
      </c>
      <c r="F55" s="125" t="s">
        <v>114</v>
      </c>
      <c r="G55" s="126">
        <v>0.6</v>
      </c>
      <c r="H55" s="124" t="s">
        <v>198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215</v>
      </c>
      <c r="B56" s="123" t="s">
        <v>196</v>
      </c>
      <c r="C56" s="124">
        <v>0.32300000000000001</v>
      </c>
      <c r="D56" s="124" t="s">
        <v>197</v>
      </c>
      <c r="E56" s="124">
        <v>1.56</v>
      </c>
      <c r="F56" s="125" t="s">
        <v>114</v>
      </c>
      <c r="G56" s="126">
        <v>0.6</v>
      </c>
      <c r="H56" s="124" t="s">
        <v>198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216</v>
      </c>
      <c r="B57" s="123" t="s">
        <v>196</v>
      </c>
      <c r="C57" s="124">
        <v>0.36699999999999999</v>
      </c>
      <c r="D57" s="124" t="s">
        <v>197</v>
      </c>
      <c r="E57" s="124">
        <v>1.56</v>
      </c>
      <c r="F57" s="125" t="s">
        <v>114</v>
      </c>
      <c r="G57" s="126">
        <v>0.6</v>
      </c>
      <c r="H57" s="124" t="s">
        <v>198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217</v>
      </c>
      <c r="B58" s="123" t="s">
        <v>196</v>
      </c>
      <c r="C58" s="124">
        <v>0.36</v>
      </c>
      <c r="D58" s="124" t="s">
        <v>197</v>
      </c>
      <c r="E58" s="124">
        <v>1.56</v>
      </c>
      <c r="F58" s="125" t="s">
        <v>114</v>
      </c>
      <c r="G58" s="126">
        <v>0.6</v>
      </c>
      <c r="H58" s="124" t="s">
        <v>198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218</v>
      </c>
      <c r="B59" s="123" t="s">
        <v>196</v>
      </c>
      <c r="C59" s="124">
        <v>0.36799999999999999</v>
      </c>
      <c r="D59" s="124" t="s">
        <v>197</v>
      </c>
      <c r="E59" s="124">
        <v>1.56</v>
      </c>
      <c r="F59" s="125" t="s">
        <v>114</v>
      </c>
      <c r="G59" s="126">
        <v>0.6</v>
      </c>
      <c r="H59" s="124" t="s">
        <v>198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219</v>
      </c>
      <c r="B60" s="123" t="s">
        <v>196</v>
      </c>
      <c r="C60" s="124">
        <v>0.30599999999999999</v>
      </c>
      <c r="D60" s="124" t="s">
        <v>197</v>
      </c>
      <c r="E60" s="124">
        <v>1.56</v>
      </c>
      <c r="F60" s="125" t="s">
        <v>114</v>
      </c>
      <c r="G60" s="126">
        <v>0.6</v>
      </c>
      <c r="H60" s="124" t="s">
        <v>198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220</v>
      </c>
      <c r="B61" s="123" t="s">
        <v>196</v>
      </c>
      <c r="C61" s="124">
        <v>0.313</v>
      </c>
      <c r="D61" s="124" t="s">
        <v>197</v>
      </c>
      <c r="E61" s="124">
        <v>1.56</v>
      </c>
      <c r="F61" s="125" t="s">
        <v>114</v>
      </c>
      <c r="G61" s="126">
        <v>0.6</v>
      </c>
      <c r="H61" s="124" t="s">
        <v>198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221</v>
      </c>
      <c r="B62" s="123" t="s">
        <v>222</v>
      </c>
      <c r="C62" s="124">
        <v>0.37</v>
      </c>
      <c r="D62" s="124" t="s">
        <v>113</v>
      </c>
      <c r="E62" s="124">
        <v>1.56</v>
      </c>
      <c r="F62" s="125" t="s">
        <v>114</v>
      </c>
      <c r="G62" s="126">
        <v>0.6</v>
      </c>
      <c r="H62" s="124" t="s">
        <v>198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223</v>
      </c>
      <c r="B63" s="123" t="s">
        <v>224</v>
      </c>
      <c r="C63" s="124">
        <v>0.45</v>
      </c>
      <c r="D63" s="124" t="s">
        <v>113</v>
      </c>
      <c r="E63" s="124">
        <v>1.3</v>
      </c>
      <c r="F63" s="125" t="s">
        <v>114</v>
      </c>
      <c r="G63" s="126">
        <v>0.45</v>
      </c>
      <c r="H63" s="124" t="s">
        <v>225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226</v>
      </c>
      <c r="B64" s="123" t="s">
        <v>227</v>
      </c>
      <c r="C64" s="124">
        <v>0.39</v>
      </c>
      <c r="D64" s="124" t="s">
        <v>113</v>
      </c>
      <c r="E64" s="124">
        <v>1.3</v>
      </c>
      <c r="F64" s="125" t="s">
        <v>114</v>
      </c>
      <c r="G64" s="126">
        <v>0.45</v>
      </c>
      <c r="H64" s="124" t="s">
        <v>225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228</v>
      </c>
      <c r="B65" s="123" t="s">
        <v>229</v>
      </c>
      <c r="C65" s="124">
        <v>0.44</v>
      </c>
      <c r="D65" s="124" t="s">
        <v>113</v>
      </c>
      <c r="E65" s="124">
        <v>1.3</v>
      </c>
      <c r="F65" s="125" t="s">
        <v>114</v>
      </c>
      <c r="G65" s="126">
        <v>0.45</v>
      </c>
      <c r="H65" s="124" t="s">
        <v>225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19</v>
      </c>
      <c r="B66" s="123" t="s">
        <v>230</v>
      </c>
      <c r="C66" s="124">
        <v>0.46</v>
      </c>
      <c r="D66" s="124" t="s">
        <v>113</v>
      </c>
      <c r="E66" s="124">
        <v>1.3</v>
      </c>
      <c r="F66" s="125" t="s">
        <v>114</v>
      </c>
      <c r="G66" s="126">
        <v>0.45</v>
      </c>
      <c r="H66" s="124" t="s">
        <v>225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231</v>
      </c>
      <c r="B67" s="123" t="s">
        <v>232</v>
      </c>
      <c r="C67" s="124">
        <v>0.46</v>
      </c>
      <c r="D67" s="124" t="s">
        <v>113</v>
      </c>
      <c r="E67" s="124">
        <v>1.3</v>
      </c>
      <c r="F67" s="125" t="s">
        <v>114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233</v>
      </c>
      <c r="B68" s="123" t="s">
        <v>234</v>
      </c>
      <c r="C68" s="124">
        <v>0.44</v>
      </c>
      <c r="D68" s="124" t="s">
        <v>113</v>
      </c>
      <c r="E68" s="124">
        <v>1.3</v>
      </c>
      <c r="F68" s="125" t="s">
        <v>114</v>
      </c>
      <c r="G68" s="126">
        <v>0.45</v>
      </c>
      <c r="H68" s="124" t="s">
        <v>225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21</v>
      </c>
      <c r="B69" s="123" t="s">
        <v>235</v>
      </c>
      <c r="C69" s="124">
        <v>0.46</v>
      </c>
      <c r="D69" s="124" t="s">
        <v>113</v>
      </c>
      <c r="E69" s="124">
        <v>1.3</v>
      </c>
      <c r="F69" s="125" t="s">
        <v>114</v>
      </c>
      <c r="G69" s="126">
        <v>0.45</v>
      </c>
      <c r="H69" s="124" t="s">
        <v>225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236</v>
      </c>
      <c r="B70" s="123" t="s">
        <v>237</v>
      </c>
      <c r="C70" s="124">
        <v>0.48</v>
      </c>
      <c r="D70" s="124" t="s">
        <v>113</v>
      </c>
      <c r="E70" s="124">
        <v>2.4</v>
      </c>
      <c r="F70" s="124" t="s">
        <v>238</v>
      </c>
      <c r="G70" s="126">
        <v>0.45</v>
      </c>
      <c r="H70" s="124" t="s">
        <v>225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114</v>
      </c>
      <c r="G71" s="126">
        <v>0.45</v>
      </c>
      <c r="H71" s="124" t="s">
        <v>225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242</v>
      </c>
      <c r="B72" s="123" t="s">
        <v>243</v>
      </c>
      <c r="C72" s="124">
        <v>0.44</v>
      </c>
      <c r="D72" s="124" t="s">
        <v>113</v>
      </c>
      <c r="E72" s="124">
        <v>1.3</v>
      </c>
      <c r="F72" s="125" t="s">
        <v>114</v>
      </c>
      <c r="G72" s="126">
        <v>0.45</v>
      </c>
      <c r="H72" s="124" t="s">
        <v>225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114</v>
      </c>
      <c r="G73" s="126">
        <v>0.45</v>
      </c>
      <c r="H73" s="124" t="s">
        <v>225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247</v>
      </c>
      <c r="B74" s="123" t="s">
        <v>248</v>
      </c>
      <c r="C74" s="124">
        <v>0.34</v>
      </c>
      <c r="D74" s="124" t="s">
        <v>113</v>
      </c>
      <c r="E74" s="124">
        <v>1.3</v>
      </c>
      <c r="F74" s="125" t="s">
        <v>114</v>
      </c>
      <c r="G74" s="126">
        <v>0.45</v>
      </c>
      <c r="H74" s="124" t="s">
        <v>225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249</v>
      </c>
      <c r="B75" s="123" t="s">
        <v>250</v>
      </c>
      <c r="C75" s="124">
        <v>0.5</v>
      </c>
      <c r="D75" s="124" t="s">
        <v>113</v>
      </c>
      <c r="E75" s="124">
        <v>1.56</v>
      </c>
      <c r="F75" s="125" t="s">
        <v>114</v>
      </c>
      <c r="G75" s="126">
        <v>0.53</v>
      </c>
      <c r="H75" s="124" t="s">
        <v>168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251</v>
      </c>
      <c r="B76" s="123" t="s">
        <v>252</v>
      </c>
      <c r="C76" s="124">
        <v>0.57999999999999996</v>
      </c>
      <c r="D76" s="124" t="s">
        <v>113</v>
      </c>
      <c r="E76" s="124">
        <v>1.56</v>
      </c>
      <c r="F76" s="125" t="s">
        <v>114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254</v>
      </c>
      <c r="B77" s="123" t="s">
        <v>255</v>
      </c>
      <c r="C77" s="124">
        <v>0.37</v>
      </c>
      <c r="D77" s="124" t="s">
        <v>113</v>
      </c>
      <c r="E77" s="124">
        <v>1.3</v>
      </c>
      <c r="F77" s="125" t="s">
        <v>114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256</v>
      </c>
      <c r="B78" s="123" t="s">
        <v>257</v>
      </c>
      <c r="C78" s="124">
        <v>0.37</v>
      </c>
      <c r="D78" s="124" t="s">
        <v>113</v>
      </c>
      <c r="E78" s="124">
        <v>1.3</v>
      </c>
      <c r="F78" s="125" t="s">
        <v>114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258</v>
      </c>
      <c r="B79" s="123" t="s">
        <v>259</v>
      </c>
      <c r="C79" s="124">
        <v>0.38</v>
      </c>
      <c r="D79" s="124" t="s">
        <v>113</v>
      </c>
      <c r="E79" s="124">
        <v>1.3</v>
      </c>
      <c r="F79" s="125" t="s">
        <v>114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260</v>
      </c>
      <c r="B80" s="123" t="s">
        <v>261</v>
      </c>
      <c r="C80" s="124">
        <v>0.36</v>
      </c>
      <c r="D80" s="124" t="s">
        <v>113</v>
      </c>
      <c r="E80" s="124">
        <v>1.3</v>
      </c>
      <c r="F80" s="125" t="s">
        <v>114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262</v>
      </c>
      <c r="B81" s="123" t="s">
        <v>263</v>
      </c>
      <c r="C81" s="124">
        <v>0.37</v>
      </c>
      <c r="D81" s="124" t="s">
        <v>113</v>
      </c>
      <c r="E81" s="124">
        <v>1.56</v>
      </c>
      <c r="F81" s="125" t="s">
        <v>114</v>
      </c>
      <c r="G81" s="126">
        <v>0.43</v>
      </c>
      <c r="H81" s="124" t="s">
        <v>115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114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267</v>
      </c>
      <c r="B83" s="123" t="s">
        <v>268</v>
      </c>
      <c r="C83" s="124">
        <v>0.34</v>
      </c>
      <c r="D83" s="124" t="s">
        <v>113</v>
      </c>
      <c r="E83" s="124">
        <v>1.3</v>
      </c>
      <c r="F83" s="125" t="s">
        <v>114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269</v>
      </c>
      <c r="B84" s="123" t="s">
        <v>270</v>
      </c>
      <c r="C84" s="124">
        <v>0.31</v>
      </c>
      <c r="D84" s="124" t="s">
        <v>113</v>
      </c>
      <c r="E84" s="124">
        <v>1.3</v>
      </c>
      <c r="F84" s="125" t="s">
        <v>114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271</v>
      </c>
      <c r="B85" s="123" t="s">
        <v>272</v>
      </c>
      <c r="C85" s="124">
        <v>0.43</v>
      </c>
      <c r="D85" s="124" t="s">
        <v>113</v>
      </c>
      <c r="E85" s="124">
        <v>1.56</v>
      </c>
      <c r="F85" s="125" t="s">
        <v>114</v>
      </c>
      <c r="G85" s="126">
        <v>0.53</v>
      </c>
      <c r="H85" s="124" t="s">
        <v>168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273</v>
      </c>
      <c r="B86" s="123" t="s">
        <v>274</v>
      </c>
      <c r="C86" s="124">
        <v>0.38</v>
      </c>
      <c r="D86" s="124" t="s">
        <v>113</v>
      </c>
      <c r="E86" s="124">
        <v>1.56</v>
      </c>
      <c r="F86" s="125" t="s">
        <v>114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114</v>
      </c>
      <c r="G87" s="255">
        <v>0.43</v>
      </c>
      <c r="H87" s="253" t="s">
        <v>115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73</v>
      </c>
      <c r="B88" s="130"/>
      <c r="C88" s="124">
        <v>0.42</v>
      </c>
      <c r="D88" s="124" t="s">
        <v>113</v>
      </c>
      <c r="E88" s="124">
        <v>1.3</v>
      </c>
      <c r="F88" s="125" t="s">
        <v>114</v>
      </c>
      <c r="G88" s="131"/>
      <c r="H88" s="130"/>
      <c r="I88" s="132"/>
    </row>
    <row r="89" spans="1:14" ht="15.75" thickBot="1" x14ac:dyDescent="0.3">
      <c r="A89" s="133" t="s">
        <v>279</v>
      </c>
      <c r="B89" s="134"/>
      <c r="C89" s="135">
        <v>0.56999999999999995</v>
      </c>
      <c r="D89" s="136" t="s">
        <v>113</v>
      </c>
      <c r="E89" s="135">
        <v>1.56</v>
      </c>
      <c r="F89" s="135" t="s">
        <v>114</v>
      </c>
      <c r="G89" s="134"/>
      <c r="H89" s="134"/>
      <c r="I89" s="137"/>
    </row>
    <row r="93" spans="1:14" x14ac:dyDescent="0.25">
      <c r="A93" s="122" t="s">
        <v>74</v>
      </c>
    </row>
    <row r="94" spans="1:14" x14ac:dyDescent="0.25">
      <c r="A94" s="122" t="s">
        <v>75</v>
      </c>
    </row>
    <row r="95" spans="1:14" x14ac:dyDescent="0.25">
      <c r="A95" s="122" t="s">
        <v>76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97" t="s">
        <v>280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9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0.81462500000000004</v>
      </c>
      <c r="C6" s="147">
        <f ca="1">IF(OR('Données projet'!B9="",'Données projet'!C9="",'Données projet'!C9=0%),0,Calculateur!S3)</f>
        <v>274.57619581652199</v>
      </c>
      <c r="D6" s="147">
        <f>IF(OR('Données projet'!B9="",'Données projet'!C9="",'Données projet'!C9=0%),0,Calculateur!T3)</f>
        <v>366.15117322598775</v>
      </c>
      <c r="E6" s="147">
        <f ca="1">MIN(C6,D6)</f>
        <v>274.57619581652199</v>
      </c>
      <c r="F6" s="147">
        <f ca="1">E6*B6</f>
        <v>223.67663351703425</v>
      </c>
      <c r="G6" s="147">
        <f ca="1">F6*(100%-'Données projet'!$C$24)*(100%-'Données projet'!$C$25)*(100%-'Données projet'!$C$26)*(100%-'Données projet'!$C$27)</f>
        <v>181.17807314879775</v>
      </c>
      <c r="H6" s="148">
        <f>IF(OR('Données projet'!B9="",'Données projet'!C9="",'Données projet'!C9=0%),0,AVERAGE(Calculateur!$AC$3:$AC$33)*B6)</f>
        <v>9.9485240540238316</v>
      </c>
      <c r="I6" s="149">
        <f>H6*(100%-'Données projet'!$C$24)*(100%-'Données projet'!$C$25)*(100%-'Données projet'!$C$26)*(100%-'Données projet'!$C$27)</f>
        <v>8.0583044837593043</v>
      </c>
      <c r="J6" s="150">
        <f>IF(OR('Données projet'!B9="",'Données projet'!C9="",'Données projet'!C9=0%),0,SUM(Calculateur!$V$3:$V$33)*VLOOKUP('Données projet'!$B$9,Paramètres!$A$1:$I$89,9,0)*B6)</f>
        <v>62.216671057692295</v>
      </c>
      <c r="K6" s="151">
        <f>J6*(100%-'Données projet'!$C$24)*(100%-'Données projet'!$C$25)*(100%-'Données projet'!$C$26)*(100%-'Données projet'!$C$27)</f>
        <v>50.395503556730759</v>
      </c>
      <c r="L6" s="152">
        <f ca="1">G6+I6+K6</f>
        <v>239.63188118928781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0.81462500000000004</v>
      </c>
      <c r="C7" s="147">
        <f ca="1">IF(OR('Données projet'!B10="",'Données projet'!C10="",'Données projet'!C10=0%),0,Calculateur!AN3)</f>
        <v>278.21846622758881</v>
      </c>
      <c r="D7" s="147">
        <f>IF(OR('Données projet'!B10="",'Données projet'!C10="",'Données projet'!C10=0%),0,Calculateur!AO3)</f>
        <v>245.37578316242906</v>
      </c>
      <c r="E7" s="147">
        <f t="shared" ref="E7:E15" ca="1" si="0">MIN(C7,D7)</f>
        <v>245.37578316242906</v>
      </c>
      <c r="F7" s="147">
        <f t="shared" ref="F7:F15" ca="1" si="1">E7*B7</f>
        <v>199.88924735869378</v>
      </c>
      <c r="G7" s="147">
        <f ca="1">F7*(100%-'Données projet'!$C$24)*(100%-'Données projet'!$C$25)*(100%-'Données projet'!$C$26)*(100%-'Données projet'!$C$27)</f>
        <v>161.91029036054198</v>
      </c>
      <c r="H7" s="155">
        <f>IF(OR('Données projet'!B10="",'Données projet'!C10="",'Données projet'!C10=0%),0,AVERAGE(Calculateur!$AX$3:$AX$33)*B7)</f>
        <v>6.7872888189802092</v>
      </c>
      <c r="I7" s="149">
        <f>H7*(100%-'Données projet'!$C$24)*(100%-'Données projet'!$C$25)*(100%-'Données projet'!$C$26)*(100%-'Données projet'!$C$27)</f>
        <v>5.4977039433739696</v>
      </c>
      <c r="J7" s="150">
        <f>IF(OR('Données projet'!B10="",'Données projet'!C10="",'Données projet'!C10=0%),0,SUM(Calculateur!$AQ$3:$AQ$33)*VLOOKUP('Données projet'!$B$10,Paramètres!$A$1:$I$89,9,0)*B7)</f>
        <v>50.029317086538455</v>
      </c>
      <c r="K7" s="151">
        <f>J7*(100%-'Données projet'!$C$24)*(100%-'Données projet'!$C$25)*(100%-'Données projet'!$C$26)*(100%-'Données projet'!$C$27)</f>
        <v>40.523746840096152</v>
      </c>
      <c r="L7" s="152">
        <f t="shared" ref="L7:L15" ca="1" si="2">G7+I7+K7</f>
        <v>207.93174114401211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noir d'Autriche</v>
      </c>
      <c r="B8" s="154">
        <f>'Données projet'!D11</f>
        <v>0.23275000000000001</v>
      </c>
      <c r="C8" s="147">
        <f ca="1">IF(OR('Données projet'!B11="",'Données projet'!C11="",'Données projet'!C11=0%),0,Calculateur!BI3)</f>
        <v>187.18641061466138</v>
      </c>
      <c r="D8" s="147">
        <f>IF(OR('Données projet'!B11="",'Données projet'!C11="",'Données projet'!C11=0%),0,Calculateur!BJ3)</f>
        <v>143.07246221325369</v>
      </c>
      <c r="E8" s="147">
        <f t="shared" ca="1" si="0"/>
        <v>143.07246221325369</v>
      </c>
      <c r="F8" s="147">
        <f t="shared" ca="1" si="1"/>
        <v>33.300115580134801</v>
      </c>
      <c r="G8" s="147">
        <f ca="1">F8*(100%-'Données projet'!$C$24)*(100%-'Données projet'!$C$25)*(100%-'Données projet'!$C$26)*(100%-'Données projet'!$C$27)</f>
        <v>26.973093619909189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26.973093619909189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Cèdre de l'Atlas</v>
      </c>
      <c r="B9" s="154">
        <f>'Données projet'!D12</f>
        <v>0.23275000000000001</v>
      </c>
      <c r="C9" s="147">
        <f ca="1">IF(OR('Données projet'!B12="",'Données projet'!C12="",'Données projet'!C12=0%),0,Calculateur!CD3)</f>
        <v>198.17898804494365</v>
      </c>
      <c r="D9" s="147">
        <f>IF(OR('Données projet'!B12="",'Données projet'!C12="",'Données projet'!C12=0%),0,Calculateur!CE3)</f>
        <v>186.24772922797723</v>
      </c>
      <c r="E9" s="147">
        <f t="shared" ca="1" si="0"/>
        <v>186.24772922797723</v>
      </c>
      <c r="F9" s="147">
        <f t="shared" ca="1" si="1"/>
        <v>43.349158977811705</v>
      </c>
      <c r="G9" s="147">
        <f ca="1">F9*(100%-'Données projet'!$C$24)*(100%-'Données projet'!$C$25)*(100%-'Données projet'!$C$26)*(100%-'Données projet'!$C$27)</f>
        <v>35.112818772027481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35.112818772027481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Châtaignier</v>
      </c>
      <c r="B10" s="154">
        <f>'Données projet'!D13</f>
        <v>0.23275000000000001</v>
      </c>
      <c r="C10" s="147">
        <f ca="1">IF(OR('Données projet'!B13="",'Données projet'!C13="",'Données projet'!C13=0%),0,Calculateur!CY3)</f>
        <v>198.78436129430389</v>
      </c>
      <c r="D10" s="147">
        <f>IF(OR('Données projet'!B13="",'Données projet'!C13="",'Données projet'!C13=0%),0,Calculateur!CZ3)</f>
        <v>198.28846462484438</v>
      </c>
      <c r="E10" s="147">
        <f t="shared" ca="1" si="0"/>
        <v>198.28846462484438</v>
      </c>
      <c r="F10" s="147">
        <f t="shared" ca="1" si="1"/>
        <v>46.15164014143253</v>
      </c>
      <c r="G10" s="147">
        <f ca="1">F10*(100%-'Données projet'!$C$24)*(100%-'Données projet'!$C$25)*(100%-'Données projet'!$C$26)*(100%-'Données projet'!$C$27)</f>
        <v>37.382828514560352</v>
      </c>
      <c r="H10" s="155">
        <f>IF(OR('Données projet'!B13="",'Données projet'!C13="",'Données projet'!C13=0%),0,AVERAGE(Calculateur!$DI$3:$DI$33)*B10)</f>
        <v>5.2726794395893645E-2</v>
      </c>
      <c r="I10" s="149">
        <f>H10*(100%-'Données projet'!$C$24)*(100%-'Données projet'!$C$25)*(100%-'Données projet'!$C$26)*(100%-'Données projet'!$C$27)</f>
        <v>4.2708703460673854E-2</v>
      </c>
      <c r="J10" s="150">
        <f>IF(OR('Données projet'!B13="",'Données projet'!C13="",'Données projet'!C13=0%),0,SUM(Calculateur!$DB$3:$DB$33)*VLOOKUP('Données projet'!$B$13,Paramètres!$A$1:$I$89,9,0)*B10)</f>
        <v>5.7605625000000007</v>
      </c>
      <c r="K10" s="151">
        <f>J10*(100%-'Données projet'!$C$24)*(100%-'Données projet'!$C$25)*(100%-'Données projet'!$C$26)*(100%-'Données projet'!$C$27)</f>
        <v>4.6660556250000012</v>
      </c>
      <c r="L10" s="152">
        <f t="shared" ca="1" si="2"/>
        <v>42.091592843021026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546.36679557510706</v>
      </c>
      <c r="G16" s="166">
        <f t="shared" ca="1" si="3"/>
        <v>442.55710441583676</v>
      </c>
      <c r="H16" s="167">
        <f t="shared" si="3"/>
        <v>16.788539667399935</v>
      </c>
      <c r="I16" s="167">
        <f t="shared" si="3"/>
        <v>13.598717130593949</v>
      </c>
      <c r="J16" s="168">
        <f t="shared" si="3"/>
        <v>118.00655064423076</v>
      </c>
      <c r="K16" s="168">
        <f t="shared" si="3"/>
        <v>95.585306021826909</v>
      </c>
      <c r="L16" s="169">
        <f t="shared" ca="1" si="3"/>
        <v>551.74112756825764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309" t="s">
        <v>291</v>
      </c>
      <c r="G17" s="310"/>
      <c r="H17" s="310"/>
      <c r="I17" s="310"/>
      <c r="J17" s="310"/>
      <c r="K17" s="310"/>
      <c r="L17" s="310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96"/>
      <c r="G18" s="296"/>
      <c r="H18" s="296"/>
      <c r="I18" s="296"/>
      <c r="J18" s="296"/>
      <c r="K18" s="296"/>
      <c r="L18" s="296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noir d'Autriche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Châtaignier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8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97" t="s">
        <v>292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9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83" t="s">
        <v>293</v>
      </c>
      <c r="I4" s="283"/>
      <c r="K4" s="325" t="s">
        <v>294</v>
      </c>
      <c r="L4" s="326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59</v>
      </c>
      <c r="O7" s="247"/>
      <c r="P7" s="248"/>
      <c r="Q7" s="249"/>
      <c r="R7" s="317" t="s">
        <v>295</v>
      </c>
      <c r="S7" s="318"/>
      <c r="T7" s="318"/>
      <c r="U7" s="318"/>
      <c r="V7" s="31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2107.9097110495586</v>
      </c>
      <c r="U10" s="178">
        <f>'Données projet'!D9</f>
        <v>0.81462500000000004</v>
      </c>
      <c r="V10" s="177">
        <f>U10*T10</f>
        <v>1717.1559483637468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-696.82337665413274</v>
      </c>
      <c r="U11" s="178">
        <f>'Données projet'!D10</f>
        <v>0.81462500000000004</v>
      </c>
      <c r="V11" s="177">
        <f t="shared" ref="V11" si="0">U11*T11</f>
        <v>-567.64974320687293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noir d'Autriche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-635.80315162640272</v>
      </c>
      <c r="U12" s="178">
        <f>'Données projet'!D11</f>
        <v>0.23275000000000001</v>
      </c>
      <c r="V12" s="177">
        <f t="shared" ref="V12:V19" si="1">U12*T12</f>
        <v>-147.98318354104524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239.85285958990465</v>
      </c>
      <c r="U13" s="178">
        <f>'Données projet'!D12</f>
        <v>0.23275000000000001</v>
      </c>
      <c r="V13" s="177">
        <f t="shared" si="1"/>
        <v>55.825753069550309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78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Châtaignier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-153.60906460440228</v>
      </c>
      <c r="U14" s="178">
        <f>'Données projet'!D13</f>
        <v>0.23275000000000001</v>
      </c>
      <c r="V14" s="177">
        <f t="shared" si="1"/>
        <v>-35.752509786674629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28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49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28"/>
      <c r="H16" s="190"/>
      <c r="I16" s="191"/>
      <c r="J16" s="202"/>
      <c r="K16" s="208"/>
      <c r="L16" s="325" t="s">
        <v>312</v>
      </c>
      <c r="M16" s="326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196</v>
      </c>
      <c r="C17" s="198" t="s">
        <v>196</v>
      </c>
      <c r="D17" s="197" t="s">
        <v>196</v>
      </c>
      <c r="E17" s="193">
        <f>746.63+372.1</f>
        <v>1118.73</v>
      </c>
      <c r="F17" s="230"/>
      <c r="G17" s="328"/>
      <c r="J17" s="202"/>
      <c r="K17" s="208"/>
      <c r="L17" s="285" t="s">
        <v>313</v>
      </c>
      <c r="M17" s="287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196</v>
      </c>
      <c r="C18" s="198" t="s">
        <v>196</v>
      </c>
      <c r="D18" s="197" t="s">
        <v>196</v>
      </c>
      <c r="E18" s="193">
        <f>424.52/2</f>
        <v>212.26</v>
      </c>
      <c r="F18" s="230"/>
      <c r="G18" s="328"/>
      <c r="J18" s="202"/>
      <c r="K18" s="208"/>
      <c r="L18" s="285" t="s">
        <v>309</v>
      </c>
      <c r="M18" s="287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196</v>
      </c>
      <c r="C19" s="198" t="s">
        <v>196</v>
      </c>
      <c r="D19" s="197" t="s">
        <v>196</v>
      </c>
      <c r="E19" s="193">
        <f>424.52/2</f>
        <v>212.26</v>
      </c>
      <c r="F19" s="230"/>
      <c r="G19" s="328"/>
      <c r="H19" s="212" t="s">
        <v>78</v>
      </c>
      <c r="I19" s="212" t="s">
        <v>314</v>
      </c>
      <c r="J19" s="93"/>
      <c r="K19" s="173"/>
      <c r="L19" s="325" t="s">
        <v>315</v>
      </c>
      <c r="M19" s="326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196</v>
      </c>
      <c r="C20" s="198" t="s">
        <v>196</v>
      </c>
      <c r="D20" s="197" t="s">
        <v>196</v>
      </c>
      <c r="E20" s="193"/>
      <c r="F20" s="230"/>
      <c r="G20" s="328"/>
      <c r="H20" s="190">
        <v>1</v>
      </c>
      <c r="I20" s="191">
        <v>3445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196</v>
      </c>
      <c r="C21" s="198" t="s">
        <v>196</v>
      </c>
      <c r="D21" s="197" t="s">
        <v>196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196</v>
      </c>
      <c r="C22" s="198" t="s">
        <v>196</v>
      </c>
      <c r="D22" s="197" t="s">
        <v>196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18</v>
      </c>
      <c r="B23" s="181">
        <f>'Données projet'!D36</f>
        <v>69.284615384615378</v>
      </c>
      <c r="C23" s="193">
        <v>10</v>
      </c>
      <c r="D23" s="182">
        <f>B23*C23</f>
        <v>692.84615384615381</v>
      </c>
      <c r="E23" s="193">
        <v>150</v>
      </c>
      <c r="F23" s="230"/>
      <c r="H23" s="190"/>
      <c r="I23" s="191"/>
      <c r="K23" s="208"/>
      <c r="L23" s="327" t="s">
        <v>316</v>
      </c>
      <c r="M23" s="327"/>
      <c r="N23" s="327"/>
      <c r="O23" s="23"/>
      <c r="P23" s="23"/>
      <c r="Q23" s="234"/>
      <c r="R23" s="23"/>
      <c r="S23" s="36" t="s">
        <v>317</v>
      </c>
      <c r="T23" s="32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-6651.3582805558426</v>
      </c>
      <c r="U23" s="322"/>
      <c r="V23" s="32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24</v>
      </c>
      <c r="B24" s="181">
        <f>'Données projet'!D37</f>
        <v>42.661538461538463</v>
      </c>
      <c r="C24" s="193">
        <v>10</v>
      </c>
      <c r="D24" s="182">
        <f t="shared" ref="D24:D42" si="2">B24*C24</f>
        <v>426.61538461538464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32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23"/>
      <c r="V24" s="32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65.669230769230765</v>
      </c>
      <c r="C25" s="193">
        <v>18</v>
      </c>
      <c r="D25" s="182">
        <f t="shared" si="2"/>
        <v>1182.0461538461539</v>
      </c>
      <c r="E25" s="193">
        <v>150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324">
        <f ca="1">T23-T24</f>
        <v>-6651.3582805558426</v>
      </c>
      <c r="U25" s="324"/>
      <c r="V25" s="32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36</v>
      </c>
      <c r="B26" s="181">
        <f>'Données projet'!D39</f>
        <v>69.3</v>
      </c>
      <c r="C26" s="193">
        <v>25</v>
      </c>
      <c r="D26" s="182">
        <f t="shared" si="2"/>
        <v>1732.5</v>
      </c>
      <c r="E26" s="193">
        <v>150</v>
      </c>
      <c r="F26" s="233"/>
      <c r="G26" s="229"/>
      <c r="H26" s="190"/>
      <c r="I26" s="191"/>
      <c r="K26" s="208"/>
      <c r="L26" s="311" t="s">
        <v>321</v>
      </c>
      <c r="M26" s="312"/>
      <c r="N26" s="312"/>
      <c r="O26" s="312"/>
      <c r="P26" s="313"/>
      <c r="Q26" s="234"/>
      <c r="R26" s="23"/>
      <c r="S26" s="186" t="s">
        <v>322</v>
      </c>
      <c r="T26" s="321" t="str">
        <f ca="1">IF(T25&lt;0,"Votre projet est additionnel","Votre projet n'est pas additionnel")</f>
        <v>Votre projet est additionnel</v>
      </c>
      <c r="U26" s="321"/>
      <c r="V26" s="32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42</v>
      </c>
      <c r="B27" s="181">
        <f>'Données projet'!D40</f>
        <v>73.392307692307682</v>
      </c>
      <c r="C27" s="193">
        <v>25</v>
      </c>
      <c r="D27" s="182">
        <f t="shared" si="2"/>
        <v>1834.8076923076922</v>
      </c>
      <c r="E27" s="193">
        <v>150</v>
      </c>
      <c r="F27" s="233"/>
      <c r="G27" s="229"/>
      <c r="H27" s="190"/>
      <c r="I27" s="191"/>
      <c r="K27" s="208"/>
      <c r="L27" s="314"/>
      <c r="M27" s="315"/>
      <c r="N27" s="315"/>
      <c r="O27" s="315"/>
      <c r="P27" s="316"/>
      <c r="Q27" s="234"/>
      <c r="R27" s="23"/>
      <c r="S27" s="320" t="s">
        <v>323</v>
      </c>
      <c r="T27" s="320"/>
      <c r="U27" s="320"/>
      <c r="V27" s="32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48</v>
      </c>
      <c r="B28" s="181">
        <f>'Données projet'!D41</f>
        <v>81.330769230769235</v>
      </c>
      <c r="C28" s="193">
        <v>35</v>
      </c>
      <c r="D28" s="182">
        <f t="shared" si="2"/>
        <v>2846.5769230769233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54</v>
      </c>
      <c r="B29" s="181">
        <f>'Données projet'!D42</f>
        <v>566.79999999999995</v>
      </c>
      <c r="C29" s="193">
        <v>40</v>
      </c>
      <c r="D29" s="182">
        <f t="shared" si="2"/>
        <v>22672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78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18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49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196</v>
      </c>
      <c r="C48" s="198" t="s">
        <v>196</v>
      </c>
      <c r="D48" s="197" t="s">
        <v>196</v>
      </c>
      <c r="E48" s="193">
        <f>1144.83+372.1</f>
        <v>1516.9299999999998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196</v>
      </c>
      <c r="C49" s="198" t="s">
        <v>196</v>
      </c>
      <c r="D49" s="197" t="s">
        <v>196</v>
      </c>
      <c r="E49" s="193">
        <f>424.52/2</f>
        <v>212.26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196</v>
      </c>
      <c r="C50" s="198" t="s">
        <v>196</v>
      </c>
      <c r="D50" s="197" t="s">
        <v>196</v>
      </c>
      <c r="E50" s="193">
        <f>424.52/2</f>
        <v>212.26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196</v>
      </c>
      <c r="C51" s="198" t="s">
        <v>196</v>
      </c>
      <c r="D51" s="197" t="s">
        <v>196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196</v>
      </c>
      <c r="C52" s="198" t="s">
        <v>196</v>
      </c>
      <c r="D52" s="197" t="s">
        <v>196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196</v>
      </c>
      <c r="C53" s="198" t="s">
        <v>196</v>
      </c>
      <c r="D53" s="197" t="s">
        <v>196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19</v>
      </c>
      <c r="B54" s="181">
        <f>'Données projet'!D62</f>
        <v>46.53846153846154</v>
      </c>
      <c r="C54" s="191">
        <v>10</v>
      </c>
      <c r="D54" s="179">
        <f>B54*C54</f>
        <v>465.38461538461542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24</v>
      </c>
      <c r="B55" s="181">
        <f>'Données projet'!D63</f>
        <v>40.41538461538461</v>
      </c>
      <c r="C55" s="191">
        <v>10</v>
      </c>
      <c r="D55" s="179">
        <f t="shared" ref="D55:D73" si="4">B55*C55</f>
        <v>404.15384615384608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55.869230769230761</v>
      </c>
      <c r="C56" s="191">
        <v>10</v>
      </c>
      <c r="D56" s="179">
        <f t="shared" si="4"/>
        <v>558.69230769230762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37</v>
      </c>
      <c r="B57" s="181">
        <f>'Données projet'!D65</f>
        <v>43.623076923076923</v>
      </c>
      <c r="C57" s="191">
        <v>15</v>
      </c>
      <c r="D57" s="179">
        <f t="shared" si="4"/>
        <v>654.34615384615381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46</v>
      </c>
      <c r="B58" s="181">
        <f>'Données projet'!D66</f>
        <v>72.561538461538461</v>
      </c>
      <c r="C58" s="191">
        <v>25</v>
      </c>
      <c r="D58" s="179">
        <f t="shared" si="4"/>
        <v>1814.0384615384614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56</v>
      </c>
      <c r="B59" s="181">
        <f>'Données projet'!D67</f>
        <v>60.092307692307692</v>
      </c>
      <c r="C59" s="191">
        <v>25</v>
      </c>
      <c r="D59" s="179">
        <f t="shared" si="4"/>
        <v>1502.3076923076924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66</v>
      </c>
      <c r="B60" s="181">
        <f>'Données projet'!D68</f>
        <v>68.146153846153851</v>
      </c>
      <c r="C60" s="191">
        <v>25</v>
      </c>
      <c r="D60" s="179">
        <f t="shared" si="4"/>
        <v>1703.6538461538462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76</v>
      </c>
      <c r="B61" s="181">
        <f>'Données projet'!D69</f>
        <v>520.22307692307686</v>
      </c>
      <c r="C61" s="191">
        <v>25</v>
      </c>
      <c r="D61" s="179">
        <f t="shared" si="4"/>
        <v>13005.576923076922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20</v>
      </c>
      <c r="B76" s="174" t="str">
        <f>IF('Données projet'!B11="","",'Données projet'!B11)</f>
        <v>Pin noir d'Autriche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49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196</v>
      </c>
      <c r="C79" s="198" t="s">
        <v>196</v>
      </c>
      <c r="D79" s="197" t="s">
        <v>196</v>
      </c>
      <c r="E79" s="193">
        <f>326.37+372.1</f>
        <v>698.47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196</v>
      </c>
      <c r="C80" s="198" t="s">
        <v>196</v>
      </c>
      <c r="D80" s="197" t="s">
        <v>196</v>
      </c>
      <c r="E80" s="193">
        <f>424.52/2</f>
        <v>212.26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196</v>
      </c>
      <c r="C81" s="198" t="s">
        <v>196</v>
      </c>
      <c r="D81" s="197" t="s">
        <v>196</v>
      </c>
      <c r="E81" s="193">
        <f>424.52/2</f>
        <v>212.26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196</v>
      </c>
      <c r="C82" s="198" t="s">
        <v>196</v>
      </c>
      <c r="D82" s="197" t="s">
        <v>196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196</v>
      </c>
      <c r="C83" s="198" t="s">
        <v>196</v>
      </c>
      <c r="D83" s="197" t="s">
        <v>196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196</v>
      </c>
      <c r="C84" s="198" t="s">
        <v>196</v>
      </c>
      <c r="D84" s="197" t="s">
        <v>196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40</v>
      </c>
      <c r="B86" s="181">
        <f>'Données projet'!D89</f>
        <v>65.969230769230776</v>
      </c>
      <c r="C86" s="191">
        <v>10</v>
      </c>
      <c r="D86" s="179">
        <f t="shared" ref="D86:D104" si="6">B86*C86</f>
        <v>659.69230769230774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55</v>
      </c>
      <c r="B87" s="181">
        <f>'Données projet'!D90</f>
        <v>65.053846153846152</v>
      </c>
      <c r="C87" s="191">
        <v>18</v>
      </c>
      <c r="D87" s="179">
        <f t="shared" si="6"/>
        <v>1170.9692307692308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70</v>
      </c>
      <c r="B88" s="181">
        <f>'Données projet'!D91</f>
        <v>62.976923076923079</v>
      </c>
      <c r="C88" s="191">
        <v>25</v>
      </c>
      <c r="D88" s="179">
        <f t="shared" si="6"/>
        <v>1574.4230769230769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80</v>
      </c>
      <c r="B89" s="181">
        <f>'Données projet'!D92</f>
        <v>56.992307692307691</v>
      </c>
      <c r="C89" s="191">
        <v>25</v>
      </c>
      <c r="D89" s="179">
        <f t="shared" si="6"/>
        <v>1424.8076923076924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95</v>
      </c>
      <c r="B90" s="181">
        <f>'Données projet'!D93</f>
        <v>203.73846153846154</v>
      </c>
      <c r="C90" s="191">
        <v>35</v>
      </c>
      <c r="D90" s="179">
        <f t="shared" si="6"/>
        <v>7130.8461538461534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105</v>
      </c>
      <c r="B91" s="181">
        <f>'Données projet'!D94</f>
        <v>213.82307692307694</v>
      </c>
      <c r="C91" s="191">
        <v>35</v>
      </c>
      <c r="D91" s="179">
        <f t="shared" si="6"/>
        <v>7483.8076923076933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>B92*C92</f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>B93*C93</f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22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49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196</v>
      </c>
      <c r="C110" s="198" t="s">
        <v>196</v>
      </c>
      <c r="D110" s="197" t="s">
        <v>196</v>
      </c>
      <c r="E110" s="193">
        <f>212.85+372.1</f>
        <v>584.95000000000005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196</v>
      </c>
      <c r="C111" s="198" t="s">
        <v>196</v>
      </c>
      <c r="D111" s="197" t="s">
        <v>196</v>
      </c>
      <c r="E111" s="193">
        <f>424.52/2</f>
        <v>212.26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196</v>
      </c>
      <c r="C112" s="198" t="s">
        <v>196</v>
      </c>
      <c r="D112" s="197" t="s">
        <v>196</v>
      </c>
      <c r="E112" s="193">
        <f>424.52/2</f>
        <v>212.26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196</v>
      </c>
      <c r="C113" s="198" t="s">
        <v>196</v>
      </c>
      <c r="D113" s="197" t="s">
        <v>196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196</v>
      </c>
      <c r="C114" s="198" t="s">
        <v>196</v>
      </c>
      <c r="D114" s="197" t="s">
        <v>196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196</v>
      </c>
      <c r="C115" s="198" t="s">
        <v>196</v>
      </c>
      <c r="D115" s="197" t="s">
        <v>196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42</v>
      </c>
      <c r="B117" s="181">
        <f>'Données projet'!D115</f>
        <v>179.84615384615384</v>
      </c>
      <c r="C117" s="191">
        <v>10</v>
      </c>
      <c r="D117" s="179">
        <f t="shared" ref="D117:D135" si="8">B117*C117</f>
        <v>1798.4615384615383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49</v>
      </c>
      <c r="B118" s="181">
        <f>'Données projet'!D116</f>
        <v>94.476923076923072</v>
      </c>
      <c r="C118" s="191">
        <v>10</v>
      </c>
      <c r="D118" s="179">
        <f t="shared" si="8"/>
        <v>944.76923076923072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56</v>
      </c>
      <c r="B119" s="181">
        <f>'Données projet'!D117</f>
        <v>72.769230769230759</v>
      </c>
      <c r="C119" s="191">
        <v>10</v>
      </c>
      <c r="D119" s="179">
        <f t="shared" si="8"/>
        <v>727.69230769230762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63</v>
      </c>
      <c r="B120" s="181">
        <f>'Données projet'!D118</f>
        <v>71.123076923076923</v>
      </c>
      <c r="C120" s="191">
        <v>18</v>
      </c>
      <c r="D120" s="179">
        <f t="shared" si="8"/>
        <v>1280.2153846153847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71</v>
      </c>
      <c r="B121" s="181">
        <f>'Données projet'!D119</f>
        <v>80.399999999999991</v>
      </c>
      <c r="C121" s="191">
        <v>25</v>
      </c>
      <c r="D121" s="179">
        <f t="shared" si="8"/>
        <v>2009.9999999999998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79</v>
      </c>
      <c r="B122" s="181">
        <f>'Données projet'!D120</f>
        <v>77.338461538461544</v>
      </c>
      <c r="C122" s="191">
        <v>30</v>
      </c>
      <c r="D122" s="179">
        <f t="shared" si="8"/>
        <v>2320.1538461538462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87</v>
      </c>
      <c r="B123" s="181">
        <f>'Données projet'!D121</f>
        <v>77.330769230769235</v>
      </c>
      <c r="C123" s="191">
        <v>40</v>
      </c>
      <c r="D123" s="179">
        <f t="shared" si="8"/>
        <v>3093.2307692307695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95</v>
      </c>
      <c r="B124" s="181">
        <f>'Données projet'!D122</f>
        <v>234.42307692307691</v>
      </c>
      <c r="C124" s="191">
        <v>40</v>
      </c>
      <c r="D124" s="179">
        <f t="shared" si="8"/>
        <v>9376.9230769230762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105</v>
      </c>
      <c r="B125" s="181">
        <f>'Données projet'!D123</f>
        <v>309.71538461538461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24</v>
      </c>
      <c r="B138" s="174" t="str">
        <f>IF('Données projet'!B13="","",'Données projet'!B13)</f>
        <v>Châtaignier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49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196</v>
      </c>
      <c r="C141" s="198" t="s">
        <v>196</v>
      </c>
      <c r="D141" s="197" t="s">
        <v>196</v>
      </c>
      <c r="E141" s="193">
        <f>212.85+372.1</f>
        <v>584.95000000000005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196</v>
      </c>
      <c r="C142" s="198" t="s">
        <v>196</v>
      </c>
      <c r="D142" s="197" t="s">
        <v>196</v>
      </c>
      <c r="E142" s="193">
        <f>424.52/2</f>
        <v>212.26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196</v>
      </c>
      <c r="C143" s="198" t="s">
        <v>196</v>
      </c>
      <c r="D143" s="197" t="s">
        <v>196</v>
      </c>
      <c r="E143" s="193">
        <f>424.52/2</f>
        <v>212.26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196</v>
      </c>
      <c r="C144" s="198" t="s">
        <v>196</v>
      </c>
      <c r="D144" s="197" t="s">
        <v>196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196</v>
      </c>
      <c r="C145" s="198" t="s">
        <v>196</v>
      </c>
      <c r="D145" s="197" t="s">
        <v>196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196</v>
      </c>
      <c r="C146" s="198" t="s">
        <v>196</v>
      </c>
      <c r="D146" s="197" t="s">
        <v>196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15</v>
      </c>
      <c r="B147" s="175">
        <f>'Données projet'!D140</f>
        <v>15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28</v>
      </c>
      <c r="C148" s="191">
        <v>10</v>
      </c>
      <c r="D148" s="182">
        <f t="shared" ref="D148:D166" si="10">B148*C148</f>
        <v>280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25</v>
      </c>
      <c r="B149" s="175">
        <f>'Données projet'!D142</f>
        <v>28</v>
      </c>
      <c r="C149" s="191">
        <v>10</v>
      </c>
      <c r="D149" s="182">
        <f t="shared" si="10"/>
        <v>280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30</v>
      </c>
      <c r="B150" s="175">
        <f>'Données projet'!D143</f>
        <v>28</v>
      </c>
      <c r="C150" s="191">
        <v>15</v>
      </c>
      <c r="D150" s="182">
        <f t="shared" si="10"/>
        <v>420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35</v>
      </c>
      <c r="B151" s="175">
        <f>'Données projet'!D144</f>
        <v>28</v>
      </c>
      <c r="C151" s="191">
        <v>15</v>
      </c>
      <c r="D151" s="182">
        <f t="shared" si="10"/>
        <v>420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40</v>
      </c>
      <c r="B152" s="175">
        <f>'Données projet'!D145</f>
        <v>28</v>
      </c>
      <c r="C152" s="191">
        <v>50</v>
      </c>
      <c r="D152" s="182">
        <f t="shared" si="10"/>
        <v>1400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45</v>
      </c>
      <c r="B153" s="175">
        <f>'Données projet'!D146</f>
        <v>22</v>
      </c>
      <c r="C153" s="191">
        <v>50</v>
      </c>
      <c r="D153" s="182">
        <f t="shared" si="10"/>
        <v>1100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50</v>
      </c>
      <c r="B154" s="175">
        <f>'Données projet'!D147</f>
        <v>17</v>
      </c>
      <c r="C154" s="191">
        <v>50</v>
      </c>
      <c r="D154" s="182">
        <f t="shared" si="10"/>
        <v>850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55</v>
      </c>
      <c r="B155" s="175">
        <f>'Données projet'!D148</f>
        <v>13</v>
      </c>
      <c r="C155" s="191">
        <v>50</v>
      </c>
      <c r="D155" s="182">
        <f t="shared" si="10"/>
        <v>650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60</v>
      </c>
      <c r="B156" s="175">
        <f>'Données projet'!D149</f>
        <v>12</v>
      </c>
      <c r="C156" s="191">
        <v>50</v>
      </c>
      <c r="D156" s="182">
        <f t="shared" si="10"/>
        <v>600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65</v>
      </c>
      <c r="B157" s="175">
        <f>'Données projet'!D150</f>
        <v>11</v>
      </c>
      <c r="C157" s="191">
        <v>50</v>
      </c>
      <c r="D157" s="182">
        <f t="shared" si="10"/>
        <v>550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70</v>
      </c>
      <c r="B158" s="175">
        <f>'Données projet'!D151</f>
        <v>10</v>
      </c>
      <c r="C158" s="191">
        <v>50</v>
      </c>
      <c r="D158" s="182">
        <f t="shared" si="10"/>
        <v>500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75</v>
      </c>
      <c r="B159" s="175">
        <f>'Données projet'!D152</f>
        <v>9</v>
      </c>
      <c r="C159" s="191">
        <v>50</v>
      </c>
      <c r="D159" s="182">
        <f t="shared" si="10"/>
        <v>450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80</v>
      </c>
      <c r="B160" s="175">
        <f>'Données projet'!D153</f>
        <v>8</v>
      </c>
      <c r="C160" s="191">
        <v>50</v>
      </c>
      <c r="D160" s="182">
        <f t="shared" si="10"/>
        <v>400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v>50</v>
      </c>
      <c r="D161" s="182">
        <f t="shared" si="10"/>
        <v>0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26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49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196</v>
      </c>
      <c r="C172" s="198" t="s">
        <v>196</v>
      </c>
      <c r="D172" s="197" t="s">
        <v>196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196</v>
      </c>
      <c r="C173" s="198" t="s">
        <v>196</v>
      </c>
      <c r="D173" s="197" t="s">
        <v>196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196</v>
      </c>
      <c r="C174" s="198" t="s">
        <v>196</v>
      </c>
      <c r="D174" s="197" t="s">
        <v>196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196</v>
      </c>
      <c r="C175" s="198" t="s">
        <v>196</v>
      </c>
      <c r="D175" s="197" t="s">
        <v>196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196</v>
      </c>
      <c r="C176" s="198" t="s">
        <v>196</v>
      </c>
      <c r="D176" s="197" t="s">
        <v>196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196</v>
      </c>
      <c r="C177" s="198" t="s">
        <v>196</v>
      </c>
      <c r="D177" s="197" t="s">
        <v>196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27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49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196</v>
      </c>
      <c r="C203" s="198" t="s">
        <v>196</v>
      </c>
      <c r="D203" s="197" t="s">
        <v>196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196</v>
      </c>
      <c r="C204" s="198" t="s">
        <v>196</v>
      </c>
      <c r="D204" s="197" t="s">
        <v>196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196</v>
      </c>
      <c r="C205" s="198" t="s">
        <v>196</v>
      </c>
      <c r="D205" s="197" t="s">
        <v>196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196</v>
      </c>
      <c r="C206" s="198" t="s">
        <v>196</v>
      </c>
      <c r="D206" s="197" t="s">
        <v>196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196</v>
      </c>
      <c r="C207" s="198" t="s">
        <v>196</v>
      </c>
      <c r="D207" s="197" t="s">
        <v>196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196</v>
      </c>
      <c r="C208" s="198" t="s">
        <v>196</v>
      </c>
      <c r="D208" s="197" t="s">
        <v>196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28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49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196</v>
      </c>
      <c r="C234" s="198" t="s">
        <v>196</v>
      </c>
      <c r="D234" s="197" t="s">
        <v>196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196</v>
      </c>
      <c r="C235" s="198" t="s">
        <v>196</v>
      </c>
      <c r="D235" s="197" t="s">
        <v>196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196</v>
      </c>
      <c r="C236" s="198" t="s">
        <v>196</v>
      </c>
      <c r="D236" s="197" t="s">
        <v>196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196</v>
      </c>
      <c r="C237" s="198" t="s">
        <v>196</v>
      </c>
      <c r="D237" s="197" t="s">
        <v>196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196</v>
      </c>
      <c r="C238" s="198" t="s">
        <v>196</v>
      </c>
      <c r="D238" s="197" t="s">
        <v>196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196</v>
      </c>
      <c r="C239" s="198" t="s">
        <v>196</v>
      </c>
      <c r="D239" s="197" t="s">
        <v>196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29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49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196</v>
      </c>
      <c r="C265" s="198" t="s">
        <v>196</v>
      </c>
      <c r="D265" s="197" t="s">
        <v>196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196</v>
      </c>
      <c r="C266" s="198" t="s">
        <v>196</v>
      </c>
      <c r="D266" s="197" t="s">
        <v>196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196</v>
      </c>
      <c r="C267" s="198" t="s">
        <v>196</v>
      </c>
      <c r="D267" s="197" t="s">
        <v>196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196</v>
      </c>
      <c r="C268" s="198" t="s">
        <v>196</v>
      </c>
      <c r="D268" s="197" t="s">
        <v>196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196</v>
      </c>
      <c r="C269" s="198" t="s">
        <v>196</v>
      </c>
      <c r="D269" s="197" t="s">
        <v>196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196</v>
      </c>
      <c r="C270" s="198" t="s">
        <v>196</v>
      </c>
      <c r="D270" s="197" t="s">
        <v>196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30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49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196</v>
      </c>
      <c r="C296" s="198" t="s">
        <v>196</v>
      </c>
      <c r="D296" s="197" t="s">
        <v>196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196</v>
      </c>
      <c r="C297" s="198" t="s">
        <v>196</v>
      </c>
      <c r="D297" s="197" t="s">
        <v>196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196</v>
      </c>
      <c r="C298" s="198" t="s">
        <v>196</v>
      </c>
      <c r="D298" s="197" t="s">
        <v>196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196</v>
      </c>
      <c r="C299" s="198" t="s">
        <v>196</v>
      </c>
      <c r="D299" s="197" t="s">
        <v>196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196</v>
      </c>
      <c r="C300" s="198" t="s">
        <v>196</v>
      </c>
      <c r="D300" s="197" t="s">
        <v>196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196</v>
      </c>
      <c r="C301" s="198" t="s">
        <v>196</v>
      </c>
      <c r="D301" s="197" t="s">
        <v>196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7E09C1-D512-4E01-9A39-7A9424E4E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2024-04-25T09:01:57Z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