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srineAhmedTounsi\Downloads\"/>
    </mc:Choice>
  </mc:AlternateContent>
  <xr:revisionPtr revIDLastSave="0" documentId="13_ncr:1_{DAD73DF9-F048-40FA-BFBA-6B0913245397}" xr6:coauthVersionLast="47" xr6:coauthVersionMax="47" xr10:uidLastSave="{00000000-0000-0000-0000-000000000000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EX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X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C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HH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HG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A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A164" i="2"/>
  <c r="EV164" i="2"/>
  <c r="HG164" i="2"/>
  <c r="FR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DI167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B175" i="2"/>
  <c r="EW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HI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W185" i="2"/>
  <c r="HH185" i="2"/>
  <c r="EB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EB194" i="2"/>
  <c r="EA194" i="2"/>
  <c r="FQ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HI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EA201" i="2"/>
  <c r="HH201" i="2"/>
  <c r="EB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I202" i="2"/>
  <c r="FS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AH92" i="2" a="1"/>
  <c r="AH92" i="2" s="1"/>
  <c r="FY104" i="2" a="1"/>
  <c r="FY104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62" i="2" a="1"/>
  <c r="AH62" i="2" s="1"/>
  <c r="AH163" i="2" a="1"/>
  <c r="AH163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114" i="2" l="1" a="1"/>
  <c r="CS114" i="2" s="1"/>
  <c r="CS72" i="2" a="1"/>
  <c r="CS72" i="2" s="1"/>
  <c r="CS24" i="2" a="1"/>
  <c r="CS24" i="2" s="1"/>
  <c r="CS56" i="2" a="1"/>
  <c r="CS56" i="2" s="1"/>
  <c r="CS77" i="2" a="1"/>
  <c r="CS77" i="2" s="1"/>
  <c r="CS134" i="2" a="1"/>
  <c r="CS134" i="2" s="1"/>
  <c r="CS137" i="2" a="1"/>
  <c r="CS137" i="2" s="1"/>
  <c r="CS185" i="2" a="1"/>
  <c r="CS185" i="2" s="1"/>
  <c r="CS129" i="2" a="1"/>
  <c r="CS129" i="2" s="1"/>
  <c r="CS38" i="2" a="1"/>
  <c r="CS38" i="2" s="1"/>
  <c r="CS105" i="2" a="1"/>
  <c r="CS105" i="2" s="1"/>
  <c r="CS116" i="2" a="1"/>
  <c r="CS116" i="2" s="1"/>
  <c r="BC181" i="2" a="1"/>
  <c r="BC181" i="2" s="1"/>
  <c r="CS52" i="2" a="1"/>
  <c r="CS52" i="2" s="1"/>
  <c r="CS161" i="2" a="1"/>
  <c r="CS161" i="2" s="1"/>
  <c r="CS66" i="2" a="1"/>
  <c r="CS66" i="2" s="1"/>
  <c r="AH199" i="2" a="1"/>
  <c r="AH199" i="2" s="1"/>
  <c r="FY82" i="2" a="1"/>
  <c r="FY82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FY115" i="2" a="1"/>
  <c r="FY115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FY86" i="2" a="1"/>
  <c r="FY86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FY58" i="2" a="1"/>
  <c r="FY58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BP203" i="2"/>
  <c r="FY121" i="2" a="1"/>
  <c r="FY121" i="2" s="1"/>
  <c r="FY24" i="2" a="1"/>
  <c r="FY24" i="2" s="1"/>
  <c r="FY78" i="2" a="1"/>
  <c r="FY78" i="2" s="1"/>
  <c r="FY191" i="2" a="1"/>
  <c r="FY191" i="2" s="1"/>
  <c r="FY35" i="2" a="1"/>
  <c r="FY35" i="2" s="1"/>
  <c r="FY167" i="2" a="1"/>
  <c r="FY167" i="2" s="1"/>
  <c r="FY124" i="2" a="1"/>
  <c r="FY124" i="2" s="1"/>
  <c r="FY174" i="2" a="1"/>
  <c r="FY174" i="2" s="1"/>
  <c r="FY110" i="2" a="1"/>
  <c r="FY110" i="2" s="1"/>
  <c r="FY165" i="2" a="1"/>
  <c r="FY165" i="2" s="1"/>
  <c r="FY142" i="2" a="1"/>
  <c r="FY14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FY80" i="2" a="1"/>
  <c r="FY80" i="2" s="1"/>
  <c r="FY62" i="2" a="1"/>
  <c r="FY62" i="2" s="1"/>
  <c r="FY116" i="2" a="1"/>
  <c r="FY116" i="2" s="1"/>
  <c r="FY102" i="2" a="1"/>
  <c r="FY102" i="2" s="1"/>
  <c r="FY32" i="2" a="1"/>
  <c r="FY32" i="2" s="1"/>
  <c r="FS203" i="2"/>
  <c r="FY30" i="2" a="1"/>
  <c r="FY30" i="2" s="1"/>
  <c r="FY190" i="2" a="1"/>
  <c r="FY190" i="2" s="1"/>
  <c r="FY92" i="2" a="1"/>
  <c r="FY92" i="2" s="1"/>
  <c r="FY69" i="2" a="1"/>
  <c r="FY69" i="2" s="1"/>
  <c r="FY22" i="2" a="1"/>
  <c r="FY22" i="2" s="1"/>
  <c r="FY42" i="2" a="1"/>
  <c r="FY42" i="2" s="1"/>
  <c r="FY72" i="2" a="1"/>
  <c r="FY72" i="2" s="1"/>
  <c r="FY111" i="2" a="1"/>
  <c r="FY111" i="2" s="1"/>
  <c r="FY66" i="2" a="1"/>
  <c r="FY66" i="2" s="1"/>
  <c r="FY90" i="2" a="1"/>
  <c r="FY90" i="2" s="1"/>
  <c r="FY196" i="2" a="1"/>
  <c r="FY196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105" i="2" l="1"/>
  <c r="CD131" i="2"/>
  <c r="CD33" i="2"/>
  <c r="CD62" i="2"/>
  <c r="CD32" i="2"/>
  <c r="CD16" i="2"/>
  <c r="CD48" i="2"/>
  <c r="CD9" i="2"/>
  <c r="CD3" i="2"/>
  <c r="C9" i="4" s="1"/>
  <c r="E9" i="4" s="1"/>
  <c r="F9" i="4" s="1"/>
  <c r="G9" i="4" s="1"/>
  <c r="L9" i="4" s="1"/>
  <c r="CD188" i="2"/>
  <c r="CD87" i="2"/>
  <c r="CD90" i="2"/>
  <c r="CD178" i="2"/>
  <c r="CD72" i="2"/>
  <c r="CD146" i="2"/>
  <c r="CD56" i="2"/>
  <c r="CD30" i="2"/>
  <c r="CD119" i="2"/>
  <c r="CD149" i="2"/>
  <c r="CD117" i="2"/>
  <c r="CD91" i="2"/>
  <c r="CD142" i="2"/>
  <c r="CD180" i="2"/>
  <c r="CD75" i="2"/>
  <c r="CD101" i="2"/>
  <c r="CD173" i="2"/>
  <c r="CD59" i="2"/>
  <c r="CD182" i="2"/>
  <c r="CD61" i="2"/>
  <c r="CD161" i="2"/>
  <c r="CD202" i="2"/>
  <c r="CD80" i="2"/>
  <c r="CD154" i="2"/>
  <c r="CD130" i="2"/>
  <c r="CD41" i="2"/>
  <c r="CD13" i="2"/>
  <c r="CD184" i="2"/>
  <c r="CD68" i="2"/>
  <c r="CD165" i="2"/>
  <c r="CD65" i="2"/>
  <c r="CD152" i="2"/>
  <c r="CD139" i="2"/>
  <c r="CD92" i="2"/>
  <c r="CD27" i="2"/>
  <c r="CD147" i="2"/>
  <c r="CD144" i="2"/>
  <c r="CD198" i="2"/>
  <c r="CD89" i="2"/>
  <c r="CD129" i="2"/>
  <c r="CD4" i="2"/>
  <c r="CD122" i="2"/>
  <c r="CD187" i="2"/>
  <c r="CD100" i="2"/>
  <c r="CD67" i="2"/>
  <c r="CD52" i="2"/>
  <c r="CD19" i="2"/>
  <c r="CD141" i="2"/>
  <c r="CD53" i="2"/>
  <c r="CD125" i="2"/>
  <c r="CD42" i="2"/>
  <c r="CD109" i="2"/>
  <c r="CD195" i="2"/>
  <c r="CD15" i="2"/>
  <c r="CD135" i="2"/>
  <c r="CD18" i="2"/>
  <c r="CD69" i="2"/>
  <c r="CD172" i="2"/>
  <c r="CD43" i="2"/>
  <c r="CD28" i="2"/>
  <c r="CD40" i="2"/>
  <c r="CD116" i="2"/>
  <c r="CD145" i="2"/>
  <c r="CD151" i="2"/>
  <c r="CD54" i="2"/>
  <c r="CD83" i="2"/>
  <c r="CD88" i="2"/>
  <c r="CD194" i="2"/>
  <c r="CD34" i="2"/>
  <c r="CD55" i="2"/>
  <c r="CD121" i="2"/>
  <c r="CD93" i="2"/>
  <c r="CD26" i="2"/>
  <c r="CD132" i="2"/>
  <c r="CD46" i="2"/>
  <c r="CD156" i="2"/>
  <c r="CD163" i="2"/>
  <c r="CD44" i="2"/>
  <c r="CD177" i="2"/>
  <c r="CD31" i="2"/>
  <c r="CD123" i="2"/>
  <c r="CD8" i="2"/>
  <c r="CD76" i="2"/>
  <c r="CD200" i="2"/>
  <c r="CD148" i="2"/>
  <c r="CD124" i="2"/>
  <c r="CD128" i="2"/>
  <c r="CD50" i="2"/>
  <c r="CD71" i="2"/>
  <c r="CD175" i="2"/>
  <c r="CD174" i="2"/>
  <c r="CD60" i="2"/>
  <c r="CD58" i="2"/>
  <c r="CD11" i="2"/>
  <c r="CD94" i="2"/>
  <c r="CD97" i="2"/>
  <c r="CD192" i="2"/>
  <c r="CD137" i="2"/>
  <c r="CD185" i="2"/>
  <c r="CD103" i="2"/>
  <c r="CD133" i="2"/>
  <c r="CD159" i="2"/>
  <c r="CD189" i="2"/>
  <c r="CD167" i="2"/>
  <c r="CD64" i="2"/>
  <c r="CD201" i="2"/>
  <c r="CD81" i="2"/>
  <c r="CD203" i="2"/>
  <c r="CD171" i="2"/>
  <c r="CD73" i="2"/>
  <c r="CD183" i="2"/>
  <c r="CD164" i="2"/>
  <c r="CD86" i="2"/>
  <c r="CD160" i="2"/>
  <c r="CD20" i="2"/>
  <c r="CD113" i="2"/>
  <c r="CD38" i="2"/>
  <c r="CD169" i="2"/>
  <c r="CD118" i="2"/>
  <c r="CD51" i="2"/>
  <c r="CD10" i="2"/>
  <c r="CD111" i="2"/>
  <c r="CD199" i="2"/>
  <c r="CD85" i="2"/>
  <c r="CD136" i="2"/>
  <c r="CD127" i="2"/>
  <c r="CD155" i="2"/>
  <c r="CD57" i="2"/>
  <c r="CD96" i="2"/>
  <c r="CD134" i="2"/>
  <c r="CD7" i="2"/>
  <c r="CD29" i="2"/>
  <c r="CD197" i="2"/>
  <c r="CD49" i="2"/>
  <c r="CD37" i="2"/>
  <c r="CD170" i="2"/>
  <c r="CD5" i="2"/>
  <c r="CD6" i="2"/>
  <c r="CD126" i="2"/>
  <c r="CD196" i="2"/>
  <c r="CD78" i="2"/>
  <c r="CD70" i="2"/>
  <c r="CD79" i="2"/>
  <c r="CD110" i="2"/>
  <c r="CD36" i="2"/>
  <c r="CD140" i="2"/>
  <c r="CD166" i="2"/>
  <c r="CD98" i="2"/>
  <c r="CD84" i="2"/>
  <c r="CD21" i="2"/>
  <c r="CD17" i="2"/>
  <c r="CD63" i="2"/>
  <c r="CD162" i="2"/>
  <c r="CD191" i="2"/>
  <c r="CD150" i="2"/>
  <c r="CD114" i="2"/>
  <c r="CD107" i="2"/>
  <c r="CD181" i="2"/>
  <c r="CD82" i="2"/>
  <c r="CD77" i="2"/>
  <c r="CD157" i="2"/>
  <c r="CD95" i="2"/>
  <c r="CD99" i="2"/>
  <c r="CD23" i="2"/>
  <c r="CD108" i="2"/>
  <c r="CD176" i="2"/>
  <c r="CD104" i="2"/>
  <c r="CD39" i="2"/>
  <c r="CD193" i="2"/>
  <c r="CD106" i="2"/>
  <c r="CD66" i="2"/>
  <c r="CD45" i="2"/>
  <c r="CD179" i="2"/>
  <c r="CD158" i="2"/>
  <c r="CD115" i="2"/>
  <c r="CD25" i="2"/>
  <c r="CD190" i="2"/>
  <c r="CD186" i="2"/>
  <c r="CD102" i="2"/>
  <c r="CD168" i="2"/>
  <c r="CD22" i="2"/>
  <c r="CD112" i="2"/>
  <c r="CD74" i="2"/>
  <c r="CD120" i="2"/>
  <c r="CD35" i="2"/>
  <c r="CD138" i="2"/>
  <c r="CD143" i="2"/>
  <c r="CD12" i="2"/>
  <c r="CD153" i="2"/>
  <c r="CD14" i="2"/>
  <c r="CD47" i="2"/>
  <c r="CD24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85" i="2" l="1"/>
  <c r="CY112" i="2"/>
  <c r="CY188" i="2"/>
  <c r="CY100" i="2"/>
  <c r="CY199" i="2"/>
  <c r="CY167" i="2"/>
  <c r="CY200" i="2"/>
  <c r="CY144" i="2"/>
  <c r="CY150" i="2"/>
  <c r="CY83" i="2"/>
  <c r="CY65" i="2"/>
  <c r="CY152" i="2"/>
  <c r="CY82" i="2"/>
  <c r="CY7" i="2"/>
  <c r="CY53" i="2"/>
  <c r="CY165" i="2"/>
  <c r="CY184" i="2"/>
  <c r="CY173" i="2"/>
  <c r="CY116" i="2"/>
  <c r="CY62" i="2"/>
  <c r="CY70" i="2"/>
  <c r="CY90" i="2"/>
  <c r="CY10" i="2"/>
  <c r="CY18" i="2"/>
  <c r="CY81" i="2"/>
  <c r="CY60" i="2"/>
  <c r="CY114" i="2"/>
  <c r="CY14" i="2"/>
  <c r="CY99" i="2"/>
  <c r="CY58" i="2"/>
  <c r="CY41" i="2"/>
  <c r="CY111" i="2"/>
  <c r="CY183" i="2"/>
  <c r="CY76" i="2"/>
  <c r="CY202" i="2"/>
  <c r="CY20" i="2"/>
  <c r="CY68" i="2"/>
  <c r="CY5" i="2"/>
  <c r="CY35" i="2"/>
  <c r="CY95" i="2"/>
  <c r="CY45" i="2"/>
  <c r="CY96" i="2"/>
  <c r="CY118" i="2"/>
  <c r="CY133" i="2"/>
  <c r="CY27" i="2"/>
  <c r="CY175" i="2"/>
  <c r="CY110" i="2"/>
  <c r="CY159" i="2"/>
  <c r="CY28" i="2"/>
  <c r="CY63" i="2"/>
  <c r="CY137" i="2"/>
  <c r="CY181" i="2"/>
  <c r="CY31" i="2"/>
  <c r="CY21" i="2"/>
  <c r="CY109" i="2"/>
  <c r="CY130" i="2"/>
  <c r="CY89" i="2"/>
  <c r="CY178" i="2"/>
  <c r="CY104" i="2"/>
  <c r="CY170" i="2"/>
  <c r="CY47" i="2"/>
  <c r="CY119" i="2"/>
  <c r="CY91" i="2"/>
  <c r="CY43" i="2"/>
  <c r="CY23" i="2"/>
  <c r="CY54" i="2"/>
  <c r="CY46" i="2"/>
  <c r="CY197" i="2"/>
  <c r="CY37" i="2"/>
  <c r="CY51" i="2"/>
  <c r="CY132" i="2"/>
  <c r="CY117" i="2"/>
  <c r="CY57" i="2"/>
  <c r="CY6" i="2"/>
  <c r="CY124" i="2"/>
  <c r="CY185" i="2"/>
  <c r="CY15" i="2"/>
  <c r="CY66" i="2"/>
  <c r="CY105" i="2"/>
  <c r="CY135" i="2"/>
  <c r="CY59" i="2"/>
  <c r="CY48" i="2"/>
  <c r="CY190" i="2"/>
  <c r="CY157" i="2"/>
  <c r="CY36" i="2"/>
  <c r="CY64" i="2"/>
  <c r="CY38" i="2"/>
  <c r="CY203" i="2"/>
  <c r="CY201" i="2"/>
  <c r="CY107" i="2"/>
  <c r="CY101" i="2"/>
  <c r="CY4" i="2"/>
  <c r="CY24" i="2"/>
  <c r="CY13" i="2"/>
  <c r="CY134" i="2"/>
  <c r="CY42" i="2"/>
  <c r="CY145" i="2"/>
  <c r="CY126" i="2"/>
  <c r="CY155" i="2"/>
  <c r="CY189" i="2"/>
  <c r="CY138" i="2"/>
  <c r="CY33" i="2"/>
  <c r="CY25" i="2"/>
  <c r="CY78" i="2"/>
  <c r="CY67" i="2"/>
  <c r="CY79" i="2"/>
  <c r="CY52" i="2"/>
  <c r="CY106" i="2"/>
  <c r="CY30" i="2"/>
  <c r="CY12" i="2"/>
  <c r="CY69" i="2"/>
  <c r="CY136" i="2"/>
  <c r="CY113" i="2"/>
  <c r="CY198" i="2"/>
  <c r="CY151" i="2"/>
  <c r="CY172" i="2"/>
  <c r="CY75" i="2"/>
  <c r="CY121" i="2"/>
  <c r="CY71" i="2"/>
  <c r="CY187" i="2"/>
  <c r="CY146" i="2"/>
  <c r="CY34" i="2"/>
  <c r="CY195" i="2"/>
  <c r="CY179" i="2"/>
  <c r="CY3" i="2"/>
  <c r="C10" i="4" s="1"/>
  <c r="E10" i="4" s="1"/>
  <c r="F10" i="4" s="1"/>
  <c r="G10" i="4" s="1"/>
  <c r="L10" i="4" s="1"/>
  <c r="CY158" i="2"/>
  <c r="CY8" i="2"/>
  <c r="CY97" i="2"/>
  <c r="CY49" i="2"/>
  <c r="CY103" i="2"/>
  <c r="CY98" i="2"/>
  <c r="CY127" i="2"/>
  <c r="CY156" i="2"/>
  <c r="CY86" i="2"/>
  <c r="CY61" i="2"/>
  <c r="CY77" i="2"/>
  <c r="CY142" i="2"/>
  <c r="CY29" i="2"/>
  <c r="CY123" i="2"/>
  <c r="CY72" i="2"/>
  <c r="CY80" i="2"/>
  <c r="CY94" i="2"/>
  <c r="CY56" i="2"/>
  <c r="CY160" i="2"/>
  <c r="CY169" i="2"/>
  <c r="CY148" i="2"/>
  <c r="CY161" i="2"/>
  <c r="CY149" i="2"/>
  <c r="CY40" i="2"/>
  <c r="CY154" i="2"/>
  <c r="CY186" i="2"/>
  <c r="CY73" i="2"/>
  <c r="CY182" i="2"/>
  <c r="CY180" i="2"/>
  <c r="CY174" i="2"/>
  <c r="CY128" i="2"/>
  <c r="CY194" i="2"/>
  <c r="CY55" i="2"/>
  <c r="CY176" i="2"/>
  <c r="CY74" i="2"/>
  <c r="CY141" i="2"/>
  <c r="CY11" i="2"/>
  <c r="CY102" i="2"/>
  <c r="CY193" i="2"/>
  <c r="CY162" i="2"/>
  <c r="CY125" i="2"/>
  <c r="CY129" i="2"/>
  <c r="CY171" i="2"/>
  <c r="CY92" i="2"/>
  <c r="CY17" i="2"/>
  <c r="CY9" i="2"/>
  <c r="CY192" i="2"/>
  <c r="CY120" i="2"/>
  <c r="CY87" i="2"/>
  <c r="CY84" i="2"/>
  <c r="CY88" i="2"/>
  <c r="CY143" i="2"/>
  <c r="CY168" i="2"/>
  <c r="CY139" i="2"/>
  <c r="CY131" i="2"/>
  <c r="CY177" i="2"/>
  <c r="CY22" i="2"/>
  <c r="CY16" i="2"/>
  <c r="CY44" i="2"/>
  <c r="CY140" i="2"/>
  <c r="CY163" i="2"/>
  <c r="CY115" i="2"/>
  <c r="CY166" i="2"/>
  <c r="CY153" i="2"/>
  <c r="CY191" i="2"/>
  <c r="CY196" i="2"/>
  <c r="CY26" i="2"/>
  <c r="CY122" i="2"/>
  <c r="CY39" i="2"/>
  <c r="CY19" i="2"/>
  <c r="CY108" i="2"/>
  <c r="CY147" i="2"/>
  <c r="CY93" i="2"/>
  <c r="CY50" i="2"/>
  <c r="CY164" i="2"/>
  <c r="CY32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<sst xmlns="http://schemas.openxmlformats.org/spreadsheetml/2006/main" count="1179" uniqueCount="326">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</sst>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2" xfId="3" xr:uid="{D3CEE7FC-4E3D-4F7A-8FA3-4A31D915B1CC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1.7202304100925723</c:v>
                </c:pt>
                <c:pt idx="2">
                  <c:v>2.2298741320266284</c:v>
                </c:pt>
                <c:pt idx="3">
                  <c:v>2.8911257088074844</c:v>
                </c:pt>
                <c:pt idx="4">
                  <c:v>3.7492588904152253</c:v>
                </c:pt>
                <c:pt idx="5">
                  <c:v>9.4527708386346081</c:v>
                </c:pt>
                <c:pt idx="6">
                  <c:v>16.799486671896954</c:v>
                </c:pt>
                <c:pt idx="7">
                  <c:v>25.664243314453273</c:v>
                </c:pt>
                <c:pt idx="8">
                  <c:v>35.922764560948956</c:v>
                </c:pt>
                <c:pt idx="9">
                  <c:v>47.453531707676156</c:v>
                </c:pt>
                <c:pt idx="10">
                  <c:v>60.137455844870459</c:v>
                </c:pt>
                <c:pt idx="11">
                  <c:v>73.857406838666478</c:v>
                </c:pt>
                <c:pt idx="12">
                  <c:v>88.497823262041379</c:v>
                </c:pt>
                <c:pt idx="13">
                  <c:v>103.94441176932362</c:v>
                </c:pt>
                <c:pt idx="14">
                  <c:v>120.08391644444065</c:v>
                </c:pt>
                <c:pt idx="15">
                  <c:v>136.80393960137704</c:v>
                </c:pt>
                <c:pt idx="16">
                  <c:v>153.99280012767676</c:v>
                </c:pt>
                <c:pt idx="17">
                  <c:v>171.53941943248637</c:v>
                </c:pt>
                <c:pt idx="18">
                  <c:v>189.3332279334883</c:v>
                </c:pt>
                <c:pt idx="19">
                  <c:v>207.26408700923182</c:v>
                </c:pt>
                <c:pt idx="20">
                  <c:v>225.22222271584272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1.8158496362689804</c:v>
                </c:pt>
                <c:pt idx="2">
                  <c:v>2.1259654268192745</c:v>
                </c:pt>
                <c:pt idx="3">
                  <c:v>2.4892406380778724</c:v>
                </c:pt>
                <c:pt idx="4">
                  <c:v>2.914819728393589</c:v>
                </c:pt>
                <c:pt idx="5">
                  <c:v>3.4134253532946084</c:v>
                </c:pt>
                <c:pt idx="6">
                  <c:v>3.9976315722961666</c:v>
                </c:pt>
                <c:pt idx="7">
                  <c:v>4.6821844853105965</c:v>
                </c:pt>
                <c:pt idx="8">
                  <c:v>5.4843785540369057</c:v>
                </c:pt>
                <c:pt idx="9">
                  <c:v>6.424498304023917</c:v>
                </c:pt>
                <c:pt idx="10">
                  <c:v>7.5263367952555678</c:v>
                </c:pt>
                <c:pt idx="11">
                  <c:v>8.8178042372194074</c:v>
                </c:pt>
                <c:pt idx="12">
                  <c:v>10.331642460353047</c:v>
                </c:pt>
                <c:pt idx="13">
                  <c:v>12.10626370048635</c:v>
                </c:pt>
                <c:pt idx="14">
                  <c:v>14.186735378082497</c:v>
                </c:pt>
                <c:pt idx="15">
                  <c:v>16.625936343989618</c:v>
                </c:pt>
                <c:pt idx="16">
                  <c:v>19.485914517109581</c:v>
                </c:pt>
                <c:pt idx="17">
                  <c:v>22.839481073340533</c:v>
                </c:pt>
                <c:pt idx="18">
                  <c:v>26.772082496293439</c:v>
                </c:pt>
                <c:pt idx="19">
                  <c:v>31.383999029629038</c:v>
                </c:pt>
                <c:pt idx="20">
                  <c:v>36.792926567730966</c:v>
                </c:pt>
                <c:pt idx="21">
                  <c:v>43.137009008433751</c:v>
                </c:pt>
                <c:pt idx="22">
                  <c:v>50.578399830432467</c:v>
                </c:pt>
                <c:pt idx="23">
                  <c:v>59.307445456635179</c:v>
                </c:pt>
                <c:pt idx="24">
                  <c:v>69.547599185072542</c:v>
                </c:pt>
                <c:pt idx="25">
                  <c:v>81.561193536749343</c:v>
                </c:pt>
                <c:pt idx="26">
                  <c:v>95.656221285654908</c:v>
                </c:pt>
                <c:pt idx="27">
                  <c:v>112.19430178882926</c:v>
                </c:pt>
                <c:pt idx="28">
                  <c:v>131.60004021638957</c:v>
                </c:pt>
                <c:pt idx="29">
                  <c:v>154.37202370720476</c:v>
                </c:pt>
                <c:pt idx="30">
                  <c:v>181.09574130339482</c:v>
                </c:pt>
                <c:pt idx="31">
                  <c:v>193.50513389554735</c:v>
                </c:pt>
                <c:pt idx="32">
                  <c:v>205.8960227856634</c:v>
                </c:pt>
                <c:pt idx="33">
                  <c:v>218.2696790687331</c:v>
                </c:pt>
                <c:pt idx="34">
                  <c:v>230.62721782293283</c:v>
                </c:pt>
                <c:pt idx="35">
                  <c:v>242.96962477459226</c:v>
                </c:pt>
                <c:pt idx="36">
                  <c:v>255.29777725401013</c:v>
                </c:pt>
                <c:pt idx="37">
                  <c:v>267.61246088687614</c:v>
                </c:pt>
                <c:pt idx="38">
                  <c:v>279.91438304943642</c:v>
                </c:pt>
                <c:pt idx="39">
                  <c:v>292.2041838324588</c:v>
                </c:pt>
                <c:pt idx="40">
                  <c:v>304.48244506277183</c:v>
                </c:pt>
                <c:pt idx="41">
                  <c:v>230.29685320274862</c:v>
                </c:pt>
                <c:pt idx="42">
                  <c:v>240.85729898264557</c:v>
                </c:pt>
                <c:pt idx="43">
                  <c:v>251.40720829785491</c:v>
                </c:pt>
                <c:pt idx="44">
                  <c:v>261.94708592691535</c:v>
                </c:pt>
                <c:pt idx="45">
                  <c:v>272.47739267879405</c:v>
                </c:pt>
                <c:pt idx="46">
                  <c:v>282.99855081100981</c:v>
                </c:pt>
                <c:pt idx="47">
                  <c:v>293.5109485992275</c:v>
                </c:pt>
                <c:pt idx="48">
                  <c:v>304.01494421747219</c:v>
                </c:pt>
                <c:pt idx="49">
                  <c:v>314.51086905368561</c:v>
                </c:pt>
                <c:pt idx="50">
                  <c:v>324.99903055928581</c:v>
                </c:pt>
                <c:pt idx="51">
                  <c:v>335.47971471146406</c:v>
                </c:pt>
                <c:pt idx="52">
                  <c:v>345.95318815155156</c:v>
                </c:pt>
                <c:pt idx="53">
                  <c:v>356.41970005079355</c:v>
                </c:pt>
                <c:pt idx="54">
                  <c:v>366.8794837454268</c:v>
                </c:pt>
                <c:pt idx="55">
                  <c:v>377.33275817548952</c:v>
                </c:pt>
                <c:pt idx="56">
                  <c:v>303.53166810227208</c:v>
                </c:pt>
                <c:pt idx="57">
                  <c:v>312.84094851875608</c:v>
                </c:pt>
                <c:pt idx="58">
                  <c:v>322.14408571961025</c:v>
                </c:pt>
                <c:pt idx="59">
                  <c:v>331.44128225003948</c:v>
                </c:pt>
                <c:pt idx="60">
                  <c:v>340.73272835703773</c:v>
                </c:pt>
                <c:pt idx="61">
                  <c:v>350.01860305840779</c:v>
                </c:pt>
                <c:pt idx="62">
                  <c:v>359.2990750923571</c:v>
                </c:pt>
                <c:pt idx="63">
                  <c:v>368.57430376381336</c:v>
                </c:pt>
                <c:pt idx="64">
                  <c:v>377.84443970106491</c:v>
                </c:pt>
                <c:pt idx="65">
                  <c:v>387.10962553424162</c:v>
                </c:pt>
                <c:pt idx="66">
                  <c:v>396.36999650542356</c:v>
                </c:pt>
                <c:pt idx="67">
                  <c:v>405.62568101874126</c:v>
                </c:pt>
                <c:pt idx="68">
                  <c:v>414.8768011376315</c:v>
                </c:pt>
                <c:pt idx="69">
                  <c:v>424.12347303541259</c:v>
                </c:pt>
                <c:pt idx="70">
                  <c:v>433.36580740450887</c:v>
                </c:pt>
                <c:pt idx="71">
                  <c:v>361.477734601451</c:v>
                </c:pt>
                <c:pt idx="72">
                  <c:v>369.76946801837352</c:v>
                </c:pt>
                <c:pt idx="73">
                  <c:v>378.05714577939528</c:v>
                </c:pt>
                <c:pt idx="74">
                  <c:v>386.34086938884275</c:v>
                </c:pt>
                <c:pt idx="75">
                  <c:v>394.62073564029157</c:v>
                </c:pt>
                <c:pt idx="76">
                  <c:v>402.89683693160515</c:v>
                </c:pt>
                <c:pt idx="77">
                  <c:v>411.16926155272472</c:v>
                </c:pt>
                <c:pt idx="78">
                  <c:v>419.43809394908311</c:v>
                </c:pt>
                <c:pt idx="79">
                  <c:v>427.70341496315558</c:v>
                </c:pt>
                <c:pt idx="80">
                  <c:v>435.96530205635969</c:v>
                </c:pt>
                <c:pt idx="81">
                  <c:v>371.46007618930088</c:v>
                </c:pt>
                <c:pt idx="82">
                  <c:v>379.48916826833891</c:v>
                </c:pt>
                <c:pt idx="83">
                  <c:v>387.51456445535558</c:v>
                </c:pt>
                <c:pt idx="84">
                  <c:v>395.53635213812896</c:v>
                </c:pt>
                <c:pt idx="85">
                  <c:v>403.55461486835981</c:v>
                </c:pt>
                <c:pt idx="86">
                  <c:v>411.56943260460747</c:v>
                </c:pt>
                <c:pt idx="87">
                  <c:v>419.58088193530733</c:v>
                </c:pt>
                <c:pt idx="88">
                  <c:v>427.58903628386139</c:v>
                </c:pt>
                <c:pt idx="89">
                  <c:v>435.5939660975564</c:v>
                </c:pt>
                <c:pt idx="90">
                  <c:v>443.59573902186753</c:v>
                </c:pt>
                <c:pt idx="91">
                  <c:v>451.59442006152534</c:v>
                </c:pt>
                <c:pt idx="92">
                  <c:v>459.59007172957325</c:v>
                </c:pt>
                <c:pt idx="93">
                  <c:v>467.58275418550915</c:v>
                </c:pt>
                <c:pt idx="94">
                  <c:v>475.57252536348642</c:v>
                </c:pt>
                <c:pt idx="95">
                  <c:v>483.55944109144997</c:v>
                </c:pt>
                <c:pt idx="96">
                  <c:v>229.19302630377692</c:v>
                </c:pt>
                <c:pt idx="97">
                  <c:v>234.96721022630467</c:v>
                </c:pt>
                <c:pt idx="98">
                  <c:v>240.73815669154223</c:v>
                </c:pt>
                <c:pt idx="99">
                  <c:v>246.50595438579171</c:v>
                </c:pt>
                <c:pt idx="100">
                  <c:v>252.27068749964624</c:v>
                </c:pt>
                <c:pt idx="101">
                  <c:v>258.03243605574824</c:v>
                </c:pt>
                <c:pt idx="102">
                  <c:v>263.79127620570301</c:v>
                </c:pt>
                <c:pt idx="103">
                  <c:v>269.54728049967713</c:v>
                </c:pt>
                <c:pt idx="104">
                  <c:v>275.30051813173475</c:v>
                </c:pt>
                <c:pt idx="105">
                  <c:v>281.05105516357031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80" workbookViewId="0">
      <selection activeCell="K121" sqref="K12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22.17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27</v>
      </c>
      <c r="C9" s="32">
        <v>0.33200000000000002</v>
      </c>
      <c r="D9" s="33">
        <f t="shared" ref="D9:D18" si="0">C9*$C$5</f>
        <v>7.3604400000000005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81</v>
      </c>
      <c r="C10" s="32">
        <v>0.33200000000000002</v>
      </c>
      <c r="D10" s="33">
        <f t="shared" si="0"/>
        <v>7.3604400000000005</v>
      </c>
      <c r="E10" s="34">
        <v>42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164</v>
      </c>
      <c r="C11" s="32">
        <v>0.113</v>
      </c>
      <c r="D11" s="33">
        <f t="shared" si="0"/>
        <v>2.5052100000000004</v>
      </c>
      <c r="E11" s="34">
        <v>105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112</v>
      </c>
      <c r="C12" s="32">
        <v>0.13300000000000001</v>
      </c>
      <c r="D12" s="33">
        <f t="shared" si="0"/>
        <v>2.9486100000000004</v>
      </c>
      <c r="E12" s="34">
        <v>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 t="s">
        <v>38</v>
      </c>
      <c r="C13" s="32">
        <v>0.09</v>
      </c>
      <c r="D13" s="33">
        <f t="shared" si="0"/>
        <v>1.9953000000000001</v>
      </c>
      <c r="E13" s="34">
        <v>105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22.17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Mélèze d'Europe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112</v>
      </c>
      <c r="C36" s="60">
        <v>1</v>
      </c>
      <c r="D36" s="60">
        <v>20</v>
      </c>
      <c r="E36" s="51">
        <v>0</v>
      </c>
      <c r="F36" s="51">
        <v>0.7</v>
      </c>
      <c r="G36" s="51">
        <v>0</v>
      </c>
      <c r="H36" s="51">
        <v>0.3</v>
      </c>
      <c r="I36" s="49">
        <f>IFERROR(B36/A36,"")</f>
        <v>6.2222222222222223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21</v>
      </c>
      <c r="B37" s="60">
        <v>146</v>
      </c>
      <c r="C37" s="60">
        <v>2</v>
      </c>
      <c r="D37" s="60">
        <v>26</v>
      </c>
      <c r="E37" s="51">
        <v>0</v>
      </c>
      <c r="F37" s="51">
        <v>0.8</v>
      </c>
      <c r="G37" s="51">
        <v>0</v>
      </c>
      <c r="H37" s="51">
        <v>0.2</v>
      </c>
      <c r="I37" s="53">
        <f t="shared" ref="I37:I55" si="1">IF(A37&lt;&gt;0,(B37-(B36-D36))/(A37-A36),"")</f>
        <v>18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24</v>
      </c>
      <c r="B38" s="60">
        <v>168</v>
      </c>
      <c r="C38" s="60">
        <v>3</v>
      </c>
      <c r="D38" s="60">
        <v>29</v>
      </c>
      <c r="E38" s="51">
        <v>0</v>
      </c>
      <c r="F38" s="51">
        <v>0.8</v>
      </c>
      <c r="G38" s="51">
        <v>0</v>
      </c>
      <c r="H38" s="51">
        <v>0.2</v>
      </c>
      <c r="I38" s="53">
        <f t="shared" si="1"/>
        <v>16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30</v>
      </c>
      <c r="B39" s="60">
        <v>224</v>
      </c>
      <c r="C39" s="60">
        <v>4</v>
      </c>
      <c r="D39" s="60">
        <v>53</v>
      </c>
      <c r="E39" s="51">
        <v>0</v>
      </c>
      <c r="F39" s="51">
        <v>0.8</v>
      </c>
      <c r="G39" s="51">
        <v>0</v>
      </c>
      <c r="H39" s="51">
        <v>0.2</v>
      </c>
      <c r="I39" s="49">
        <f t="shared" si="1"/>
        <v>14.166666666666666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36</v>
      </c>
      <c r="B40" s="60">
        <v>248</v>
      </c>
      <c r="C40" s="60">
        <v>5</v>
      </c>
      <c r="D40" s="60">
        <v>62</v>
      </c>
      <c r="E40" s="51">
        <v>0.3</v>
      </c>
      <c r="F40" s="51">
        <v>0.6</v>
      </c>
      <c r="G40" s="51">
        <v>0</v>
      </c>
      <c r="H40" s="51">
        <v>0.1</v>
      </c>
      <c r="I40" s="49">
        <f t="shared" si="1"/>
        <v>12.833333333333334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42</v>
      </c>
      <c r="B41" s="60">
        <v>255</v>
      </c>
      <c r="C41" s="60">
        <v>6</v>
      </c>
      <c r="D41" s="60">
        <v>67</v>
      </c>
      <c r="E41" s="51">
        <v>0.3</v>
      </c>
      <c r="F41" s="51">
        <v>0.6</v>
      </c>
      <c r="G41" s="51">
        <v>0</v>
      </c>
      <c r="H41" s="51">
        <v>0.1</v>
      </c>
      <c r="I41" s="53">
        <f t="shared" si="1"/>
        <v>11.5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48</v>
      </c>
      <c r="B42" s="60">
        <v>252</v>
      </c>
      <c r="C42" s="60">
        <v>7</v>
      </c>
      <c r="D42" s="60">
        <v>65</v>
      </c>
      <c r="E42" s="51">
        <v>0.4</v>
      </c>
      <c r="F42" s="51">
        <v>0.6</v>
      </c>
      <c r="G42" s="51">
        <v>0</v>
      </c>
      <c r="H42" s="51">
        <v>0</v>
      </c>
      <c r="I42" s="53">
        <f t="shared" si="1"/>
        <v>10.666666666666666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60</v>
      </c>
      <c r="B43" s="60">
        <v>304</v>
      </c>
      <c r="C43" s="60" t="s">
        <v>324</v>
      </c>
      <c r="D43" s="60">
        <v>304</v>
      </c>
      <c r="E43" s="51">
        <v>0.4</v>
      </c>
      <c r="F43" s="51">
        <v>0.6</v>
      </c>
      <c r="G43" s="51">
        <v>0</v>
      </c>
      <c r="H43" s="51">
        <v>0</v>
      </c>
      <c r="I43" s="49">
        <f t="shared" si="1"/>
        <v>9.75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Mélèze hybride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12</v>
      </c>
      <c r="B62" s="60">
        <v>116</v>
      </c>
      <c r="C62" s="60">
        <v>1</v>
      </c>
      <c r="D62" s="60">
        <v>21</v>
      </c>
      <c r="E62" s="51">
        <v>0</v>
      </c>
      <c r="F62" s="51">
        <v>0.7</v>
      </c>
      <c r="G62" s="51">
        <v>0</v>
      </c>
      <c r="H62" s="51">
        <v>0.3</v>
      </c>
      <c r="I62" s="53">
        <f>IFERROR(B62/A62,"")</f>
        <v>9.6666666666666661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15</v>
      </c>
      <c r="B63" s="60">
        <v>168</v>
      </c>
      <c r="C63" s="60">
        <v>2</v>
      </c>
      <c r="D63" s="60">
        <v>47</v>
      </c>
      <c r="E63" s="51">
        <v>0</v>
      </c>
      <c r="F63" s="51">
        <v>0.8</v>
      </c>
      <c r="G63" s="51">
        <v>0</v>
      </c>
      <c r="H63" s="51">
        <v>0.2</v>
      </c>
      <c r="I63" s="49">
        <f>IF(A63&lt;&gt;0,(B63-(B62-D62))/(A63-A62),"")</f>
        <v>24.333333333333332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18</v>
      </c>
      <c r="B64" s="60">
        <v>185</v>
      </c>
      <c r="C64" s="60">
        <v>3</v>
      </c>
      <c r="D64" s="60">
        <v>61</v>
      </c>
      <c r="E64" s="51">
        <v>0</v>
      </c>
      <c r="F64" s="51">
        <v>0.8</v>
      </c>
      <c r="G64" s="51">
        <v>0</v>
      </c>
      <c r="H64" s="51">
        <v>0.2</v>
      </c>
      <c r="I64" s="49">
        <f>IF(A64&lt;&gt;0,(B64-(B63-D63))/(A64-A63),"")</f>
        <v>21.333333333333332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24</v>
      </c>
      <c r="B65" s="60">
        <v>239</v>
      </c>
      <c r="C65" s="60">
        <v>4</v>
      </c>
      <c r="D65" s="60">
        <v>84</v>
      </c>
      <c r="E65" s="51">
        <v>0</v>
      </c>
      <c r="F65" s="51">
        <v>0.8</v>
      </c>
      <c r="G65" s="51">
        <v>0</v>
      </c>
      <c r="H65" s="51">
        <v>0.2</v>
      </c>
      <c r="I65" s="49">
        <f>IF(A65&lt;&gt;0,(B65-(B64-D64))/(A65-A64),"")</f>
        <v>19.166666666666668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30</v>
      </c>
      <c r="B66" s="60">
        <v>255</v>
      </c>
      <c r="C66" s="60">
        <v>5</v>
      </c>
      <c r="D66" s="60">
        <v>76</v>
      </c>
      <c r="E66" s="51">
        <v>0.3</v>
      </c>
      <c r="F66" s="51">
        <v>0.6</v>
      </c>
      <c r="G66" s="51">
        <v>0</v>
      </c>
      <c r="H66" s="51">
        <v>0.1</v>
      </c>
      <c r="I66" s="49">
        <f t="shared" ref="I66:I81" si="2">IF(A66&lt;&gt;0,(B66-(B65-D65))/(A66-A65),"")</f>
        <v>16.666666666666668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36</v>
      </c>
      <c r="B67" s="60">
        <v>269</v>
      </c>
      <c r="C67" s="60">
        <v>6</v>
      </c>
      <c r="D67" s="60">
        <v>75</v>
      </c>
      <c r="E67" s="51">
        <v>0.3</v>
      </c>
      <c r="F67" s="51">
        <v>0.6</v>
      </c>
      <c r="G67" s="51">
        <v>0</v>
      </c>
      <c r="H67" s="51">
        <v>0.1</v>
      </c>
      <c r="I67" s="49">
        <f t="shared" si="2"/>
        <v>15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42</v>
      </c>
      <c r="B68" s="60">
        <v>278</v>
      </c>
      <c r="C68" s="60" t="s">
        <v>324</v>
      </c>
      <c r="D68" s="60">
        <v>278</v>
      </c>
      <c r="E68" s="51">
        <v>0.4</v>
      </c>
      <c r="F68" s="51">
        <v>0.6</v>
      </c>
      <c r="G68" s="51">
        <v>0</v>
      </c>
      <c r="H68" s="51">
        <v>0</v>
      </c>
      <c r="I68" s="49">
        <f t="shared" si="2"/>
        <v>14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216.79230769230767</v>
      </c>
      <c r="C88" s="60" t="s">
        <v>325</v>
      </c>
      <c r="D88" s="60">
        <v>0</v>
      </c>
      <c r="E88" s="51">
        <v>0.7</v>
      </c>
      <c r="F88" s="51">
        <v>0.16800000000000001</v>
      </c>
      <c r="G88" s="51">
        <v>0.13200000000000001</v>
      </c>
      <c r="H88" s="87">
        <v>0</v>
      </c>
      <c r="I88" s="53">
        <f>IFERROR(B88/A88,"")</f>
        <v>7.2264102564102561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42</v>
      </c>
      <c r="B89" s="60">
        <v>410.3692307692308</v>
      </c>
      <c r="C89" s="60">
        <v>1</v>
      </c>
      <c r="D89" s="60">
        <v>179.84615384615384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3">IF(A89&lt;&gt;0,(B89-(B88-D88))/(A89-A88),"")</f>
        <v>16.131410256410259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49</v>
      </c>
      <c r="B90" s="60">
        <v>339.85384615384612</v>
      </c>
      <c r="C90" s="60">
        <v>2</v>
      </c>
      <c r="D90" s="60">
        <v>94.476923076923072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3"/>
        <v>15.618681318681309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56</v>
      </c>
      <c r="B91" s="60">
        <v>348.05384615384617</v>
      </c>
      <c r="C91" s="60">
        <v>3</v>
      </c>
      <c r="D91" s="60">
        <v>72.769230769230759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3"/>
        <v>14.668131868131875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63</v>
      </c>
      <c r="B92" s="60">
        <v>375.17692307692306</v>
      </c>
      <c r="C92" s="60">
        <v>4</v>
      </c>
      <c r="D92" s="60">
        <v>71.123076923076923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3"/>
        <v>14.270329670329668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71</v>
      </c>
      <c r="B93" s="60">
        <v>413.95384615384614</v>
      </c>
      <c r="C93" s="60">
        <v>5</v>
      </c>
      <c r="D93" s="60">
        <v>80.399999999999991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3"/>
        <v>13.737499999999997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79</v>
      </c>
      <c r="B94" s="60">
        <v>436.86153846153843</v>
      </c>
      <c r="C94" s="60">
        <v>6</v>
      </c>
      <c r="D94" s="60">
        <v>77.338461538461544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3"/>
        <v>12.913461538461533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87</v>
      </c>
      <c r="B95" s="60">
        <v>456.51538461538462</v>
      </c>
      <c r="C95" s="60">
        <v>7</v>
      </c>
      <c r="D95" s="60">
        <v>77.330769230769235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3"/>
        <v>12.124038461538468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95</v>
      </c>
      <c r="B96" s="60">
        <v>469.12307692307689</v>
      </c>
      <c r="C96" s="60">
        <v>8</v>
      </c>
      <c r="D96" s="60">
        <v>234.42307692307691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3"/>
        <v>11.242307692307691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105</v>
      </c>
      <c r="B97" s="60">
        <v>309.71538461538461</v>
      </c>
      <c r="C97" s="60">
        <v>9</v>
      </c>
      <c r="D97" s="60">
        <v>309.71538461538461</v>
      </c>
      <c r="E97" s="87">
        <v>0.7</v>
      </c>
      <c r="F97" s="87">
        <v>0.16800000000000001</v>
      </c>
      <c r="G97" s="87">
        <v>0.13200000000000001</v>
      </c>
      <c r="H97" s="87">
        <v>0</v>
      </c>
      <c r="I97" s="53">
        <f t="shared" si="3"/>
        <v>7.5015384615384617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Peuplier Koster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4</v>
      </c>
      <c r="B114" s="60">
        <v>2.94</v>
      </c>
      <c r="C114" s="50">
        <v>0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0.73499999999999999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5</v>
      </c>
      <c r="B115" s="60">
        <v>7.6591666666666711</v>
      </c>
      <c r="C115" s="50">
        <v>0</v>
      </c>
      <c r="D115" s="60">
        <v>0</v>
      </c>
      <c r="E115" s="51">
        <v>0</v>
      </c>
      <c r="F115" s="51">
        <v>0</v>
      </c>
      <c r="G115" s="51">
        <v>0</v>
      </c>
      <c r="H115" s="51">
        <v>0</v>
      </c>
      <c r="I115" s="53">
        <f t="shared" ref="I115:I133" si="4">IF(A115&lt;&gt;0,(B115-(B114-D114))/(A115-A114),"")</f>
        <v>4.7191666666666716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6</v>
      </c>
      <c r="B116" s="60">
        <v>13.873589743589744</v>
      </c>
      <c r="C116" s="50">
        <v>0</v>
      </c>
      <c r="D116" s="60">
        <v>0</v>
      </c>
      <c r="E116" s="51">
        <v>0</v>
      </c>
      <c r="F116" s="51">
        <v>0</v>
      </c>
      <c r="G116" s="51">
        <v>0</v>
      </c>
      <c r="H116" s="51">
        <v>0</v>
      </c>
      <c r="I116" s="53">
        <f t="shared" si="4"/>
        <v>6.2144230769230724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7</v>
      </c>
      <c r="B117" s="60">
        <v>21.480576923076921</v>
      </c>
      <c r="C117" s="50">
        <v>0</v>
      </c>
      <c r="D117" s="60">
        <v>0</v>
      </c>
      <c r="E117" s="51">
        <v>0</v>
      </c>
      <c r="F117" s="51">
        <v>0</v>
      </c>
      <c r="G117" s="51">
        <v>0</v>
      </c>
      <c r="H117" s="51">
        <v>0</v>
      </c>
      <c r="I117" s="53">
        <f t="shared" si="4"/>
        <v>7.6069871794871773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8</v>
      </c>
      <c r="B118" s="60">
        <v>30.377435897435895</v>
      </c>
      <c r="C118" s="50">
        <v>0</v>
      </c>
      <c r="D118" s="60">
        <v>0</v>
      </c>
      <c r="E118" s="51">
        <v>0</v>
      </c>
      <c r="F118" s="51">
        <v>0</v>
      </c>
      <c r="G118" s="51">
        <v>0</v>
      </c>
      <c r="H118" s="51">
        <v>0</v>
      </c>
      <c r="I118" s="53">
        <f t="shared" si="4"/>
        <v>8.8968589743589739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9</v>
      </c>
      <c r="B119" s="60">
        <v>40.46147435897435</v>
      </c>
      <c r="C119" s="50">
        <v>0</v>
      </c>
      <c r="D119" s="60">
        <v>0</v>
      </c>
      <c r="E119" s="51">
        <v>0</v>
      </c>
      <c r="F119" s="51">
        <v>0</v>
      </c>
      <c r="G119" s="51">
        <v>0</v>
      </c>
      <c r="H119" s="51">
        <v>0</v>
      </c>
      <c r="I119" s="53">
        <f t="shared" si="4"/>
        <v>10.084038461538455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10</v>
      </c>
      <c r="B120" s="60">
        <v>51.630000000000017</v>
      </c>
      <c r="C120" s="60">
        <v>0</v>
      </c>
      <c r="D120" s="60">
        <v>0</v>
      </c>
      <c r="E120" s="87">
        <v>0</v>
      </c>
      <c r="F120" s="87">
        <v>0</v>
      </c>
      <c r="G120" s="87">
        <v>0</v>
      </c>
      <c r="H120" s="87">
        <v>0</v>
      </c>
      <c r="I120" s="53">
        <f t="shared" si="4"/>
        <v>11.168525641025667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11</v>
      </c>
      <c r="B121" s="60">
        <v>63.780320512820509</v>
      </c>
      <c r="C121" s="60">
        <v>0</v>
      </c>
      <c r="D121" s="60">
        <v>0</v>
      </c>
      <c r="E121" s="87">
        <v>0</v>
      </c>
      <c r="F121" s="87">
        <v>0</v>
      </c>
      <c r="G121" s="87">
        <v>0</v>
      </c>
      <c r="H121" s="87">
        <v>0</v>
      </c>
      <c r="I121" s="53">
        <f t="shared" si="4"/>
        <v>12.150320512820493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12</v>
      </c>
      <c r="B122" s="60">
        <v>76.80974358974359</v>
      </c>
      <c r="C122" s="60">
        <v>0</v>
      </c>
      <c r="D122" s="60">
        <v>0</v>
      </c>
      <c r="E122" s="87">
        <v>0</v>
      </c>
      <c r="F122" s="87">
        <v>0</v>
      </c>
      <c r="G122" s="87">
        <v>0</v>
      </c>
      <c r="H122" s="87">
        <v>0</v>
      </c>
      <c r="I122" s="53">
        <f t="shared" si="4"/>
        <v>13.029423076923081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13</v>
      </c>
      <c r="B123" s="60">
        <v>90.615576923076929</v>
      </c>
      <c r="C123" s="60">
        <v>0</v>
      </c>
      <c r="D123" s="60">
        <v>0</v>
      </c>
      <c r="E123" s="87">
        <v>0</v>
      </c>
      <c r="F123" s="87">
        <v>0</v>
      </c>
      <c r="G123" s="87">
        <v>0</v>
      </c>
      <c r="H123" s="87">
        <v>0</v>
      </c>
      <c r="I123" s="53">
        <f t="shared" si="4"/>
        <v>13.805833333333339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14</v>
      </c>
      <c r="B124" s="60">
        <v>105.09512820512822</v>
      </c>
      <c r="C124" s="60">
        <v>0</v>
      </c>
      <c r="D124" s="60">
        <v>0</v>
      </c>
      <c r="E124" s="87">
        <v>0</v>
      </c>
      <c r="F124" s="87">
        <v>0</v>
      </c>
      <c r="G124" s="87">
        <v>0</v>
      </c>
      <c r="H124" s="87">
        <v>0</v>
      </c>
      <c r="I124" s="53">
        <f t="shared" si="4"/>
        <v>14.47955128205129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15</v>
      </c>
      <c r="B125" s="60">
        <v>120.14570512820511</v>
      </c>
      <c r="C125" s="60">
        <v>0</v>
      </c>
      <c r="D125" s="60">
        <v>0</v>
      </c>
      <c r="E125" s="87">
        <v>0</v>
      </c>
      <c r="F125" s="87">
        <v>0</v>
      </c>
      <c r="G125" s="87">
        <v>0</v>
      </c>
      <c r="H125" s="87">
        <v>0</v>
      </c>
      <c r="I125" s="53">
        <f t="shared" si="4"/>
        <v>15.050576923076889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16</v>
      </c>
      <c r="B126" s="60">
        <v>135.66461538461539</v>
      </c>
      <c r="C126" s="60">
        <v>0</v>
      </c>
      <c r="D126" s="60">
        <v>0</v>
      </c>
      <c r="E126" s="65">
        <v>0</v>
      </c>
      <c r="F126" s="65">
        <v>0</v>
      </c>
      <c r="G126" s="65">
        <v>0</v>
      </c>
      <c r="H126" s="65">
        <v>0</v>
      </c>
      <c r="I126" s="53">
        <f t="shared" si="4"/>
        <v>15.51891025641028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17</v>
      </c>
      <c r="B127" s="60">
        <v>151.54916666666668</v>
      </c>
      <c r="C127" s="60">
        <v>0</v>
      </c>
      <c r="D127" s="60">
        <v>0</v>
      </c>
      <c r="E127" s="65">
        <v>0</v>
      </c>
      <c r="F127" s="65">
        <v>0</v>
      </c>
      <c r="G127" s="65">
        <v>0</v>
      </c>
      <c r="H127" s="65">
        <v>0</v>
      </c>
      <c r="I127" s="53">
        <f t="shared" si="4"/>
        <v>15.884551282051291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18</v>
      </c>
      <c r="B128" s="50">
        <v>167.69666666666663</v>
      </c>
      <c r="C128" s="50">
        <v>0</v>
      </c>
      <c r="D128" s="50">
        <v>0</v>
      </c>
      <c r="E128" s="54">
        <v>0</v>
      </c>
      <c r="F128" s="54">
        <v>0</v>
      </c>
      <c r="G128" s="54">
        <v>0</v>
      </c>
      <c r="H128" s="54">
        <v>0</v>
      </c>
      <c r="I128" s="53">
        <f t="shared" si="4"/>
        <v>16.147499999999951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19</v>
      </c>
      <c r="B129" s="50">
        <v>184.00442307692299</v>
      </c>
      <c r="C129" s="50">
        <v>0</v>
      </c>
      <c r="D129" s="50">
        <v>0</v>
      </c>
      <c r="E129" s="54">
        <v>0</v>
      </c>
      <c r="F129" s="54">
        <v>0</v>
      </c>
      <c r="G129" s="54">
        <v>0</v>
      </c>
      <c r="H129" s="54">
        <v>0</v>
      </c>
      <c r="I129" s="53">
        <f t="shared" si="4"/>
        <v>16.30775641025636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20</v>
      </c>
      <c r="B130" s="50">
        <v>200.36974358974356</v>
      </c>
      <c r="C130" s="50" t="s">
        <v>324</v>
      </c>
      <c r="D130" s="50">
        <v>200.36974358974356</v>
      </c>
      <c r="E130" s="54">
        <v>0.7</v>
      </c>
      <c r="F130" s="54">
        <v>0.15</v>
      </c>
      <c r="G130" s="54">
        <v>0.15</v>
      </c>
      <c r="H130" s="54">
        <v>0</v>
      </c>
      <c r="I130" s="53">
        <f t="shared" si="4"/>
        <v>16.365320512820574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>Pin noir d'Autriche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30</v>
      </c>
      <c r="B140" s="60">
        <v>136.25384615384615</v>
      </c>
      <c r="C140" s="50" t="s">
        <v>325</v>
      </c>
      <c r="D140" s="60">
        <v>0</v>
      </c>
      <c r="E140" s="51">
        <v>0</v>
      </c>
      <c r="F140" s="51">
        <v>0</v>
      </c>
      <c r="G140" s="51">
        <v>0</v>
      </c>
      <c r="H140" s="51">
        <v>0</v>
      </c>
      <c r="I140" s="57">
        <f>IFERROR(B140/A140,"")</f>
        <v>4.5417948717948722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40</v>
      </c>
      <c r="B141" s="60">
        <v>232.1076923076923</v>
      </c>
      <c r="C141" s="50">
        <v>1</v>
      </c>
      <c r="D141" s="60">
        <v>65.969230769230776</v>
      </c>
      <c r="E141" s="51">
        <v>0</v>
      </c>
      <c r="F141" s="51">
        <v>0.63</v>
      </c>
      <c r="G141" s="51">
        <v>0.37</v>
      </c>
      <c r="H141" s="51">
        <v>0</v>
      </c>
      <c r="I141" s="57">
        <f t="shared" ref="I141:I159" si="5">IF(A141&lt;&gt;0,(B141-(B140-D140))/(A141-A140),"")</f>
        <v>9.5853846153846156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55</v>
      </c>
      <c r="B142" s="60">
        <v>289.14615384615382</v>
      </c>
      <c r="C142" s="50">
        <v>2</v>
      </c>
      <c r="D142" s="60">
        <v>65.053846153846152</v>
      </c>
      <c r="E142" s="51">
        <v>0.11</v>
      </c>
      <c r="F142" s="51">
        <v>0.62</v>
      </c>
      <c r="G142" s="51">
        <v>0.27</v>
      </c>
      <c r="H142" s="51">
        <v>0</v>
      </c>
      <c r="I142" s="57">
        <f t="shared" si="5"/>
        <v>8.2005128205128202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70</v>
      </c>
      <c r="B143" s="60">
        <v>333.18461538461537</v>
      </c>
      <c r="C143" s="50">
        <v>3</v>
      </c>
      <c r="D143" s="60">
        <v>62.976923076923079</v>
      </c>
      <c r="E143" s="51">
        <v>0.23</v>
      </c>
      <c r="F143" s="51">
        <v>0.53</v>
      </c>
      <c r="G143" s="51">
        <v>0.34</v>
      </c>
      <c r="H143" s="51">
        <v>0</v>
      </c>
      <c r="I143" s="57">
        <f t="shared" si="5"/>
        <v>7.2728205128205143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80</v>
      </c>
      <c r="B144" s="60">
        <v>335.23076923076917</v>
      </c>
      <c r="C144" s="50">
        <v>4</v>
      </c>
      <c r="D144" s="60">
        <v>56.992307692307691</v>
      </c>
      <c r="E144" s="51">
        <v>0.44</v>
      </c>
      <c r="F144" s="51">
        <v>0.33</v>
      </c>
      <c r="G144" s="51">
        <v>0.23</v>
      </c>
      <c r="H144" s="51">
        <v>0</v>
      </c>
      <c r="I144" s="57">
        <f t="shared" si="5"/>
        <v>6.5023076923076868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95</v>
      </c>
      <c r="B145" s="60">
        <v>372.73846153846154</v>
      </c>
      <c r="C145" s="50">
        <v>5</v>
      </c>
      <c r="D145" s="60">
        <v>203.73846153846154</v>
      </c>
      <c r="E145" s="51">
        <v>0.7</v>
      </c>
      <c r="F145" s="51">
        <v>0.21</v>
      </c>
      <c r="G145" s="51">
        <v>0.09</v>
      </c>
      <c r="H145" s="51">
        <v>0</v>
      </c>
      <c r="I145" s="57">
        <f t="shared" si="5"/>
        <v>6.3000000000000034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105</v>
      </c>
      <c r="B146" s="60">
        <v>213.82307692307694</v>
      </c>
      <c r="C146" s="50">
        <v>6</v>
      </c>
      <c r="D146" s="60">
        <v>213.82307692307694</v>
      </c>
      <c r="E146" s="51">
        <v>0.83</v>
      </c>
      <c r="F146" s="51">
        <v>0.11</v>
      </c>
      <c r="G146" s="51">
        <v>0.06</v>
      </c>
      <c r="H146" s="51">
        <v>0</v>
      </c>
      <c r="I146" s="57">
        <f t="shared" si="5"/>
        <v>4.4823076923076943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20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Mélèze d'Europe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hybride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Peuplier Koster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Pin noir d'Autriche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180.31844548479722</v>
      </c>
      <c r="T3" s="59">
        <f>IF('Données projet'!E9&gt;30,$R$33-$H$33,LOOKUP('Données projet'!$E$9,$A$3:$A$203,R3:R203)-LOOKUP('Données projet'!$E$9,$A$3:$A$203,$H$3:$H$203))</f>
        <v>273.83237400307223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160.54301845388551</v>
      </c>
      <c r="AO3" s="59">
        <f>IF('Données projet'!E10&gt;30,$AM$33-$H$33,LOOKUP('Données projet'!$E$10,$A$3:$A$203,AM3:AM203)-LOOKUP('Données projet'!$E$10,$A$3:$A$203,$H$3:$H$203))</f>
        <v>272.6634844951584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207.25176714718668</v>
      </c>
      <c r="BJ3" s="59">
        <f>IF('Données projet'!E11&gt;30,$BH$33-$H$33,LOOKUP('Données projet'!$E$11,$A$3:$A$203,BH3:BH203)-LOOKUP('Données projet'!$E$11,$A$3:$A$203,$H$3:$H$203))</f>
        <v>191.53228014642559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68.620424404221751</v>
      </c>
      <c r="CE3" s="59">
        <f>IF('Données projet'!E12&gt;30,$CC$33-$H$33,LOOKUP('Données projet'!$E$12,$A$3:$A$203,CC3:CC203)-LOOKUP('Données projet'!$E$12,$A$3:$A$203,$H$3:$H$203))</f>
        <v>203.12945099478918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196.25918971690442</v>
      </c>
      <c r="CZ3" s="59">
        <f>IF('Données projet'!E13&gt;30,$CX$33-$H$33,LOOKUP('Données projet'!$E$13,$A$3:$A$203,CX3:CX203)-LOOKUP('Données projet'!$E$13,$A$3:$A$203,$H$3:$H$203))</f>
        <v>148.35701313170205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11">
        <f>IFERROR(EXP(-1.0587+0.8836*LN(C4)+0.284),0)</f>
        <v>0.23560326283967137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67">
        <f t="shared" ref="H4:H67" si="1">(B4+E4+F4)*44/12+(C4+D4)*0.475*44/12</f>
        <v>294.55877568277907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6.2222222222222223</v>
      </c>
      <c r="N4" s="13">
        <f>IF('Données projet'!$A$36&gt;35,N3+M4-V3,IF(A4&lt;'Données projet'!$A$36,$K$205^A4,IF(A4='Données projet'!$A$36,'Données projet'!$B$36,N3+M4-V3)))</f>
        <v>1.2997069632623315</v>
      </c>
      <c r="O4" s="13">
        <f>N4*VLOOKUP('Données projet'!$B$9,Paramètres!$A$1:$I$89,3,0)*VLOOKUP('Données projet'!$B$9,Paramètres!$A$1:$I$89,5,0)</f>
        <v>0.81101714507569489</v>
      </c>
      <c r="P4" s="13">
        <f>EXP(-1.0587+0.8836*LN(O4)+0.284)</f>
        <v>0.38297551084354686</v>
      </c>
      <c r="Q4" s="20">
        <f t="shared" ref="Q4:Q34" si="2">(O4+P4)*0.475*44/12</f>
        <v>2.0795372090593456</v>
      </c>
      <c r="R4" s="59">
        <f t="shared" si="0"/>
        <v>295.41287054239268</v>
      </c>
      <c r="S4" s="59">
        <f ca="1">AVERAGE(OFFSET($R$3,0,0,'Données projet'!$E$9+1,1))-AVERAGE(OFFSET($H$3,0,0,'Données projet'!$E$9+1,1))</f>
        <v>180.31844548479722</v>
      </c>
      <c r="T4" s="59">
        <f>$T$3</f>
        <v>273.83237400307223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9.6666666666666661</v>
      </c>
      <c r="AI4" s="13">
        <f>IF('Données projet'!$A$62&gt;35,AI3+AH4-AQ3,IF(A4&lt;'Données projet'!$A$62,$AF$205^A4,IF(A4='Données projet'!$A$62,'Données projet'!$B$62,AI3+AH4-AQ3)))</f>
        <v>1.4860662319460807</v>
      </c>
      <c r="AJ4" s="13">
        <f>AI4*VLOOKUP('Données projet'!$B$10,Paramètres!$A$1:$I$89,3,0)*VLOOKUP('Données projet'!$B$10,Paramètres!$A$1:$I$89,5,0)</f>
        <v>0.81139216264255998</v>
      </c>
      <c r="AK4" s="13">
        <f>EXP(-1.0587+0.8836*LN(AJ4)+0.284)</f>
        <v>0.38313198283208655</v>
      </c>
      <c r="AL4" s="20">
        <f t="shared" ref="AL4:AL67" si="4">(AJ4+AK4)*0.475*44/12</f>
        <v>2.0804628867016759</v>
      </c>
      <c r="AM4" s="59">
        <f t="shared" ref="AM4:AM67" si="5">AL4+(AD4+AE4)*44/12</f>
        <v>295.41379622003501</v>
      </c>
      <c r="AN4" s="59">
        <f ca="1">AVERAGE(OFFSET($AM$3,0,0,'Données projet'!$E$10+1,1))-AVERAGE(OFFSET($H$3,0,0,'Données projet'!$E$10+1,1))</f>
        <v>160.54301845388551</v>
      </c>
      <c r="AO4" s="59">
        <f>$AO$3</f>
        <v>272.6634844951584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7.2264102564102561</v>
      </c>
      <c r="BD4" s="12">
        <f>IF('Données projet'!$A$88&gt;35,BD3+BC4-BL3,IF(A4&lt;'Données projet'!$A$88,$BA$205^A4,IF(A4='Données projet'!$A$88,'Données projet'!$B$88,BD3+BC4-BL3)))</f>
        <v>1.1963772029987372</v>
      </c>
      <c r="BE4" s="13">
        <f>BD4*VLOOKUP('Données projet'!$B$11,Paramètres!$A$1:$I$89,3,0)*VLOOKUP('Données projet'!$B$11,Paramètres!$A$1:$I$89,5,0)</f>
        <v>0.55990453100340898</v>
      </c>
      <c r="BF4" s="13">
        <f>EXP(-1.0587+0.8836*LN(BE4)+0.284)</f>
        <v>0.2760486193577778</v>
      </c>
      <c r="BG4" s="20">
        <f t="shared" ref="BG4:BG67" si="7">(BE4+BF4)*0.475*44/12</f>
        <v>1.4559517368790669</v>
      </c>
      <c r="BH4" s="59">
        <f t="shared" ref="BH4:BH67" si="8">BG4+(AY4+AZ4)*44/12</f>
        <v>294.78928507021237</v>
      </c>
      <c r="BI4" s="59">
        <f ca="1">AVERAGE(OFFSET($BH$3,0,0,'Données projet'!$E$11+1,1))-AVERAGE(OFFSET($H$3,0,0,'Données projet'!$E$11+1,1))</f>
        <v>207.25176714718668</v>
      </c>
      <c r="BJ4" s="59">
        <f>$BJ$3</f>
        <v>191.53228014642559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0.73499999999999999</v>
      </c>
      <c r="BY4" s="12">
        <f>IF('Données projet'!$A$114&gt;35,BY3+BX4-CG3,IF(A4&lt;'Données projet'!$A$114,$BV$205^A4,IF(A4='Données projet'!$A$114,'Données projet'!$B$114,BY3+BX4-CG3)))</f>
        <v>1.3094437062921891</v>
      </c>
      <c r="BZ4" s="13">
        <f>BY4*VLOOKUP('Données projet'!$B$12,Paramètres!$A$1:$I$89,3,0)*VLOOKUP('Données projet'!$B$12,Paramètres!$A$1:$I$89,5,0)</f>
        <v>0.6659306912719557</v>
      </c>
      <c r="CA4" s="13">
        <f>EXP(-1.0587+0.8836*LN(BZ4)+0.284)</f>
        <v>0.32176141021660248</v>
      </c>
      <c r="CB4" s="20">
        <f t="shared" ref="CB4:CB67" si="10">(BZ4+CA4)*0.475*44/12</f>
        <v>1.7202304100925723</v>
      </c>
      <c r="CC4" s="59">
        <f t="shared" ref="CC4:CC67" si="11">CB4+(BT4+BU4)*44/12</f>
        <v>295.05356374342591</v>
      </c>
      <c r="CD4" s="59">
        <f ca="1">AVERAGE(OFFSET($CC$3,0,0,'Données projet'!$E$12+1,1))-AVERAGE(OFFSET($H$3,0,0,'Données projet'!$E$12+1,1))</f>
        <v>68.620424404221751</v>
      </c>
      <c r="CE4" s="59">
        <f>$CE$3</f>
        <v>203.12945099478918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4.5417948717948722</v>
      </c>
      <c r="CT4" s="12">
        <f>IF('Données projet'!$A$140&gt;35,CT3+CS4-DB3,IF(A4&lt;'Données projet'!$A$140,$CQ$205^A4,IF(A4='Données projet'!$A$140,'Données projet'!$B$140,CT3+CS4-DB3)))</f>
        <v>1.1779991009866786</v>
      </c>
      <c r="CU4" s="17">
        <f>CT4*VLOOKUP('Données projet'!$B$13,Paramètres!$A$1:$I$89,3,0)*VLOOKUP('Données projet'!$B$13,Paramètres!$A$1:$I$89,5,0)</f>
        <v>0.70444346239003375</v>
      </c>
      <c r="CV4" s="13">
        <f>EXP(-1.0587+0.8836*LN(CU4)+0.284)</f>
        <v>0.3381496302045961</v>
      </c>
      <c r="CW4" s="20">
        <f t="shared" ref="CW4:CW67" si="13">(CU4+CV4)*0.475*44/12</f>
        <v>1.8158496362689804</v>
      </c>
      <c r="CX4" s="59">
        <f t="shared" ref="CX4:CX67" si="14">CW4+(CO4+CP4)*44/12</f>
        <v>295.14918296960229</v>
      </c>
      <c r="CY4" s="59">
        <f ca="1">AVERAGE(OFFSET($CX$3,0,0,'Données projet'!$E$13+1,1))-AVERAGE(OFFSET($H$3,0,0,'Données projet'!$E$13+1,1))</f>
        <v>196.25918971690442</v>
      </c>
      <c r="CZ4" s="59">
        <f>$CZ$3</f>
        <v>148.35701313170205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11">
        <f t="shared" ref="D5:D68" si="32">IFERROR(EXP(-1.0587+0.8836*LN(C5)+0.284),0)</f>
        <v>0.43468174797979486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67">
        <f t="shared" si="1"/>
        <v>295.7206040443981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6.2222222222222223</v>
      </c>
      <c r="N5" s="13">
        <f>IF('Données projet'!$A$36&gt;35,N4+M5-V4,IF(A5&lt;'Données projet'!$A$36,$K$205^A5,IF(A5='Données projet'!$A$36,'Données projet'!$B$36,N4+M5-V4)))</f>
        <v>1.6892381903525915</v>
      </c>
      <c r="O5" s="13">
        <f>N5*VLOOKUP('Données projet'!$B$9,Paramètres!$A$1:$I$89,3,0)*VLOOKUP('Données projet'!$B$9,Paramètres!$A$1:$I$89,5,0)</f>
        <v>1.0540846307800171</v>
      </c>
      <c r="P5" s="13">
        <f t="shared" ref="P5:P68" si="33">EXP(-1.0587+0.8836*LN(O5)+0.284)</f>
        <v>0.48279730809434274</v>
      </c>
      <c r="Q5" s="20">
        <f t="shared" si="2"/>
        <v>2.6767360435395098</v>
      </c>
      <c r="R5" s="59">
        <f t="shared" si="0"/>
        <v>296.01006937687282</v>
      </c>
      <c r="S5" s="59">
        <f ca="1">AVERAGE(OFFSET($R$3,0,0,'Données projet'!$E$9+1,1))-AVERAGE(OFFSET($H$3,0,0,'Données projet'!$E$9+1,1))</f>
        <v>180.31844548479722</v>
      </c>
      <c r="T5" s="59">
        <f t="shared" ref="T5:T68" si="34">$T$3</f>
        <v>273.83237400307223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9.6666666666666661</v>
      </c>
      <c r="AI5" s="13">
        <f>IF('Données projet'!$A$62&gt;35,AI4+AH5-AQ4,IF(A5&lt;'Données projet'!$A$62,$AF$205^A5,IF(A5='Données projet'!$A$62,'Données projet'!$B$62,AI4+AH5-AQ4)))</f>
        <v>2.2083928457304225</v>
      </c>
      <c r="AJ5" s="13">
        <f>AI5*VLOOKUP('Données projet'!$B$10,Paramètres!$A$1:$I$89,3,0)*VLOOKUP('Données projet'!$B$10,Paramètres!$A$1:$I$89,5,0)</f>
        <v>1.2057824937688106</v>
      </c>
      <c r="AK5" s="13">
        <f t="shared" ref="AK5:AK68" si="35">EXP(-1.0587+0.8836*LN(AJ5)+0.284)</f>
        <v>0.54370250071771287</v>
      </c>
      <c r="AL5" s="20">
        <f t="shared" si="4"/>
        <v>3.0470196987306952</v>
      </c>
      <c r="AM5" s="59">
        <f t="shared" si="5"/>
        <v>296.38035303206402</v>
      </c>
      <c r="AN5" s="59">
        <f ca="1">AVERAGE(OFFSET($AM$3,0,0,'Données projet'!$E$10+1,1))-AVERAGE(OFFSET($H$3,0,0,'Données projet'!$E$10+1,1))</f>
        <v>160.54301845388551</v>
      </c>
      <c r="AO5" s="59">
        <f t="shared" ref="AO5:AO68" si="36">$AO$3</f>
        <v>272.6634844951584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7.2264102564102561</v>
      </c>
      <c r="BD5" s="12">
        <f>IF('Données projet'!$A$88&gt;35,BD4+BC5-BL4,IF(A5&lt;'Données projet'!$A$88,$BA$205^A5,IF(A5='Données projet'!$A$88,'Données projet'!$B$88,BD4+BC5-BL4)))</f>
        <v>1.4313184118550817</v>
      </c>
      <c r="BE5" s="13">
        <f>BD5*VLOOKUP('Données projet'!$B$11,Paramètres!$A$1:$I$89,3,0)*VLOOKUP('Données projet'!$B$11,Paramètres!$A$1:$I$89,5,0)</f>
        <v>0.66985701674817832</v>
      </c>
      <c r="BF5" s="13">
        <f t="shared" ref="BF5:BF68" si="37">EXP(-1.0587+0.8836*LN(BE5)+0.284)</f>
        <v>0.32343711768198868</v>
      </c>
      <c r="BG5" s="20">
        <f t="shared" si="7"/>
        <v>1.729987284132541</v>
      </c>
      <c r="BH5" s="59">
        <f t="shared" si="8"/>
        <v>295.06332061746588</v>
      </c>
      <c r="BI5" s="59">
        <f ca="1">AVERAGE(OFFSET($BH$3,0,0,'Données projet'!$E$11+1,1))-AVERAGE(OFFSET($H$3,0,0,'Données projet'!$E$11+1,1))</f>
        <v>207.25176714718668</v>
      </c>
      <c r="BJ5" s="59">
        <f t="shared" ref="BJ5:BJ68" si="38">$BJ$3</f>
        <v>191.53228014642559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0.73499999999999999</v>
      </c>
      <c r="BY5" s="12">
        <f>IF('Données projet'!$A$114&gt;35,BY4+BX5-CG4,IF(A5&lt;'Données projet'!$A$114,$BV$205^A5,IF(A5='Données projet'!$A$114,'Données projet'!$B$114,BY4+BX5-CG4)))</f>
        <v>1.7146428199482249</v>
      </c>
      <c r="BZ5" s="13">
        <f>BY5*VLOOKUP('Données projet'!$B$12,Paramètres!$A$1:$I$89,3,0)*VLOOKUP('Données projet'!$B$12,Paramètres!$A$1:$I$89,5,0)</f>
        <v>0.87199875251286929</v>
      </c>
      <c r="CA5" s="13">
        <f t="shared" ref="CA5:CA68" si="39">EXP(-1.0587+0.8836*LN(BZ5)+0.284)</f>
        <v>0.40831175391390312</v>
      </c>
      <c r="CB5" s="20">
        <f t="shared" si="10"/>
        <v>2.2298741320266284</v>
      </c>
      <c r="CC5" s="59">
        <f t="shared" si="11"/>
        <v>295.56320746535994</v>
      </c>
      <c r="CD5" s="59">
        <f ca="1">AVERAGE(OFFSET($CC$3,0,0,'Données projet'!$E$12+1,1))-AVERAGE(OFFSET($H$3,0,0,'Données projet'!$E$12+1,1))</f>
        <v>68.620424404221751</v>
      </c>
      <c r="CE5" s="59">
        <f t="shared" ref="CE5:CE68" si="40">$CE$3</f>
        <v>203.12945099478918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4.5417948717948722</v>
      </c>
      <c r="CT5" s="12">
        <f>IF('Données projet'!$A$140&gt;35,CT4+CS5-DB4,IF(A5&lt;'Données projet'!$A$140,$CQ$205^A5,IF(A5='Données projet'!$A$140,'Données projet'!$B$140,CT4+CS5-DB4)))</f>
        <v>1.3876818819254231</v>
      </c>
      <c r="CU5" s="17">
        <f>CT5*VLOOKUP('Données projet'!$B$13,Paramètres!$A$1:$I$89,3,0)*VLOOKUP('Données projet'!$B$13,Paramètres!$A$1:$I$89,5,0)</f>
        <v>0.82983376539140297</v>
      </c>
      <c r="CV5" s="13">
        <f t="shared" ref="CV5:CV68" si="41">EXP(-1.0587+0.8836*LN(CU5)+0.284)</f>
        <v>0.39081624043784552</v>
      </c>
      <c r="CW5" s="20">
        <f t="shared" si="13"/>
        <v>2.1259654268192745</v>
      </c>
      <c r="CX5" s="59">
        <f t="shared" si="14"/>
        <v>295.45929876015259</v>
      </c>
      <c r="CY5" s="59">
        <f ca="1">AVERAGE(OFFSET($CX$3,0,0,'Données projet'!$E$13+1,1))-AVERAGE(OFFSET($H$3,0,0,'Données projet'!$E$13+1,1))</f>
        <v>196.25918971690442</v>
      </c>
      <c r="CZ5" s="59">
        <f t="shared" ref="CZ5:CZ68" si="42">$CZ$3</f>
        <v>148.35701313170205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11">
        <f t="shared" si="32"/>
        <v>0.62196456335211292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67">
        <f t="shared" si="1"/>
        <v>296.86188828117156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6.2222222222222223</v>
      </c>
      <c r="N6" s="13">
        <f>IF('Données projet'!$A$36&gt;35,N5+M6-V5,IF(A6&lt;'Données projet'!$A$36,$K$205^A6,IF(A6='Données projet'!$A$36,'Données projet'!$B$36,N5+M6-V5)))</f>
        <v>2.1955146386099229</v>
      </c>
      <c r="O6" s="13">
        <f>N6*VLOOKUP('Données projet'!$B$9,Paramètres!$A$1:$I$89,3,0)*VLOOKUP('Données projet'!$B$9,Paramètres!$A$1:$I$89,5,0)</f>
        <v>1.3700011344925918</v>
      </c>
      <c r="P6" s="13">
        <f t="shared" si="33"/>
        <v>0.60863745619068288</v>
      </c>
      <c r="Q6" s="20">
        <f t="shared" si="2"/>
        <v>3.4461288787733699</v>
      </c>
      <c r="R6" s="59">
        <f t="shared" si="0"/>
        <v>296.77946221210669</v>
      </c>
      <c r="S6" s="59">
        <f ca="1">AVERAGE(OFFSET($R$3,0,0,'Données projet'!$E$9+1,1))-AVERAGE(OFFSET($H$3,0,0,'Données projet'!$E$9+1,1))</f>
        <v>180.31844548479722</v>
      </c>
      <c r="T6" s="59">
        <f t="shared" si="34"/>
        <v>273.83237400307223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9.6666666666666661</v>
      </c>
      <c r="AI6" s="13">
        <f>IF('Données projet'!$A$62&gt;35,AI5+AH6-AQ5,IF(A6&lt;'Données projet'!$A$62,$AF$205^A6,IF(A6='Données projet'!$A$62,'Données projet'!$B$62,AI5+AH6-AQ5)))</f>
        <v>3.2818180349112911</v>
      </c>
      <c r="AJ6" s="13">
        <f>AI6*VLOOKUP('Données projet'!$B$10,Paramètres!$A$1:$I$89,3,0)*VLOOKUP('Données projet'!$B$10,Paramètres!$A$1:$I$89,5,0)</f>
        <v>1.7918726470615651</v>
      </c>
      <c r="AK6" s="13">
        <f t="shared" si="35"/>
        <v>0.77156808236563035</v>
      </c>
      <c r="AL6" s="20">
        <f t="shared" si="4"/>
        <v>4.4646592704190313</v>
      </c>
      <c r="AM6" s="59">
        <f t="shared" si="5"/>
        <v>297.79799260375233</v>
      </c>
      <c r="AN6" s="59">
        <f ca="1">AVERAGE(OFFSET($AM$3,0,0,'Données projet'!$E$10+1,1))-AVERAGE(OFFSET($H$3,0,0,'Données projet'!$E$10+1,1))</f>
        <v>160.54301845388551</v>
      </c>
      <c r="AO6" s="59">
        <f t="shared" si="36"/>
        <v>272.6634844951584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7.2264102564102561</v>
      </c>
      <c r="BD6" s="12">
        <f>IF('Données projet'!$A$88&gt;35,BD5+BC6-BL5,IF(A6&lt;'Données projet'!$A$88,$BA$205^A6,IF(A6='Données projet'!$A$88,'Données projet'!$B$88,BD5+BC6-BL5)))</f>
        <v>1.7123967181757771</v>
      </c>
      <c r="BE6" s="13">
        <f>BD6*VLOOKUP('Données projet'!$B$11,Paramètres!$A$1:$I$89,3,0)*VLOOKUP('Données projet'!$B$11,Paramètres!$A$1:$I$89,5,0)</f>
        <v>0.80140166410626379</v>
      </c>
      <c r="BF6" s="13">
        <f t="shared" si="37"/>
        <v>0.37896066764546593</v>
      </c>
      <c r="BG6" s="20">
        <f t="shared" si="7"/>
        <v>2.0557977278009294</v>
      </c>
      <c r="BH6" s="59">
        <f t="shared" si="8"/>
        <v>295.38913106113426</v>
      </c>
      <c r="BI6" s="59">
        <f ca="1">AVERAGE(OFFSET($BH$3,0,0,'Données projet'!$E$11+1,1))-AVERAGE(OFFSET($H$3,0,0,'Données projet'!$E$11+1,1))</f>
        <v>207.25176714718668</v>
      </c>
      <c r="BJ6" s="59">
        <f t="shared" si="38"/>
        <v>191.53228014642559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0.73499999999999999</v>
      </c>
      <c r="BY6" s="12">
        <f>IF('Données projet'!$A$114&gt;35,BY5+BX6-CG5,IF(A6&lt;'Données projet'!$A$114,$BV$205^A6,IF(A6='Données projet'!$A$114,'Données projet'!$B$114,BY5+BX6-CG5)))</f>
        <v>2.2452282491202942</v>
      </c>
      <c r="BZ6" s="13">
        <f>BY6*VLOOKUP('Données projet'!$B$12,Paramètres!$A$1:$I$89,3,0)*VLOOKUP('Données projet'!$B$12,Paramètres!$A$1:$I$89,5,0)</f>
        <v>1.1418332783726168</v>
      </c>
      <c r="CA6" s="13">
        <f t="shared" si="39"/>
        <v>0.51814320515321177</v>
      </c>
      <c r="CB6" s="20">
        <f t="shared" si="10"/>
        <v>2.8911257088074844</v>
      </c>
      <c r="CC6" s="59">
        <f t="shared" si="11"/>
        <v>296.22445904214078</v>
      </c>
      <c r="CD6" s="59">
        <f ca="1">AVERAGE(OFFSET($CC$3,0,0,'Données projet'!$E$12+1,1))-AVERAGE(OFFSET($H$3,0,0,'Données projet'!$E$12+1,1))</f>
        <v>68.620424404221751</v>
      </c>
      <c r="CE6" s="59">
        <f t="shared" si="40"/>
        <v>203.12945099478918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4.5417948717948722</v>
      </c>
      <c r="CT6" s="12">
        <f>IF('Données projet'!$A$140&gt;35,CT5+CS6-DB5,IF(A6&lt;'Données projet'!$A$140,$CQ$205^A6,IF(A6='Données projet'!$A$140,'Données projet'!$B$140,CT5+CS6-DB5)))</f>
        <v>1.6346880093636507</v>
      </c>
      <c r="CU6" s="17">
        <f>CT6*VLOOKUP('Données projet'!$B$13,Paramètres!$A$1:$I$89,3,0)*VLOOKUP('Données projet'!$B$13,Paramètres!$A$1:$I$89,5,0)</f>
        <v>0.97754342959946317</v>
      </c>
      <c r="CV6" s="13">
        <f t="shared" si="41"/>
        <v>0.45168564489500912</v>
      </c>
      <c r="CW6" s="20">
        <f t="shared" si="13"/>
        <v>2.4892406380778724</v>
      </c>
      <c r="CX6" s="59">
        <f t="shared" si="14"/>
        <v>295.8225739714112</v>
      </c>
      <c r="CY6" s="59">
        <f ca="1">AVERAGE(OFFSET($CX$3,0,0,'Données projet'!$E$13+1,1))-AVERAGE(OFFSET($H$3,0,0,'Données projet'!$E$13+1,1))</f>
        <v>196.25918971690442</v>
      </c>
      <c r="CZ6" s="59">
        <f t="shared" si="42"/>
        <v>148.35701313170205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11">
        <f t="shared" si="32"/>
        <v>0.80197625342459555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67">
        <f t="shared" si="1"/>
        <v>297.99050864138115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6.2222222222222223</v>
      </c>
      <c r="N7" s="13">
        <f>IF('Données projet'!$A$36&gt;35,N6+M7-V6,IF(A7&lt;'Données projet'!$A$36,$K$205^A7,IF(A7='Données projet'!$A$36,'Données projet'!$B$36,N6+M7-V6)))</f>
        <v>2.8535256637456983</v>
      </c>
      <c r="O7" s="13">
        <f>N7*VLOOKUP('Données projet'!$B$9,Paramètres!$A$1:$I$89,3,0)*VLOOKUP('Données projet'!$B$9,Paramètres!$A$1:$I$89,5,0)</f>
        <v>1.7806000141773157</v>
      </c>
      <c r="P7" s="13">
        <f t="shared" si="33"/>
        <v>0.76727758599241935</v>
      </c>
      <c r="Q7" s="20">
        <f t="shared" si="2"/>
        <v>4.4375534869622877</v>
      </c>
      <c r="R7" s="59">
        <f t="shared" si="0"/>
        <v>297.77088682029563</v>
      </c>
      <c r="S7" s="59">
        <f ca="1">AVERAGE(OFFSET($R$3,0,0,'Données projet'!$E$9+1,1))-AVERAGE(OFFSET($H$3,0,0,'Données projet'!$E$9+1,1))</f>
        <v>180.31844548479722</v>
      </c>
      <c r="T7" s="59">
        <f t="shared" si="34"/>
        <v>273.83237400307223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9.6666666666666661</v>
      </c>
      <c r="AI7" s="13">
        <f>IF('Données projet'!$A$62&gt;35,AI6+AH7-AQ6,IF(A7&lt;'Données projet'!$A$62,$AF$205^A7,IF(A7='Données projet'!$A$62,'Données projet'!$B$62,AI6+AH7-AQ6)))</f>
        <v>4.8769989610733138</v>
      </c>
      <c r="AJ7" s="13">
        <f>AI7*VLOOKUP('Données projet'!$B$10,Paramètres!$A$1:$I$89,3,0)*VLOOKUP('Données projet'!$B$10,Paramètres!$A$1:$I$89,5,0)</f>
        <v>2.6628414327460295</v>
      </c>
      <c r="AK7" s="13">
        <f t="shared" si="35"/>
        <v>1.0949320721157787</v>
      </c>
      <c r="AL7" s="20">
        <f t="shared" si="4"/>
        <v>6.5447888543009825</v>
      </c>
      <c r="AM7" s="59">
        <f t="shared" si="5"/>
        <v>299.87812218763429</v>
      </c>
      <c r="AN7" s="59">
        <f ca="1">AVERAGE(OFFSET($AM$3,0,0,'Données projet'!$E$10+1,1))-AVERAGE(OFFSET($H$3,0,0,'Données projet'!$E$10+1,1))</f>
        <v>160.54301845388551</v>
      </c>
      <c r="AO7" s="59">
        <f t="shared" si="36"/>
        <v>272.6634844951584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7.2264102564102561</v>
      </c>
      <c r="BD7" s="12">
        <f>IF('Données projet'!$A$88&gt;35,BD6+BC7-BL6,IF(A7&lt;'Données projet'!$A$88,$BA$205^A7,IF(A7='Données projet'!$A$88,'Données projet'!$B$88,BD6+BC7-BL6)))</f>
        <v>2.0486723961153532</v>
      </c>
      <c r="BE7" s="13">
        <f>BD7*VLOOKUP('Données projet'!$B$11,Paramètres!$A$1:$I$89,3,0)*VLOOKUP('Données projet'!$B$11,Paramètres!$A$1:$I$89,5,0)</f>
        <v>0.95877868138198519</v>
      </c>
      <c r="BF7" s="13">
        <f t="shared" si="37"/>
        <v>0.44401579092570115</v>
      </c>
      <c r="BG7" s="20">
        <f t="shared" si="7"/>
        <v>2.4432003726025537</v>
      </c>
      <c r="BH7" s="59">
        <f t="shared" si="8"/>
        <v>295.77653370593589</v>
      </c>
      <c r="BI7" s="59">
        <f ca="1">AVERAGE(OFFSET($BH$3,0,0,'Données projet'!$E$11+1,1))-AVERAGE(OFFSET($H$3,0,0,'Données projet'!$E$11+1,1))</f>
        <v>207.25176714718668</v>
      </c>
      <c r="BJ7" s="59">
        <f t="shared" si="38"/>
        <v>191.53228014642559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>
        <f>VLOOKUP(A7,'Données projet'!$A$113:$I$133,2,0)</f>
        <v>2.94</v>
      </c>
      <c r="BW7" s="12">
        <f>VLOOKUP(A7,'Données projet'!$A$113:$I$133,9,0)</f>
        <v>0.73499999999999999</v>
      </c>
      <c r="BX7" s="12">
        <f t="array" ref="BX7">INDEX(BW:BW,MIN(IF(ISNUMBER(BW7:BW203),ROW(BW7:BW203),"")))</f>
        <v>0.73499999999999999</v>
      </c>
      <c r="BY7" s="12">
        <f>IF('Données projet'!$A$114&gt;35,BY6+BX7-CG6,IF(A7&lt;'Données projet'!$A$114,$BV$205^A7,IF(A7='Données projet'!$A$114,'Données projet'!$B$114,BY6+BX7-CG6)))</f>
        <v>2.94</v>
      </c>
      <c r="BZ7" s="13">
        <f>BY7*VLOOKUP('Données projet'!$B$12,Paramètres!$A$1:$I$89,3,0)*VLOOKUP('Données projet'!$B$12,Paramètres!$A$1:$I$89,5,0)</f>
        <v>1.4951664000000002</v>
      </c>
      <c r="CA7" s="13">
        <f t="shared" si="39"/>
        <v>0.65751813038194717</v>
      </c>
      <c r="CB7" s="20">
        <f t="shared" si="10"/>
        <v>3.7492588904152253</v>
      </c>
      <c r="CC7" s="59">
        <f t="shared" si="11"/>
        <v>297.08259222374852</v>
      </c>
      <c r="CD7" s="59">
        <f ca="1">AVERAGE(OFFSET($CC$3,0,0,'Données projet'!$E$12+1,1))-AVERAGE(OFFSET($H$3,0,0,'Données projet'!$E$12+1,1))</f>
        <v>68.620424404221751</v>
      </c>
      <c r="CE7" s="59">
        <f t="shared" si="40"/>
        <v>203.12945099478918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4.5417948717948722</v>
      </c>
      <c r="CT7" s="12">
        <f>IF('Données projet'!$A$140&gt;35,CT6+CS7-DB6,IF(A7&lt;'Données projet'!$A$140,$CQ$205^A7,IF(A7='Données projet'!$A$140,'Données projet'!$B$140,CT6+CS7-DB6)))</f>
        <v>1.9256610054240839</v>
      </c>
      <c r="CU7" s="17">
        <f>CT7*VLOOKUP('Données projet'!$B$13,Paramètres!$A$1:$I$89,3,0)*VLOOKUP('Données projet'!$B$13,Paramètres!$A$1:$I$89,5,0)</f>
        <v>1.1515452812436022</v>
      </c>
      <c r="CV7" s="13">
        <f t="shared" si="41"/>
        <v>0.52203542405415249</v>
      </c>
      <c r="CW7" s="20">
        <f t="shared" si="13"/>
        <v>2.914819728393589</v>
      </c>
      <c r="CX7" s="59">
        <f t="shared" si="14"/>
        <v>296.2481530617269</v>
      </c>
      <c r="CY7" s="59">
        <f ca="1">AVERAGE(OFFSET($CX$3,0,0,'Données projet'!$E$13+1,1))-AVERAGE(OFFSET($H$3,0,0,'Données projet'!$E$13+1,1))</f>
        <v>196.25918971690442</v>
      </c>
      <c r="CZ7" s="59">
        <f t="shared" si="42"/>
        <v>148.35701313170205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11">
        <f t="shared" si="32"/>
        <v>0.97676749007450259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67">
        <f t="shared" si="1"/>
        <v>299.11003671187973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6.2222222222222223</v>
      </c>
      <c r="N8" s="13">
        <f>IF('Données projet'!$A$36&gt;35,N7+M8-V7,IF(A8&lt;'Données projet'!$A$36,$K$205^A8,IF(A8='Données projet'!$A$36,'Données projet'!$B$36,N7+M8-V7)))</f>
        <v>3.7087471750180505</v>
      </c>
      <c r="O8" s="13">
        <f>N8*VLOOKUP('Données projet'!$B$9,Paramètres!$A$1:$I$89,3,0)*VLOOKUP('Données projet'!$B$9,Paramètres!$A$1:$I$89,5,0)</f>
        <v>2.3142582372112632</v>
      </c>
      <c r="P8" s="13">
        <f t="shared" si="33"/>
        <v>0.96726694681425085</v>
      </c>
      <c r="Q8" s="20">
        <f t="shared" si="2"/>
        <v>5.7153230288444377</v>
      </c>
      <c r="R8" s="59">
        <f t="shared" si="0"/>
        <v>299.04865636217778</v>
      </c>
      <c r="S8" s="59">
        <f ca="1">AVERAGE(OFFSET($R$3,0,0,'Données projet'!$E$9+1,1))-AVERAGE(OFFSET($H$3,0,0,'Données projet'!$E$9+1,1))</f>
        <v>180.31844548479722</v>
      </c>
      <c r="T8" s="59">
        <f t="shared" si="34"/>
        <v>273.83237400307223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9.6666666666666661</v>
      </c>
      <c r="AI8" s="13">
        <f>IF('Données projet'!$A$62&gt;35,AI7+AH8-AQ7,IF(A8&lt;'Données projet'!$A$62,$AF$205^A8,IF(A8='Données projet'!$A$62,'Données projet'!$B$62,AI7+AH8-AQ7)))</f>
        <v>7.2475434692871694</v>
      </c>
      <c r="AJ8" s="13">
        <f>AI8*VLOOKUP('Données projet'!$B$10,Paramètres!$A$1:$I$89,3,0)*VLOOKUP('Données projet'!$B$10,Paramètres!$A$1:$I$89,5,0)</f>
        <v>3.9571587342307946</v>
      </c>
      <c r="AK8" s="13">
        <f t="shared" si="35"/>
        <v>1.5538178288453746</v>
      </c>
      <c r="AL8" s="20">
        <f t="shared" si="4"/>
        <v>9.5982841806909942</v>
      </c>
      <c r="AM8" s="59">
        <f t="shared" si="5"/>
        <v>302.93161751402431</v>
      </c>
      <c r="AN8" s="59">
        <f ca="1">AVERAGE(OFFSET($AM$3,0,0,'Données projet'!$E$10+1,1))-AVERAGE(OFFSET($H$3,0,0,'Données projet'!$E$10+1,1))</f>
        <v>160.54301845388551</v>
      </c>
      <c r="AO8" s="59">
        <f t="shared" si="36"/>
        <v>272.6634844951584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7.2264102564102561</v>
      </c>
      <c r="BD8" s="12">
        <f>IF('Données projet'!$A$88&gt;35,BD7+BC8-BL7,IF(A8&lt;'Données projet'!$A$88,$BA$205^A8,IF(A8='Données projet'!$A$88,'Données projet'!$B$88,BD7+BC8-BL7)))</f>
        <v>2.4509849511252071</v>
      </c>
      <c r="BE8" s="13">
        <f>BD8*VLOOKUP('Données projet'!$B$11,Paramètres!$A$1:$I$89,3,0)*VLOOKUP('Données projet'!$B$11,Paramètres!$A$1:$I$89,5,0)</f>
        <v>1.1470609571265968</v>
      </c>
      <c r="BF8" s="13">
        <f t="shared" si="37"/>
        <v>0.52023874619045773</v>
      </c>
      <c r="BG8" s="20">
        <f t="shared" si="7"/>
        <v>2.9038803166105365</v>
      </c>
      <c r="BH8" s="59">
        <f t="shared" si="8"/>
        <v>296.23721364994384</v>
      </c>
      <c r="BI8" s="59">
        <f ca="1">AVERAGE(OFFSET($BH$3,0,0,'Données projet'!$E$11+1,1))-AVERAGE(OFFSET($H$3,0,0,'Données projet'!$E$11+1,1))</f>
        <v>207.25176714718668</v>
      </c>
      <c r="BJ8" s="59">
        <f t="shared" si="38"/>
        <v>191.53228014642559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>
        <f>VLOOKUP(A8,'Données projet'!$A$113:$I$133,2,0)</f>
        <v>7.6591666666666711</v>
      </c>
      <c r="BW8" s="12">
        <f>VLOOKUP(A8,'Données projet'!$A$113:$I$133,9,0)</f>
        <v>4.7191666666666716</v>
      </c>
      <c r="BX8" s="12">
        <f t="array" ref="BX8">INDEX(BW:BW,MIN(IF(ISNUMBER(BW8:BW204),ROW(BW8:BW204),"")))</f>
        <v>4.7191666666666716</v>
      </c>
      <c r="BY8" s="12">
        <f>IF('Données projet'!$A$114&gt;35,BY7+BX8-CG7,IF(A8&lt;'Données projet'!$A$114,$BV$205^A8,IF(A8='Données projet'!$A$114,'Données projet'!$B$114,BY7+BX8-CG7)))</f>
        <v>7.6591666666666711</v>
      </c>
      <c r="BZ8" s="13">
        <f>BY8*VLOOKUP('Données projet'!$B$12,Paramètres!$A$1:$I$89,3,0)*VLOOKUP('Données projet'!$B$12,Paramètres!$A$1:$I$89,5,0)</f>
        <v>3.8951458000000025</v>
      </c>
      <c r="CA8" s="13">
        <f t="shared" si="39"/>
        <v>1.5322824327088642</v>
      </c>
      <c r="CB8" s="20">
        <f t="shared" si="10"/>
        <v>9.4527708386346081</v>
      </c>
      <c r="CC8" s="59">
        <f t="shared" si="11"/>
        <v>302.78610417196791</v>
      </c>
      <c r="CD8" s="59">
        <f ca="1">AVERAGE(OFFSET($CC$3,0,0,'Données projet'!$E$12+1,1))-AVERAGE(OFFSET($H$3,0,0,'Données projet'!$E$12+1,1))</f>
        <v>68.620424404221751</v>
      </c>
      <c r="CE8" s="59">
        <f t="shared" si="40"/>
        <v>203.12945099478918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4.5417948717948722</v>
      </c>
      <c r="CT8" s="12">
        <f>IF('Données projet'!$A$140&gt;35,CT7+CS8-DB7,IF(A8&lt;'Données projet'!$A$140,$CQ$205^A8,IF(A8='Données projet'!$A$140,'Données projet'!$B$140,CT7+CS8-DB7)))</f>
        <v>2.2684269331946743</v>
      </c>
      <c r="CU8" s="17">
        <f>CT8*VLOOKUP('Données projet'!$B$13,Paramètres!$A$1:$I$89,3,0)*VLOOKUP('Données projet'!$B$13,Paramètres!$A$1:$I$89,5,0)</f>
        <v>1.3565193060504153</v>
      </c>
      <c r="CV8" s="13">
        <f t="shared" si="41"/>
        <v>0.60334214081730264</v>
      </c>
      <c r="CW8" s="20">
        <f t="shared" si="13"/>
        <v>3.4134253532946084</v>
      </c>
      <c r="CX8" s="59">
        <f t="shared" si="14"/>
        <v>296.74675868662791</v>
      </c>
      <c r="CY8" s="59">
        <f ca="1">AVERAGE(OFFSET($CX$3,0,0,'Données projet'!$E$13+1,1))-AVERAGE(OFFSET($H$3,0,0,'Données projet'!$E$13+1,1))</f>
        <v>196.25918971690442</v>
      </c>
      <c r="CZ8" s="59">
        <f t="shared" si="42"/>
        <v>148.35701313170205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11">
        <f t="shared" si="32"/>
        <v>1.1475080621585647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67">
        <f t="shared" si="1"/>
        <v>300.22250987492617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6.2222222222222223</v>
      </c>
      <c r="N9" s="13">
        <f>IF('Données projet'!$A$36&gt;35,N8+M9-V8,IF(A9&lt;'Données projet'!$A$36,$K$205^A9,IF(A9='Données projet'!$A$36,'Données projet'!$B$36,N8+M9-V8)))</f>
        <v>4.8202845283504612</v>
      </c>
      <c r="O9" s="13">
        <f>N9*VLOOKUP('Données projet'!$B$9,Paramètres!$A$1:$I$89,3,0)*VLOOKUP('Données projet'!$B$9,Paramètres!$A$1:$I$89,5,0)</f>
        <v>3.0078575456906878</v>
      </c>
      <c r="P9" s="13">
        <f t="shared" si="33"/>
        <v>1.2193831326236693</v>
      </c>
      <c r="Q9" s="20">
        <f t="shared" si="2"/>
        <v>7.3624441813975059</v>
      </c>
      <c r="R9" s="59">
        <f t="shared" si="0"/>
        <v>300.69577751473082</v>
      </c>
      <c r="S9" s="59">
        <f ca="1">AVERAGE(OFFSET($R$3,0,0,'Données projet'!$E$9+1,1))-AVERAGE(OFFSET($H$3,0,0,'Données projet'!$E$9+1,1))</f>
        <v>180.31844548479722</v>
      </c>
      <c r="T9" s="59">
        <f t="shared" si="34"/>
        <v>273.83237400307223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9.6666666666666661</v>
      </c>
      <c r="AI9" s="13">
        <f>IF('Données projet'!$A$62&gt;35,AI8+AH9-AQ8,IF(A9&lt;'Données projet'!$A$62,$AF$205^A9,IF(A9='Données projet'!$A$62,'Données projet'!$B$62,AI8+AH9-AQ8)))</f>
        <v>10.770329614269009</v>
      </c>
      <c r="AJ9" s="13">
        <f>AI9*VLOOKUP('Données projet'!$B$10,Paramètres!$A$1:$I$89,3,0)*VLOOKUP('Données projet'!$B$10,Paramètres!$A$1:$I$89,5,0)</f>
        <v>5.8805999693908788</v>
      </c>
      <c r="AK9" s="13">
        <f t="shared" si="35"/>
        <v>2.2050224910961043</v>
      </c>
      <c r="AL9" s="20">
        <f t="shared" si="4"/>
        <v>14.082459118681493</v>
      </c>
      <c r="AM9" s="59">
        <f t="shared" si="5"/>
        <v>307.41579245201478</v>
      </c>
      <c r="AN9" s="59">
        <f ca="1">AVERAGE(OFFSET($AM$3,0,0,'Données projet'!$E$10+1,1))-AVERAGE(OFFSET($H$3,0,0,'Données projet'!$E$10+1,1))</f>
        <v>160.54301845388551</v>
      </c>
      <c r="AO9" s="59">
        <f t="shared" si="36"/>
        <v>272.6634844951584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7.2264102564102561</v>
      </c>
      <c r="BD9" s="12">
        <f>IF('Données projet'!$A$88&gt;35,BD8+BC9-BL8,IF(A9&lt;'Données projet'!$A$88,$BA$205^A9,IF(A9='Données projet'!$A$88,'Données projet'!$B$88,BD8+BC9-BL8)))</f>
        <v>2.9323025204191722</v>
      </c>
      <c r="BE9" s="13">
        <f>BD9*VLOOKUP('Données projet'!$B$11,Paramètres!$A$1:$I$89,3,0)*VLOOKUP('Données projet'!$B$11,Paramètres!$A$1:$I$89,5,0)</f>
        <v>1.3723175795561726</v>
      </c>
      <c r="BF9" s="13">
        <f t="shared" si="37"/>
        <v>0.60954668407977464</v>
      </c>
      <c r="BG9" s="20">
        <f t="shared" si="7"/>
        <v>3.4517469258326074</v>
      </c>
      <c r="BH9" s="59">
        <f t="shared" si="8"/>
        <v>296.78508025916591</v>
      </c>
      <c r="BI9" s="59">
        <f ca="1">AVERAGE(OFFSET($BH$3,0,0,'Données projet'!$E$11+1,1))-AVERAGE(OFFSET($H$3,0,0,'Données projet'!$E$11+1,1))</f>
        <v>207.25176714718668</v>
      </c>
      <c r="BJ9" s="59">
        <f t="shared" si="38"/>
        <v>191.53228014642559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>
        <f>VLOOKUP(A9,'Données projet'!$A$113:$I$133,2,0)</f>
        <v>13.873589743589744</v>
      </c>
      <c r="BW9" s="12">
        <f>VLOOKUP(A9,'Données projet'!$A$113:$I$133,9,0)</f>
        <v>6.2144230769230724</v>
      </c>
      <c r="BX9" s="12">
        <f t="array" ref="BX9">INDEX(BW:BW,MIN(IF(ISNUMBER(BW9:BW205),ROW(BW9:BW205),"")))</f>
        <v>6.2144230769230724</v>
      </c>
      <c r="BY9" s="12">
        <f>IF('Données projet'!$A$114&gt;35,BY8+BX9-CG8,IF(A9&lt;'Données projet'!$A$114,$BV$205^A9,IF(A9='Données projet'!$A$114,'Données projet'!$B$114,BY8+BX9-CG8)))</f>
        <v>13.873589743589744</v>
      </c>
      <c r="BZ9" s="13">
        <f>BY9*VLOOKUP('Données projet'!$B$12,Paramètres!$A$1:$I$89,3,0)*VLOOKUP('Données projet'!$B$12,Paramètres!$A$1:$I$89,5,0)</f>
        <v>7.0555528000000001</v>
      </c>
      <c r="CA9" s="13">
        <f t="shared" si="39"/>
        <v>2.5900854805149982</v>
      </c>
      <c r="CB9" s="20">
        <f t="shared" si="10"/>
        <v>16.799486671896954</v>
      </c>
      <c r="CC9" s="59">
        <f t="shared" si="11"/>
        <v>310.13282000523026</v>
      </c>
      <c r="CD9" s="59">
        <f ca="1">AVERAGE(OFFSET($CC$3,0,0,'Données projet'!$E$12+1,1))-AVERAGE(OFFSET($H$3,0,0,'Données projet'!$E$12+1,1))</f>
        <v>68.620424404221751</v>
      </c>
      <c r="CE9" s="59">
        <f t="shared" si="40"/>
        <v>203.12945099478918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4.5417948717948722</v>
      </c>
      <c r="CT9" s="12">
        <f>IF('Données projet'!$A$140&gt;35,CT8+CS9-DB8,IF(A9&lt;'Données projet'!$A$140,$CQ$205^A9,IF(A9='Données projet'!$A$140,'Données projet'!$B$140,CT8+CS9-DB8)))</f>
        <v>2.672204887957295</v>
      </c>
      <c r="CU9" s="17">
        <f>CT9*VLOOKUP('Données projet'!$B$13,Paramètres!$A$1:$I$89,3,0)*VLOOKUP('Données projet'!$B$13,Paramètres!$A$1:$I$89,5,0)</f>
        <v>1.5979785229984627</v>
      </c>
      <c r="CV9" s="13">
        <f t="shared" si="41"/>
        <v>0.69731233190842767</v>
      </c>
      <c r="CW9" s="20">
        <f t="shared" si="13"/>
        <v>3.9976315722961666</v>
      </c>
      <c r="CX9" s="59">
        <f t="shared" si="14"/>
        <v>297.33096490562946</v>
      </c>
      <c r="CY9" s="59">
        <f ca="1">AVERAGE(OFFSET($CX$3,0,0,'Données projet'!$E$13+1,1))-AVERAGE(OFFSET($H$3,0,0,'Données projet'!$E$13+1,1))</f>
        <v>196.25918971690442</v>
      </c>
      <c r="CZ9" s="59">
        <f t="shared" si="42"/>
        <v>148.35701313170205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11">
        <f t="shared" si="32"/>
        <v>1.3149520873221709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67">
        <f t="shared" si="1"/>
        <v>301.3292415520861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6.2222222222222223</v>
      </c>
      <c r="N10" s="13">
        <f>IF('Données projet'!$A$36&gt;35,N9+M10-V9,IF(A10&lt;'Données projet'!$A$36,$K$205^A10,IF(A10='Données projet'!$A$36,'Données projet'!$B$36,N9+M10-V9)))</f>
        <v>6.2649573664027773</v>
      </c>
      <c r="O10" s="13">
        <f>N10*VLOOKUP('Données projet'!$B$9,Paramètres!$A$1:$I$89,3,0)*VLOOKUP('Données projet'!$B$9,Paramètres!$A$1:$I$89,5,0)</f>
        <v>3.9093333966353332</v>
      </c>
      <c r="P10" s="13">
        <f t="shared" si="33"/>
        <v>1.5372128955964925</v>
      </c>
      <c r="Q10" s="20">
        <f t="shared" si="2"/>
        <v>9.4860681256370967</v>
      </c>
      <c r="R10" s="59">
        <f t="shared" si="0"/>
        <v>302.81940145897039</v>
      </c>
      <c r="S10" s="59">
        <f ca="1">AVERAGE(OFFSET($R$3,0,0,'Données projet'!$E$9+1,1))-AVERAGE(OFFSET($H$3,0,0,'Données projet'!$E$9+1,1))</f>
        <v>180.31844548479722</v>
      </c>
      <c r="T10" s="59">
        <f t="shared" si="34"/>
        <v>273.83237400307223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9.6666666666666661</v>
      </c>
      <c r="AI10" s="13">
        <f>IF('Données projet'!$A$62&gt;35,AI9+AH10-AQ9,IF(A10&lt;'Données projet'!$A$62,$AF$205^A10,IF(A10='Données projet'!$A$62,'Données projet'!$B$62,AI9+AH10-AQ9)))</f>
        <v>16.005423146694032</v>
      </c>
      <c r="AJ10" s="13">
        <f>AI10*VLOOKUP('Données projet'!$B$10,Paramètres!$A$1:$I$89,3,0)*VLOOKUP('Données projet'!$B$10,Paramètres!$A$1:$I$89,5,0)</f>
        <v>8.7389610380949421</v>
      </c>
      <c r="AK10" s="13">
        <f t="shared" si="35"/>
        <v>3.1291468639233355</v>
      </c>
      <c r="AL10" s="20">
        <f t="shared" si="4"/>
        <v>20.6702879293485</v>
      </c>
      <c r="AM10" s="59">
        <f t="shared" si="5"/>
        <v>314.0036212626818</v>
      </c>
      <c r="AN10" s="59">
        <f ca="1">AVERAGE(OFFSET($AM$3,0,0,'Données projet'!$E$10+1,1))-AVERAGE(OFFSET($H$3,0,0,'Données projet'!$E$10+1,1))</f>
        <v>160.54301845388551</v>
      </c>
      <c r="AO10" s="59">
        <f t="shared" si="36"/>
        <v>272.6634844951584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7.2264102564102561</v>
      </c>
      <c r="BD10" s="12">
        <f>IF('Données projet'!$A$88&gt;35,BD9+BC10-BL9,IF(A10&lt;'Données projet'!$A$88,$BA$205^A10,IF(A10='Données projet'!$A$88,'Données projet'!$B$88,BD9+BC10-BL9)))</f>
        <v>3.5081398877252363</v>
      </c>
      <c r="BE10" s="13">
        <f>BD10*VLOOKUP('Données projet'!$B$11,Paramètres!$A$1:$I$89,3,0)*VLOOKUP('Données projet'!$B$11,Paramètres!$A$1:$I$89,5,0)</f>
        <v>1.6418094674554107</v>
      </c>
      <c r="BF10" s="13">
        <f t="shared" si="37"/>
        <v>0.71418586714920729</v>
      </c>
      <c r="BG10" s="20">
        <f t="shared" si="7"/>
        <v>4.1033585411030424</v>
      </c>
      <c r="BH10" s="59">
        <f t="shared" si="8"/>
        <v>297.43669187443635</v>
      </c>
      <c r="BI10" s="59">
        <f ca="1">AVERAGE(OFFSET($BH$3,0,0,'Données projet'!$E$11+1,1))-AVERAGE(OFFSET($H$3,0,0,'Données projet'!$E$11+1,1))</f>
        <v>207.25176714718668</v>
      </c>
      <c r="BJ10" s="59">
        <f t="shared" si="38"/>
        <v>191.53228014642559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>
        <f>VLOOKUP(A10,'Données projet'!$A$113:$I$133,2,0)</f>
        <v>21.480576923076921</v>
      </c>
      <c r="BW10" s="12">
        <f>VLOOKUP(A10,'Données projet'!$A$113:$I$133,9,0)</f>
        <v>7.6069871794871773</v>
      </c>
      <c r="BX10" s="12">
        <f t="array" ref="BX10">INDEX(BW:BW,MIN(IF(ISNUMBER(BW10:BW206),ROW(BW10:BW206),"")))</f>
        <v>7.6069871794871773</v>
      </c>
      <c r="BY10" s="12">
        <f>IF('Données projet'!$A$114&gt;35,BY9+BX10-CG9,IF(A10&lt;'Données projet'!$A$114,$BV$205^A10,IF(A10='Données projet'!$A$114,'Données projet'!$B$114,BY9+BX10-CG9)))</f>
        <v>21.480576923076921</v>
      </c>
      <c r="BZ10" s="13">
        <f>BY10*VLOOKUP('Données projet'!$B$12,Paramètres!$A$1:$I$89,3,0)*VLOOKUP('Données projet'!$B$12,Paramètres!$A$1:$I$89,5,0)</f>
        <v>10.9241622</v>
      </c>
      <c r="CA10" s="13">
        <f t="shared" si="39"/>
        <v>3.8112885068631246</v>
      </c>
      <c r="CB10" s="20">
        <f t="shared" si="10"/>
        <v>25.664243314453273</v>
      </c>
      <c r="CC10" s="59">
        <f t="shared" si="11"/>
        <v>318.99757664778656</v>
      </c>
      <c r="CD10" s="59">
        <f ca="1">AVERAGE(OFFSET($CC$3,0,0,'Données projet'!$E$12+1,1))-AVERAGE(OFFSET($H$3,0,0,'Données projet'!$E$12+1,1))</f>
        <v>68.620424404221751</v>
      </c>
      <c r="CE10" s="59">
        <f t="shared" si="40"/>
        <v>203.12945099478918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4.5417948717948722</v>
      </c>
      <c r="CT10" s="12">
        <f>IF('Données projet'!$A$140&gt;35,CT9+CS10-DB9,IF(A10&lt;'Données projet'!$A$140,$CQ$205^A10,IF(A10='Données projet'!$A$140,'Données projet'!$B$140,CT9+CS10-DB9)))</f>
        <v>3.1478549556659017</v>
      </c>
      <c r="CU10" s="17">
        <f>CT10*VLOOKUP('Données projet'!$B$13,Paramètres!$A$1:$I$89,3,0)*VLOOKUP('Données projet'!$B$13,Paramètres!$A$1:$I$89,5,0)</f>
        <v>1.8824172634882093</v>
      </c>
      <c r="CV10" s="13">
        <f t="shared" si="41"/>
        <v>0.80591832616380799</v>
      </c>
      <c r="CW10" s="20">
        <f t="shared" si="13"/>
        <v>4.6821844853105965</v>
      </c>
      <c r="CX10" s="59">
        <f t="shared" si="14"/>
        <v>298.0155178186439</v>
      </c>
      <c r="CY10" s="59">
        <f ca="1">AVERAGE(OFFSET($CX$3,0,0,'Données projet'!$E$13+1,1))-AVERAGE(OFFSET($H$3,0,0,'Données projet'!$E$13+1,1))</f>
        <v>196.25918971690442</v>
      </c>
      <c r="CZ10" s="59">
        <f t="shared" si="42"/>
        <v>148.35701313170205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11">
        <f t="shared" si="32"/>
        <v>1.4796248382778823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67">
        <f t="shared" si="1"/>
        <v>302.43114659333395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6.2222222222222223</v>
      </c>
      <c r="N11" s="13">
        <f>IF('Données projet'!$A$36&gt;35,N10+M11-V10,IF(A11&lt;'Données projet'!$A$36,$K$205^A11,IF(A11='Données projet'!$A$36,'Données projet'!$B$36,N10+M11-V10)))</f>
        <v>8.1426087136553278</v>
      </c>
      <c r="O11" s="13">
        <f>N11*VLOOKUP('Données projet'!$B$9,Paramètres!$A$1:$I$89,3,0)*VLOOKUP('Données projet'!$B$9,Paramètres!$A$1:$I$89,5,0)</f>
        <v>5.080987837320925</v>
      </c>
      <c r="P11" s="13">
        <f t="shared" si="33"/>
        <v>1.9378843475584122</v>
      </c>
      <c r="Q11" s="20">
        <f t="shared" si="2"/>
        <v>12.224535721998178</v>
      </c>
      <c r="R11" s="59">
        <f t="shared" si="0"/>
        <v>305.55786905533148</v>
      </c>
      <c r="S11" s="59">
        <f ca="1">AVERAGE(OFFSET($R$3,0,0,'Données projet'!$E$9+1,1))-AVERAGE(OFFSET($H$3,0,0,'Données projet'!$E$9+1,1))</f>
        <v>180.31844548479722</v>
      </c>
      <c r="T11" s="59">
        <f t="shared" si="34"/>
        <v>273.83237400307223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9.6666666666666661</v>
      </c>
      <c r="AI11" s="13">
        <f>IF('Données projet'!$A$62&gt;35,AI10+AH11-AQ10,IF(A11&lt;'Données projet'!$A$62,$AF$205^A11,IF(A11='Données projet'!$A$62,'Données projet'!$B$62,AI10+AH11-AQ10)))</f>
        <v>23.785118866310182</v>
      </c>
      <c r="AJ11" s="13">
        <f>AI11*VLOOKUP('Données projet'!$B$10,Paramètres!$A$1:$I$89,3,0)*VLOOKUP('Données projet'!$B$10,Paramètres!$A$1:$I$89,5,0)</f>
        <v>12.98667490100536</v>
      </c>
      <c r="AK11" s="13">
        <f t="shared" si="35"/>
        <v>4.4405715295601897</v>
      </c>
      <c r="AL11" s="20">
        <f t="shared" si="4"/>
        <v>30.352454199901668</v>
      </c>
      <c r="AM11" s="59">
        <f t="shared" si="5"/>
        <v>323.68578753323499</v>
      </c>
      <c r="AN11" s="59">
        <f ca="1">AVERAGE(OFFSET($AM$3,0,0,'Données projet'!$E$10+1,1))-AVERAGE(OFFSET($H$3,0,0,'Données projet'!$E$10+1,1))</f>
        <v>160.54301845388551</v>
      </c>
      <c r="AO11" s="59">
        <f t="shared" si="36"/>
        <v>272.6634844951584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7.2264102564102561</v>
      </c>
      <c r="BD11" s="12">
        <f>IF('Données projet'!$A$88&gt;35,BD10+BC11-BL10,IF(A11&lt;'Données projet'!$A$88,$BA$205^A11,IF(A11='Données projet'!$A$88,'Données projet'!$B$88,BD10+BC11-BL10)))</f>
        <v>4.1970585866050225</v>
      </c>
      <c r="BE11" s="13">
        <f>BD11*VLOOKUP('Données projet'!$B$11,Paramètres!$A$1:$I$89,3,0)*VLOOKUP('Données projet'!$B$11,Paramètres!$A$1:$I$89,5,0)</f>
        <v>1.9642234185311505</v>
      </c>
      <c r="BF11" s="13">
        <f t="shared" si="37"/>
        <v>0.83678816759654573</v>
      </c>
      <c r="BG11" s="20">
        <f t="shared" si="7"/>
        <v>4.8784285125057369</v>
      </c>
      <c r="BH11" s="59">
        <f t="shared" si="8"/>
        <v>298.21176184583908</v>
      </c>
      <c r="BI11" s="59">
        <f ca="1">AVERAGE(OFFSET($BH$3,0,0,'Données projet'!$E$11+1,1))-AVERAGE(OFFSET($H$3,0,0,'Données projet'!$E$11+1,1))</f>
        <v>207.25176714718668</v>
      </c>
      <c r="BJ11" s="59">
        <f t="shared" si="38"/>
        <v>191.53228014642559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>
        <f>VLOOKUP(A11,'Données projet'!$A$113:$I$133,2,0)</f>
        <v>30.377435897435895</v>
      </c>
      <c r="BW11" s="12">
        <f>VLOOKUP(A11,'Données projet'!$A$113:$I$133,9,0)</f>
        <v>8.8968589743589739</v>
      </c>
      <c r="BX11" s="12">
        <f t="array" ref="BX11">INDEX(BW:BW,MIN(IF(ISNUMBER(BW11:BW207),ROW(BW11:BW207),"")))</f>
        <v>8.8968589743589739</v>
      </c>
      <c r="BY11" s="12">
        <f>IF('Données projet'!$A$114&gt;35,BY10+BX11-CG10,IF(A11&lt;'Données projet'!$A$114,$BV$205^A11,IF(A11='Données projet'!$A$114,'Données projet'!$B$114,BY10+BX11-CG10)))</f>
        <v>30.377435897435895</v>
      </c>
      <c r="BZ11" s="13">
        <f>BY11*VLOOKUP('Données projet'!$B$12,Paramètres!$A$1:$I$89,3,0)*VLOOKUP('Données projet'!$B$12,Paramètres!$A$1:$I$89,5,0)</f>
        <v>15.448748800000001</v>
      </c>
      <c r="CA11" s="13">
        <f t="shared" si="39"/>
        <v>5.1767619526979693</v>
      </c>
      <c r="CB11" s="20">
        <f t="shared" si="10"/>
        <v>35.922764560948956</v>
      </c>
      <c r="CC11" s="59">
        <f t="shared" si="11"/>
        <v>329.25609789428228</v>
      </c>
      <c r="CD11" s="59">
        <f ca="1">AVERAGE(OFFSET($CC$3,0,0,'Données projet'!$E$12+1,1))-AVERAGE(OFFSET($H$3,0,0,'Données projet'!$E$12+1,1))</f>
        <v>68.620424404221751</v>
      </c>
      <c r="CE11" s="59">
        <f t="shared" si="40"/>
        <v>203.12945099478918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4.5417948717948722</v>
      </c>
      <c r="CT11" s="12">
        <f>IF('Données projet'!$A$140&gt;35,CT10+CS11-DB10,IF(A11&lt;'Données projet'!$A$140,$CQ$205^A11,IF(A11='Données projet'!$A$140,'Données projet'!$B$140,CT10+CS11-DB10)))</f>
        <v>3.7081703078108936</v>
      </c>
      <c r="CU11" s="17">
        <f>CT11*VLOOKUP('Données projet'!$B$13,Paramètres!$A$1:$I$89,3,0)*VLOOKUP('Données projet'!$B$13,Paramètres!$A$1:$I$89,5,0)</f>
        <v>2.2174858440709144</v>
      </c>
      <c r="CV11" s="13">
        <f t="shared" si="41"/>
        <v>0.93143964150051517</v>
      </c>
      <c r="CW11" s="20">
        <f t="shared" si="13"/>
        <v>5.4843785540369057</v>
      </c>
      <c r="CX11" s="59">
        <f t="shared" si="14"/>
        <v>298.81771188737019</v>
      </c>
      <c r="CY11" s="59">
        <f ca="1">AVERAGE(OFFSET($CX$3,0,0,'Données projet'!$E$13+1,1))-AVERAGE(OFFSET($H$3,0,0,'Données projet'!$E$13+1,1))</f>
        <v>196.25918971690442</v>
      </c>
      <c r="CZ11" s="59">
        <f t="shared" si="42"/>
        <v>148.35701313170205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11">
        <f t="shared" si="32"/>
        <v>1.6419123971514347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67">
        <f t="shared" si="1"/>
        <v>303.52889742503874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6.2222222222222223</v>
      </c>
      <c r="N12" s="13">
        <f>IF('Données projet'!$A$36&gt;35,N11+M12-V11,IF(A12&lt;'Données projet'!$A$36,$K$205^A12,IF(A12='Données projet'!$A$36,'Données projet'!$B$36,N11+M12-V11)))</f>
        <v>10.583005244258365</v>
      </c>
      <c r="O12" s="13">
        <f>N12*VLOOKUP('Données projet'!$B$9,Paramètres!$A$1:$I$89,3,0)*VLOOKUP('Données projet'!$B$9,Paramètres!$A$1:$I$89,5,0)</f>
        <v>6.6037952724172193</v>
      </c>
      <c r="P12" s="13">
        <f t="shared" si="33"/>
        <v>2.4429900082608067</v>
      </c>
      <c r="Q12" s="20">
        <f t="shared" si="2"/>
        <v>15.75648436384756</v>
      </c>
      <c r="R12" s="59">
        <f t="shared" si="0"/>
        <v>309.08981769718088</v>
      </c>
      <c r="S12" s="59">
        <f ca="1">AVERAGE(OFFSET($R$3,0,0,'Données projet'!$E$9+1,1))-AVERAGE(OFFSET($H$3,0,0,'Données projet'!$E$9+1,1))</f>
        <v>180.31844548479722</v>
      </c>
      <c r="T12" s="59">
        <f t="shared" si="34"/>
        <v>273.83237400307223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9.6666666666666661</v>
      </c>
      <c r="AI12" s="13">
        <f>IF('Données projet'!$A$62&gt;35,AI11+AH12-AQ11,IF(A12&lt;'Données projet'!$A$62,$AF$205^A12,IF(A12='Données projet'!$A$62,'Données projet'!$B$62,AI11+AH12-AQ11)))</f>
        <v>35.346261970047209</v>
      </c>
      <c r="AJ12" s="13">
        <f>AI12*VLOOKUP('Données projet'!$B$10,Paramètres!$A$1:$I$89,3,0)*VLOOKUP('Données projet'!$B$10,Paramètres!$A$1:$I$89,5,0)</f>
        <v>19.299059035645776</v>
      </c>
      <c r="AK12" s="13">
        <f t="shared" si="35"/>
        <v>6.301613943558138</v>
      </c>
      <c r="AL12" s="20">
        <f t="shared" si="4"/>
        <v>44.587838772113486</v>
      </c>
      <c r="AM12" s="59">
        <f t="shared" si="5"/>
        <v>337.92117210544677</v>
      </c>
      <c r="AN12" s="59">
        <f ca="1">AVERAGE(OFFSET($AM$3,0,0,'Données projet'!$E$10+1,1))-AVERAGE(OFFSET($H$3,0,0,'Données projet'!$E$10+1,1))</f>
        <v>160.54301845388551</v>
      </c>
      <c r="AO12" s="59">
        <f t="shared" si="36"/>
        <v>272.6634844951584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7.2264102564102561</v>
      </c>
      <c r="BD12" s="12">
        <f>IF('Données projet'!$A$88&gt;35,BD11+BC12-BL11,IF(A12&lt;'Données projet'!$A$88,$BA$205^A12,IF(A12='Données projet'!$A$88,'Données projet'!$B$88,BD11+BC12-BL11)))</f>
        <v>5.0212652126643498</v>
      </c>
      <c r="BE12" s="13">
        <f>BD12*VLOOKUP('Données projet'!$B$11,Paramètres!$A$1:$I$89,3,0)*VLOOKUP('Données projet'!$B$11,Paramètres!$A$1:$I$89,5,0)</f>
        <v>2.349952119526916</v>
      </c>
      <c r="BF12" s="13">
        <f t="shared" si="37"/>
        <v>0.98043726379605944</v>
      </c>
      <c r="BG12" s="20">
        <f t="shared" si="7"/>
        <v>5.8004281759541811</v>
      </c>
      <c r="BH12" s="59">
        <f t="shared" si="8"/>
        <v>299.13376150928752</v>
      </c>
      <c r="BI12" s="59">
        <f ca="1">AVERAGE(OFFSET($BH$3,0,0,'Données projet'!$E$11+1,1))-AVERAGE(OFFSET($H$3,0,0,'Données projet'!$E$11+1,1))</f>
        <v>207.25176714718668</v>
      </c>
      <c r="BJ12" s="59">
        <f t="shared" si="38"/>
        <v>191.53228014642559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>
        <f>VLOOKUP(A12,'Données projet'!$A$113:$I$133,2,0)</f>
        <v>40.46147435897435</v>
      </c>
      <c r="BW12" s="12">
        <f>VLOOKUP(A12,'Données projet'!$A$113:$I$133,9,0)</f>
        <v>10.084038461538455</v>
      </c>
      <c r="BX12" s="12">
        <f t="array" ref="BX12">INDEX(BW:BW,MIN(IF(ISNUMBER(BW12:BW208),ROW(BW12:BW208),"")))</f>
        <v>10.084038461538455</v>
      </c>
      <c r="BY12" s="12">
        <f>IF('Données projet'!$A$114&gt;35,BY11+BX12-CG11,IF(A12&lt;'Données projet'!$A$114,$BV$205^A12,IF(A12='Données projet'!$A$114,'Données projet'!$B$114,BY11+BX12-CG11)))</f>
        <v>40.46147435897435</v>
      </c>
      <c r="BZ12" s="13">
        <f>BY12*VLOOKUP('Données projet'!$B$12,Paramètres!$A$1:$I$89,3,0)*VLOOKUP('Données projet'!$B$12,Paramètres!$A$1:$I$89,5,0)</f>
        <v>20.577087399999996</v>
      </c>
      <c r="CA12" s="13">
        <f t="shared" si="39"/>
        <v>6.668959513498276</v>
      </c>
      <c r="CB12" s="20">
        <f t="shared" si="10"/>
        <v>47.453531707676156</v>
      </c>
      <c r="CC12" s="59">
        <f t="shared" si="11"/>
        <v>340.78686504100949</v>
      </c>
      <c r="CD12" s="59">
        <f ca="1">AVERAGE(OFFSET($CC$3,0,0,'Données projet'!$E$12+1,1))-AVERAGE(OFFSET($H$3,0,0,'Données projet'!$E$12+1,1))</f>
        <v>68.620424404221751</v>
      </c>
      <c r="CE12" s="59">
        <f t="shared" si="40"/>
        <v>203.12945099478918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4.5417948717948722</v>
      </c>
      <c r="CT12" s="12">
        <f>IF('Données projet'!$A$140&gt;35,CT11+CS12-DB11,IF(A12&lt;'Données projet'!$A$140,$CQ$205^A12,IF(A12='Données projet'!$A$140,'Données projet'!$B$140,CT11+CS12-DB11)))</f>
        <v>4.368221288906728</v>
      </c>
      <c r="CU12" s="17">
        <f>CT12*VLOOKUP('Données projet'!$B$13,Paramètres!$A$1:$I$89,3,0)*VLOOKUP('Données projet'!$B$13,Paramètres!$A$1:$I$89,5,0)</f>
        <v>2.6121963307662237</v>
      </c>
      <c r="CV12" s="13">
        <f t="shared" si="41"/>
        <v>1.0765108294388968</v>
      </c>
      <c r="CW12" s="20">
        <f t="shared" si="13"/>
        <v>6.424498304023917</v>
      </c>
      <c r="CX12" s="59">
        <f t="shared" si="14"/>
        <v>299.75783163735724</v>
      </c>
      <c r="CY12" s="59">
        <f ca="1">AVERAGE(OFFSET($CX$3,0,0,'Données projet'!$E$13+1,1))-AVERAGE(OFFSET($H$3,0,0,'Données projet'!$E$13+1,1))</f>
        <v>196.25918971690442</v>
      </c>
      <c r="CZ12" s="59">
        <f t="shared" si="42"/>
        <v>148.35701313170205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11">
        <f t="shared" si="32"/>
        <v>1.8021100168054613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67">
        <f t="shared" si="1"/>
        <v>304.62300827926947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6.2222222222222223</v>
      </c>
      <c r="N13" s="13">
        <f>IF('Données projet'!$A$36&gt;35,N12+M13-V12,IF(A13&lt;'Données projet'!$A$36,$K$205^A13,IF(A13='Données projet'!$A$36,'Données projet'!$B$36,N12+M13-V12)))</f>
        <v>13.754805608204368</v>
      </c>
      <c r="O13" s="13">
        <f>N13*VLOOKUP('Données projet'!$B$9,Paramètres!$A$1:$I$89,3,0)*VLOOKUP('Données projet'!$B$9,Paramètres!$A$1:$I$89,5,0)</f>
        <v>8.5829986995195267</v>
      </c>
      <c r="P13" s="13">
        <f t="shared" si="33"/>
        <v>3.0797504443346257</v>
      </c>
      <c r="Q13" s="20">
        <f t="shared" si="2"/>
        <v>20.312621425545984</v>
      </c>
      <c r="R13" s="59">
        <f t="shared" si="0"/>
        <v>313.64595475887927</v>
      </c>
      <c r="S13" s="59">
        <f ca="1">AVERAGE(OFFSET($R$3,0,0,'Données projet'!$E$9+1,1))-AVERAGE(OFFSET($H$3,0,0,'Données projet'!$E$9+1,1))</f>
        <v>180.31844548479722</v>
      </c>
      <c r="T13" s="59">
        <f t="shared" si="34"/>
        <v>273.83237400307223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9.6666666666666661</v>
      </c>
      <c r="AI13" s="13">
        <f>IF('Données projet'!$A$62&gt;35,AI12+AH13-AQ12,IF(A13&lt;'Données projet'!$A$62,$AF$205^A13,IF(A13='Données projet'!$A$62,'Données projet'!$B$62,AI12+AH13-AQ12)))</f>
        <v>52.526886339207103</v>
      </c>
      <c r="AJ13" s="13">
        <f>AI13*VLOOKUP('Données projet'!$B$10,Paramètres!$A$1:$I$89,3,0)*VLOOKUP('Données projet'!$B$10,Paramètres!$A$1:$I$89,5,0)</f>
        <v>28.679679941207077</v>
      </c>
      <c r="AK13" s="13">
        <f t="shared" si="35"/>
        <v>8.9426187663684367</v>
      </c>
      <c r="AL13" s="20">
        <f t="shared" si="4"/>
        <v>65.525503582360685</v>
      </c>
      <c r="AM13" s="59">
        <f t="shared" si="5"/>
        <v>358.85883691569398</v>
      </c>
      <c r="AN13" s="59">
        <f ca="1">AVERAGE(OFFSET($AM$3,0,0,'Données projet'!$E$10+1,1))-AVERAGE(OFFSET($H$3,0,0,'Données projet'!$E$10+1,1))</f>
        <v>160.54301845388551</v>
      </c>
      <c r="AO13" s="59">
        <f t="shared" si="36"/>
        <v>272.6634844951584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7.2264102564102561</v>
      </c>
      <c r="BD13" s="12">
        <f>IF('Données projet'!$A$88&gt;35,BD12+BC13-BL12,IF(A13&lt;'Données projet'!$A$88,$BA$205^A13,IF(A13='Données projet'!$A$88,'Données projet'!$B$88,BD12+BC13-BL12)))</f>
        <v>6.0073272306422343</v>
      </c>
      <c r="BE13" s="13">
        <f>BD13*VLOOKUP('Données projet'!$B$11,Paramètres!$A$1:$I$89,3,0)*VLOOKUP('Données projet'!$B$11,Paramètres!$A$1:$I$89,5,0)</f>
        <v>2.8114291439405656</v>
      </c>
      <c r="BF13" s="13">
        <f t="shared" si="37"/>
        <v>1.1487462006075717</v>
      </c>
      <c r="BG13" s="20">
        <f t="shared" si="7"/>
        <v>6.8973053917546716</v>
      </c>
      <c r="BH13" s="59">
        <f t="shared" si="8"/>
        <v>300.230638725088</v>
      </c>
      <c r="BI13" s="59">
        <f ca="1">AVERAGE(OFFSET($BH$3,0,0,'Données projet'!$E$11+1,1))-AVERAGE(OFFSET($H$3,0,0,'Données projet'!$E$11+1,1))</f>
        <v>207.25176714718668</v>
      </c>
      <c r="BJ13" s="59">
        <f t="shared" si="38"/>
        <v>191.53228014642559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51.630000000000017</v>
      </c>
      <c r="BW13" s="12">
        <f>VLOOKUP(A13,'Données projet'!$A$113:$I$133,9,0)</f>
        <v>11.168525641025667</v>
      </c>
      <c r="BX13" s="12">
        <f t="array" ref="BX13">INDEX(BW:BW,MIN(IF(ISNUMBER(BW13:BW209),ROW(BW13:BW209),"")))</f>
        <v>11.168525641025667</v>
      </c>
      <c r="BY13" s="12">
        <f>IF('Données projet'!$A$114&gt;35,BY12+BX13-CG12,IF(A13&lt;'Données projet'!$A$114,$BV$205^A13,IF(A13='Données projet'!$A$114,'Données projet'!$B$114,BY12+BX13-CG12)))</f>
        <v>51.630000000000017</v>
      </c>
      <c r="BZ13" s="13">
        <f>BY13*VLOOKUP('Données projet'!$B$12,Paramètres!$A$1:$I$89,3,0)*VLOOKUP('Données projet'!$B$12,Paramètres!$A$1:$I$89,5,0)</f>
        <v>26.256952800000011</v>
      </c>
      <c r="CA13" s="13">
        <f t="shared" si="39"/>
        <v>8.2717299817437926</v>
      </c>
      <c r="CB13" s="20">
        <f t="shared" si="10"/>
        <v>60.137455844870459</v>
      </c>
      <c r="CC13" s="59">
        <f t="shared" si="11"/>
        <v>353.47078917820374</v>
      </c>
      <c r="CD13" s="59">
        <f ca="1">AVERAGE(OFFSET($CC$3,0,0,'Données projet'!$E$12+1,1))-AVERAGE(OFFSET($H$3,0,0,'Données projet'!$E$12+1,1))</f>
        <v>68.620424404221751</v>
      </c>
      <c r="CE13" s="59">
        <f t="shared" si="40"/>
        <v>203.12945099478918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4.5417948717948722</v>
      </c>
      <c r="CT13" s="12">
        <f>IF('Données projet'!$A$140&gt;35,CT12+CS13-DB12,IF(A13&lt;'Données projet'!$A$140,$CQ$205^A13,IF(A13='Données projet'!$A$140,'Données projet'!$B$140,CT12+CS13-DB12)))</f>
        <v>5.1457607512429959</v>
      </c>
      <c r="CU13" s="17">
        <f>CT13*VLOOKUP('Données projet'!$B$13,Paramètres!$A$1:$I$89,3,0)*VLOOKUP('Données projet'!$B$13,Paramètres!$A$1:$I$89,5,0)</f>
        <v>3.0771649292433119</v>
      </c>
      <c r="CV13" s="13">
        <f t="shared" si="41"/>
        <v>1.2441767713818952</v>
      </c>
      <c r="CW13" s="20">
        <f t="shared" si="13"/>
        <v>7.5263367952555678</v>
      </c>
      <c r="CX13" s="59">
        <f t="shared" si="14"/>
        <v>300.8596701285889</v>
      </c>
      <c r="CY13" s="59">
        <f ca="1">AVERAGE(OFFSET($CX$3,0,0,'Données projet'!$E$13+1,1))-AVERAGE(OFFSET($H$3,0,0,'Données projet'!$E$13+1,1))</f>
        <v>196.25918971690442</v>
      </c>
      <c r="CZ13" s="59">
        <f t="shared" si="42"/>
        <v>148.35701313170205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11">
        <f t="shared" si="32"/>
        <v>1.9604504824312583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67">
        <f t="shared" si="1"/>
        <v>305.71388459023444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6.2222222222222223</v>
      </c>
      <c r="N14" s="13">
        <f>IF('Données projet'!$A$36&gt;35,N13+M14-V13,IF(A14&lt;'Données projet'!$A$36,$K$205^A14,IF(A14='Données projet'!$A$36,'Données projet'!$B$36,N13+M14-V13)))</f>
        <v>17.877216627302985</v>
      </c>
      <c r="O14" s="13">
        <f>N14*VLOOKUP('Données projet'!$B$9,Paramètres!$A$1:$I$89,3,0)*VLOOKUP('Données projet'!$B$9,Paramètres!$A$1:$I$89,5,0)</f>
        <v>11.155383175437063</v>
      </c>
      <c r="P14" s="13">
        <f t="shared" si="33"/>
        <v>3.8824812083990929</v>
      </c>
      <c r="Q14" s="20">
        <f t="shared" si="2"/>
        <v>26.1909471351813</v>
      </c>
      <c r="R14" s="59">
        <f t="shared" si="0"/>
        <v>319.52428046851463</v>
      </c>
      <c r="S14" s="59">
        <f ca="1">AVERAGE(OFFSET($R$3,0,0,'Données projet'!$E$9+1,1))-AVERAGE(OFFSET($H$3,0,0,'Données projet'!$E$9+1,1))</f>
        <v>180.31844548479722</v>
      </c>
      <c r="T14" s="59">
        <f t="shared" si="34"/>
        <v>273.83237400307223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9.6666666666666661</v>
      </c>
      <c r="AI14" s="13">
        <f>IF('Données projet'!$A$62&gt;35,AI13+AH14-AQ13,IF(A14&lt;'Données projet'!$A$62,$AF$205^A14,IF(A14='Données projet'!$A$62,'Données projet'!$B$62,AI13+AH14-AQ13)))</f>
        <v>78.058432057965561</v>
      </c>
      <c r="AJ14" s="13">
        <f>AI14*VLOOKUP('Données projet'!$B$10,Paramètres!$A$1:$I$89,3,0)*VLOOKUP('Données projet'!$B$10,Paramètres!$A$1:$I$89,5,0)</f>
        <v>42.619903903649202</v>
      </c>
      <c r="AK14" s="13">
        <f t="shared" si="35"/>
        <v>12.690468047849112</v>
      </c>
      <c r="AL14" s="20">
        <f t="shared" si="4"/>
        <v>96.332231148859549</v>
      </c>
      <c r="AM14" s="59">
        <f t="shared" si="5"/>
        <v>389.66556448219285</v>
      </c>
      <c r="AN14" s="59">
        <f ca="1">AVERAGE(OFFSET($AM$3,0,0,'Données projet'!$E$10+1,1))-AVERAGE(OFFSET($H$3,0,0,'Données projet'!$E$10+1,1))</f>
        <v>160.54301845388551</v>
      </c>
      <c r="AO14" s="59">
        <f t="shared" si="36"/>
        <v>272.6634844951584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7.2264102564102561</v>
      </c>
      <c r="BD14" s="12">
        <f>IF('Données projet'!$A$88&gt;35,BD13+BC14-BL13,IF(A14&lt;'Données projet'!$A$88,$BA$205^A14,IF(A14='Données projet'!$A$88,'Données projet'!$B$88,BD13+BC14-BL13)))</f>
        <v>7.1870293496939057</v>
      </c>
      <c r="BE14" s="13">
        <f>BD14*VLOOKUP('Données projet'!$B$11,Paramètres!$A$1:$I$89,3,0)*VLOOKUP('Données projet'!$B$11,Paramètres!$A$1:$I$89,5,0)</f>
        <v>3.3635297356567477</v>
      </c>
      <c r="BF14" s="13">
        <f t="shared" si="37"/>
        <v>1.3459482642479659</v>
      </c>
      <c r="BG14" s="20">
        <f t="shared" si="7"/>
        <v>8.2023408498340427</v>
      </c>
      <c r="BH14" s="59">
        <f t="shared" si="8"/>
        <v>301.53567418316737</v>
      </c>
      <c r="BI14" s="59">
        <f ca="1">AVERAGE(OFFSET($BH$3,0,0,'Données projet'!$E$11+1,1))-AVERAGE(OFFSET($H$3,0,0,'Données projet'!$E$11+1,1))</f>
        <v>207.25176714718668</v>
      </c>
      <c r="BJ14" s="59">
        <f t="shared" si="38"/>
        <v>191.53228014642559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>
        <f>VLOOKUP(A14,'Données projet'!$A$113:$I$133,2,0)</f>
        <v>63.780320512820509</v>
      </c>
      <c r="BW14" s="12">
        <f>VLOOKUP(A14,'Données projet'!$A$113:$I$133,9,0)</f>
        <v>12.150320512820493</v>
      </c>
      <c r="BX14" s="12">
        <f t="array" ref="BX14">INDEX(BW:BW,MIN(IF(ISNUMBER(BW14:BW210),ROW(BW14:BW210),"")))</f>
        <v>12.150320512820493</v>
      </c>
      <c r="BY14" s="12">
        <f>IF('Données projet'!$A$114&gt;35,BY13+BX14-CG13,IF(A14&lt;'Données projet'!$A$114,$BV$205^A14,IF(A14='Données projet'!$A$114,'Données projet'!$B$114,BY13+BX14-CG13)))</f>
        <v>63.780320512820509</v>
      </c>
      <c r="BZ14" s="13">
        <f>BY14*VLOOKUP('Données projet'!$B$12,Paramètres!$A$1:$I$89,3,0)*VLOOKUP('Données projet'!$B$12,Paramètres!$A$1:$I$89,5,0)</f>
        <v>32.4361198</v>
      </c>
      <c r="CA14" s="13">
        <f t="shared" si="39"/>
        <v>9.9700468059329115</v>
      </c>
      <c r="CB14" s="20">
        <f t="shared" si="10"/>
        <v>73.857406838666478</v>
      </c>
      <c r="CC14" s="59">
        <f t="shared" si="11"/>
        <v>367.19074017199978</v>
      </c>
      <c r="CD14" s="59">
        <f ca="1">AVERAGE(OFFSET($CC$3,0,0,'Données projet'!$E$12+1,1))-AVERAGE(OFFSET($H$3,0,0,'Données projet'!$E$12+1,1))</f>
        <v>68.620424404221751</v>
      </c>
      <c r="CE14" s="59">
        <f t="shared" si="40"/>
        <v>203.12945099478918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4.5417948717948722</v>
      </c>
      <c r="CT14" s="12">
        <f>IF('Données projet'!$A$140&gt;35,CT13+CS14-DB13,IF(A14&lt;'Données projet'!$A$140,$CQ$205^A14,IF(A14='Données projet'!$A$140,'Données projet'!$B$140,CT13+CS14-DB13)))</f>
        <v>6.0617015388567852</v>
      </c>
      <c r="CU14" s="17">
        <f>CT14*VLOOKUP('Données projet'!$B$13,Paramètres!$A$1:$I$89,3,0)*VLOOKUP('Données projet'!$B$13,Paramètres!$A$1:$I$89,5,0)</f>
        <v>3.6248975202363578</v>
      </c>
      <c r="CV14" s="13">
        <f t="shared" si="41"/>
        <v>1.4379565872580398</v>
      </c>
      <c r="CW14" s="20">
        <f t="shared" si="13"/>
        <v>8.8178042372194074</v>
      </c>
      <c r="CX14" s="59">
        <f t="shared" si="14"/>
        <v>302.15113757055275</v>
      </c>
      <c r="CY14" s="59">
        <f ca="1">AVERAGE(OFFSET($CX$3,0,0,'Données projet'!$E$13+1,1))-AVERAGE(OFFSET($H$3,0,0,'Données projet'!$E$13+1,1))</f>
        <v>196.25918971690442</v>
      </c>
      <c r="CZ14" s="59">
        <f t="shared" si="42"/>
        <v>148.35701313170205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11">
        <f t="shared" si="32"/>
        <v>2.1171218270411956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67">
        <f t="shared" si="1"/>
        <v>306.80185384876341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6.2222222222222223</v>
      </c>
      <c r="N15" s="13">
        <f>IF('Données projet'!$A$36&gt;35,N14+M15-V14,IF(A15&lt;'Données projet'!$A$36,$K$205^A15,IF(A15='Données projet'!$A$36,'Données projet'!$B$36,N14+M15-V14)))</f>
        <v>23.235142934254824</v>
      </c>
      <c r="O15" s="13">
        <f>N15*VLOOKUP('Données projet'!$B$9,Paramètres!$A$1:$I$89,3,0)*VLOOKUP('Données projet'!$B$9,Paramètres!$A$1:$I$89,5,0)</f>
        <v>14.498729190975009</v>
      </c>
      <c r="P15" s="13">
        <f t="shared" si="33"/>
        <v>4.8944421329010357</v>
      </c>
      <c r="Q15" s="20">
        <f t="shared" si="2"/>
        <v>33.776440055750776</v>
      </c>
      <c r="R15" s="59">
        <f t="shared" si="0"/>
        <v>327.10977338908407</v>
      </c>
      <c r="S15" s="59">
        <f ca="1">AVERAGE(OFFSET($R$3,0,0,'Données projet'!$E$9+1,1))-AVERAGE(OFFSET($H$3,0,0,'Données projet'!$E$9+1,1))</f>
        <v>180.31844548479722</v>
      </c>
      <c r="T15" s="59">
        <f t="shared" si="34"/>
        <v>273.83237400307223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116</v>
      </c>
      <c r="AG15" s="12">
        <f>VLOOKUP(A15,'Données projet'!$A$61:$I$81,9,0)</f>
        <v>9.6666666666666661</v>
      </c>
      <c r="AH15" s="12">
        <f t="array" ref="AH15">INDEX(AG:AG,MIN(IF(ISNUMBER(AG15:AG211),ROW(AG15:AG211),"")))</f>
        <v>9.6666666666666661</v>
      </c>
      <c r="AI15" s="13">
        <f>IF('Données projet'!$A$62&gt;35,AI14+AH15-AQ14,IF(A15&lt;'Données projet'!$A$62,$AF$205^A15,IF(A15='Données projet'!$A$62,'Données projet'!$B$62,AI14+AH15-AQ14)))</f>
        <v>116</v>
      </c>
      <c r="AJ15" s="13">
        <f>AI15*VLOOKUP('Données projet'!$B$10,Paramètres!$A$1:$I$89,3,0)*VLOOKUP('Données projet'!$B$10,Paramètres!$A$1:$I$89,5,0)</f>
        <v>63.335999999999999</v>
      </c>
      <c r="AK15" s="13">
        <f t="shared" si="35"/>
        <v>18.009040022946227</v>
      </c>
      <c r="AL15" s="20">
        <f t="shared" si="4"/>
        <v>141.67594470663133</v>
      </c>
      <c r="AM15" s="59">
        <f t="shared" si="5"/>
        <v>435.00927803996467</v>
      </c>
      <c r="AN15" s="59">
        <f ca="1">AVERAGE(OFFSET($AM$3,0,0,'Données projet'!$E$10+1,1))-AVERAGE(OFFSET($H$3,0,0,'Données projet'!$E$10+1,1))</f>
        <v>160.54301845388551</v>
      </c>
      <c r="AO15" s="59">
        <f t="shared" si="36"/>
        <v>272.6634844951584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21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0.42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6.363209560142475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6.363209560142475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7.2264102564102561</v>
      </c>
      <c r="BD15" s="12">
        <f>IF('Données projet'!$A$88&gt;35,BD14+BC15-BL14,IF(A15&lt;'Données projet'!$A$88,$BA$205^A15,IF(A15='Données projet'!$A$88,'Données projet'!$B$88,BD14+BC15-BL14)))</f>
        <v>8.5983980712566286</v>
      </c>
      <c r="BE15" s="13">
        <f>BD15*VLOOKUP('Données projet'!$B$11,Paramètres!$A$1:$I$89,3,0)*VLOOKUP('Données projet'!$B$11,Paramètres!$A$1:$I$89,5,0)</f>
        <v>4.0240502973481025</v>
      </c>
      <c r="BF15" s="13">
        <f t="shared" si="37"/>
        <v>1.5770034573990057</v>
      </c>
      <c r="BG15" s="20">
        <f t="shared" si="7"/>
        <v>9.7551686228512136</v>
      </c>
      <c r="BH15" s="59">
        <f t="shared" si="8"/>
        <v>303.08850195618453</v>
      </c>
      <c r="BI15" s="59">
        <f ca="1">AVERAGE(OFFSET($BH$3,0,0,'Données projet'!$E$11+1,1))-AVERAGE(OFFSET($H$3,0,0,'Données projet'!$E$11+1,1))</f>
        <v>207.25176714718668</v>
      </c>
      <c r="BJ15" s="59">
        <f t="shared" si="38"/>
        <v>191.53228014642559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>
        <f>VLOOKUP(A15,'Données projet'!$A$113:$I$133,2,0)</f>
        <v>76.80974358974359</v>
      </c>
      <c r="BW15" s="12">
        <f>VLOOKUP(A15,'Données projet'!$A$113:$I$133,9,0)</f>
        <v>13.029423076923081</v>
      </c>
      <c r="BX15" s="12">
        <f t="array" ref="BX15">INDEX(BW:BW,MIN(IF(ISNUMBER(BW15:BW211),ROW(BW15:BW211),"")))</f>
        <v>13.029423076923081</v>
      </c>
      <c r="BY15" s="12">
        <f>IF('Données projet'!$A$114&gt;35,BY14+BX15-CG14,IF(A15&lt;'Données projet'!$A$114,$BV$205^A15,IF(A15='Données projet'!$A$114,'Données projet'!$B$114,BY14+BX15-CG14)))</f>
        <v>76.80974358974359</v>
      </c>
      <c r="BZ15" s="13">
        <f>BY15*VLOOKUP('Données projet'!$B$12,Paramètres!$A$1:$I$89,3,0)*VLOOKUP('Données projet'!$B$12,Paramètres!$A$1:$I$89,5,0)</f>
        <v>39.0623632</v>
      </c>
      <c r="CA15" s="13">
        <f t="shared" si="39"/>
        <v>11.749784127487876</v>
      </c>
      <c r="CB15" s="20">
        <f t="shared" si="10"/>
        <v>88.497823262041379</v>
      </c>
      <c r="CC15" s="59">
        <f t="shared" si="11"/>
        <v>381.83115659537469</v>
      </c>
      <c r="CD15" s="59">
        <f ca="1">AVERAGE(OFFSET($CC$3,0,0,'Données projet'!$E$12+1,1))-AVERAGE(OFFSET($H$3,0,0,'Données projet'!$E$12+1,1))</f>
        <v>68.620424404221751</v>
      </c>
      <c r="CE15" s="59">
        <f t="shared" si="40"/>
        <v>203.12945099478918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4.5417948717948722</v>
      </c>
      <c r="CT15" s="12">
        <f>IF('Données projet'!$A$140&gt;35,CT14+CS15-DB14,IF(A15&lt;'Données projet'!$A$140,$CQ$205^A15,IF(A15='Données projet'!$A$140,'Données projet'!$B$140,CT14+CS15-DB14)))</f>
        <v>7.14067896322286</v>
      </c>
      <c r="CU15" s="17">
        <f>CT15*VLOOKUP('Données projet'!$B$13,Paramètres!$A$1:$I$89,3,0)*VLOOKUP('Données projet'!$B$13,Paramètres!$A$1:$I$89,5,0)</f>
        <v>4.2701260200072708</v>
      </c>
      <c r="CV15" s="13">
        <f t="shared" si="41"/>
        <v>1.661917497898785</v>
      </c>
      <c r="CW15" s="20">
        <f t="shared" si="13"/>
        <v>10.331642460353047</v>
      </c>
      <c r="CX15" s="59">
        <f t="shared" si="14"/>
        <v>303.66497579368638</v>
      </c>
      <c r="CY15" s="59">
        <f ca="1">AVERAGE(OFFSET($CX$3,0,0,'Données projet'!$E$13+1,1))-AVERAGE(OFFSET($H$3,0,0,'Données projet'!$E$13+1,1))</f>
        <v>196.25918971690442</v>
      </c>
      <c r="CZ15" s="59">
        <f t="shared" si="42"/>
        <v>148.35701313170205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11">
        <f t="shared" si="32"/>
        <v>2.2722789577396263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67">
        <f t="shared" si="1"/>
        <v>307.88718585139651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6.2222222222222223</v>
      </c>
      <c r="N16" s="13">
        <f>IF('Données projet'!$A$36&gt;35,N15+M16-V15,IF(A16&lt;'Données projet'!$A$36,$K$205^A16,IF(A16='Données projet'!$A$36,'Données projet'!$B$36,N15+M16-V15)))</f>
        <v>30.19887706404656</v>
      </c>
      <c r="O16" s="13">
        <f>N16*VLOOKUP('Données projet'!$B$9,Paramètres!$A$1:$I$89,3,0)*VLOOKUP('Données projet'!$B$9,Paramètres!$A$1:$I$89,5,0)</f>
        <v>18.844099287965054</v>
      </c>
      <c r="P16" s="13">
        <f t="shared" si="33"/>
        <v>6.1701686386769925</v>
      </c>
      <c r="Q16" s="20">
        <f t="shared" si="2"/>
        <v>43.566516638901568</v>
      </c>
      <c r="R16" s="59">
        <f t="shared" si="0"/>
        <v>336.8998499722349</v>
      </c>
      <c r="S16" s="59">
        <f ca="1">AVERAGE(OFFSET($R$3,0,0,'Données projet'!$E$9+1,1))-AVERAGE(OFFSET($H$3,0,0,'Données projet'!$E$9+1,1))</f>
        <v>180.31844548479722</v>
      </c>
      <c r="T16" s="59">
        <f t="shared" si="34"/>
        <v>273.83237400307223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24.333333333333332</v>
      </c>
      <c r="AI16" s="13">
        <f>IF('Données projet'!$A$62&gt;35,AI15+AH16-AQ15,IF(A16&lt;'Données projet'!$A$62,$AF$205^A16,IF(A16='Données projet'!$A$62,'Données projet'!$B$62,AI15+AH16-AQ15)))</f>
        <v>119.33333333333334</v>
      </c>
      <c r="AJ16" s="13">
        <f>AI16*VLOOKUP('Données projet'!$B$10,Paramètres!$A$1:$I$89,3,0)*VLOOKUP('Données projet'!$B$10,Paramètres!$A$1:$I$89,5,0)</f>
        <v>65.156000000000006</v>
      </c>
      <c r="AK16" s="13">
        <f t="shared" si="35"/>
        <v>18.465547360043153</v>
      </c>
      <c r="AL16" s="20">
        <f t="shared" si="4"/>
        <v>145.64086165207519</v>
      </c>
      <c r="AM16" s="59">
        <f t="shared" si="5"/>
        <v>438.97419498540853</v>
      </c>
      <c r="AN16" s="59">
        <f ca="1">AVERAGE(OFFSET($AM$3,0,0,'Données projet'!$E$10+1,1))-AVERAGE(OFFSET($H$3,0,0,'Données projet'!$E$10+1,1))</f>
        <v>160.54301845388551</v>
      </c>
      <c r="AO16" s="59">
        <f t="shared" si="36"/>
        <v>272.6634844951584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6.1892072600937311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6.1892072600937311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7.2264102564102561</v>
      </c>
      <c r="BD16" s="12">
        <f>IF('Données projet'!$A$88&gt;35,BD15+BC16-BL15,IF(A16&lt;'Données projet'!$A$88,$BA$205^A16,IF(A16='Données projet'!$A$88,'Données projet'!$B$88,BD15+BC16-BL15)))</f>
        <v>10.286927434759741</v>
      </c>
      <c r="BE16" s="13">
        <f>BD16*VLOOKUP('Données projet'!$B$11,Paramètres!$A$1:$I$89,3,0)*VLOOKUP('Données projet'!$B$11,Paramètres!$A$1:$I$89,5,0)</f>
        <v>4.8142820394675585</v>
      </c>
      <c r="BF16" s="13">
        <f t="shared" si="37"/>
        <v>1.8477232526006253</v>
      </c>
      <c r="BG16" s="20">
        <f t="shared" si="7"/>
        <v>11.602992550352086</v>
      </c>
      <c r="BH16" s="59">
        <f t="shared" si="8"/>
        <v>304.93632588368541</v>
      </c>
      <c r="BI16" s="59">
        <f ca="1">AVERAGE(OFFSET($BH$3,0,0,'Données projet'!$E$11+1,1))-AVERAGE(OFFSET($H$3,0,0,'Données projet'!$E$11+1,1))</f>
        <v>207.25176714718668</v>
      </c>
      <c r="BJ16" s="59">
        <f t="shared" si="38"/>
        <v>191.53228014642559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>
        <f>VLOOKUP(A16,'Données projet'!$A$113:$I$133,2,0)</f>
        <v>90.615576923076929</v>
      </c>
      <c r="BW16" s="12">
        <f>VLOOKUP(A16,'Données projet'!$A$113:$I$133,9,0)</f>
        <v>13.805833333333339</v>
      </c>
      <c r="BX16" s="12">
        <f t="array" ref="BX16">INDEX(BW:BW,MIN(IF(ISNUMBER(BW16:BW212),ROW(BW16:BW212),"")))</f>
        <v>13.805833333333339</v>
      </c>
      <c r="BY16" s="12">
        <f>IF('Données projet'!$A$114&gt;35,BY15+BX16-CG15,IF(A16&lt;'Données projet'!$A$114,$BV$205^A16,IF(A16='Données projet'!$A$114,'Données projet'!$B$114,BY15+BX16-CG15)))</f>
        <v>90.615576923076929</v>
      </c>
      <c r="BZ16" s="13">
        <f>BY16*VLOOKUP('Données projet'!$B$12,Paramètres!$A$1:$I$89,3,0)*VLOOKUP('Données projet'!$B$12,Paramètres!$A$1:$I$89,5,0)</f>
        <v>46.083457800000005</v>
      </c>
      <c r="CA16" s="13">
        <f t="shared" si="39"/>
        <v>13.597544172817395</v>
      </c>
      <c r="CB16" s="20">
        <f t="shared" si="10"/>
        <v>103.94441176932362</v>
      </c>
      <c r="CC16" s="59">
        <f t="shared" si="11"/>
        <v>397.27774510265692</v>
      </c>
      <c r="CD16" s="59">
        <f ca="1">AVERAGE(OFFSET($CC$3,0,0,'Données projet'!$E$12+1,1))-AVERAGE(OFFSET($H$3,0,0,'Données projet'!$E$12+1,1))</f>
        <v>68.620424404221751</v>
      </c>
      <c r="CE16" s="59">
        <f t="shared" si="40"/>
        <v>203.12945099478918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4.5417948717948722</v>
      </c>
      <c r="CT16" s="12">
        <f>IF('Données projet'!$A$140&gt;35,CT15+CS16-DB15,IF(A16&lt;'Données projet'!$A$140,$CQ$205^A16,IF(A16='Données projet'!$A$140,'Données projet'!$B$140,CT15+CS16-DB15)))</f>
        <v>8.4117133991110169</v>
      </c>
      <c r="CU16" s="17">
        <f>CT16*VLOOKUP('Données projet'!$B$13,Paramètres!$A$1:$I$89,3,0)*VLOOKUP('Données projet'!$B$13,Paramètres!$A$1:$I$89,5,0)</f>
        <v>5.0302046126683884</v>
      </c>
      <c r="CV16" s="13">
        <f t="shared" si="41"/>
        <v>1.9207601914386063</v>
      </c>
      <c r="CW16" s="20">
        <f t="shared" si="13"/>
        <v>12.10626370048635</v>
      </c>
      <c r="CX16" s="59">
        <f t="shared" si="14"/>
        <v>305.43959703381967</v>
      </c>
      <c r="CY16" s="59">
        <f ca="1">AVERAGE(OFFSET($CX$3,0,0,'Données projet'!$E$13+1,1))-AVERAGE(OFFSET($H$3,0,0,'Données projet'!$E$13+1,1))</f>
        <v>196.25918971690442</v>
      </c>
      <c r="CZ16" s="59">
        <f t="shared" si="42"/>
        <v>148.35701313170205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11">
        <f t="shared" si="32"/>
        <v>2.4260515959655735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67">
        <f t="shared" si="1"/>
        <v>308.97010652964002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6.2222222222222223</v>
      </c>
      <c r="N17" s="13">
        <f>IF('Données projet'!$A$36&gt;35,N16+M17-V16,IF(A17&lt;'Données projet'!$A$36,$K$205^A17,IF(A17='Données projet'!$A$36,'Données projet'!$B$36,N16+M17-V16)))</f>
        <v>39.249690802844427</v>
      </c>
      <c r="O17" s="13">
        <f>N17*VLOOKUP('Données projet'!$B$9,Paramètres!$A$1:$I$89,3,0)*VLOOKUP('Données projet'!$B$9,Paramètres!$A$1:$I$89,5,0)</f>
        <v>24.491807060974921</v>
      </c>
      <c r="P17" s="13">
        <f t="shared" si="33"/>
        <v>7.7784106944068903</v>
      </c>
      <c r="Q17" s="20">
        <f t="shared" si="2"/>
        <v>56.203962590623313</v>
      </c>
      <c r="R17" s="59">
        <f t="shared" si="0"/>
        <v>349.53729592395661</v>
      </c>
      <c r="S17" s="59">
        <f ca="1">AVERAGE(OFFSET($R$3,0,0,'Données projet'!$E$9+1,1))-AVERAGE(OFFSET($H$3,0,0,'Données projet'!$E$9+1,1))</f>
        <v>180.31844548479722</v>
      </c>
      <c r="T17" s="59">
        <f t="shared" si="34"/>
        <v>273.83237400307223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24.333333333333332</v>
      </c>
      <c r="AI17" s="13">
        <f>IF('Données projet'!$A$62&gt;35,AI16+AH17-AQ16,IF(A17&lt;'Données projet'!$A$62,$AF$205^A17,IF(A17='Données projet'!$A$62,'Données projet'!$B$62,AI16+AH17-AQ16)))</f>
        <v>143.66666666666669</v>
      </c>
      <c r="AJ17" s="13">
        <f>AI17*VLOOKUP('Données projet'!$B$10,Paramètres!$A$1:$I$89,3,0)*VLOOKUP('Données projet'!$B$10,Paramètres!$A$1:$I$89,5,0)</f>
        <v>78.442000000000007</v>
      </c>
      <c r="AK17" s="13">
        <f t="shared" si="35"/>
        <v>21.755810093736013</v>
      </c>
      <c r="AL17" s="20">
        <f t="shared" si="4"/>
        <v>174.5111859132569</v>
      </c>
      <c r="AM17" s="59">
        <f t="shared" si="5"/>
        <v>467.84451924659021</v>
      </c>
      <c r="AN17" s="59">
        <f ca="1">AVERAGE(OFFSET($AM$3,0,0,'Données projet'!$E$10+1,1))-AVERAGE(OFFSET($H$3,0,0,'Données projet'!$E$10+1,1))</f>
        <v>160.54301845388551</v>
      </c>
      <c r="AO17" s="59">
        <f t="shared" si="36"/>
        <v>272.6634844951584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6.0199630620902038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6.0199630620902038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7.2264102564102561</v>
      </c>
      <c r="BD17" s="12">
        <f>IF('Données projet'!$A$88&gt;35,BD16+BC17-BL16,IF(A17&lt;'Données projet'!$A$88,$BA$205^A17,IF(A17='Données projet'!$A$88,'Données projet'!$B$88,BD16+BC17-BL16)))</f>
        <v>12.307045471848836</v>
      </c>
      <c r="BE17" s="13">
        <f>BD17*VLOOKUP('Données projet'!$B$11,Paramètres!$A$1:$I$89,3,0)*VLOOKUP('Données projet'!$B$11,Paramètres!$A$1:$I$89,5,0)</f>
        <v>5.7596972808252556</v>
      </c>
      <c r="BF17" s="13">
        <f t="shared" si="37"/>
        <v>2.1649167617120959</v>
      </c>
      <c r="BG17" s="20">
        <f t="shared" si="7"/>
        <v>13.802036124085888</v>
      </c>
      <c r="BH17" s="59">
        <f t="shared" si="8"/>
        <v>307.13536945741919</v>
      </c>
      <c r="BI17" s="59">
        <f ca="1">AVERAGE(OFFSET($BH$3,0,0,'Données projet'!$E$11+1,1))-AVERAGE(OFFSET($H$3,0,0,'Données projet'!$E$11+1,1))</f>
        <v>207.25176714718668</v>
      </c>
      <c r="BJ17" s="59">
        <f t="shared" si="38"/>
        <v>191.53228014642559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>
        <f>VLOOKUP(A17,'Données projet'!$A$113:$I$133,2,0)</f>
        <v>105.09512820512822</v>
      </c>
      <c r="BW17" s="12">
        <f>VLOOKUP(A17,'Données projet'!$A$113:$I$133,9,0)</f>
        <v>14.47955128205129</v>
      </c>
      <c r="BX17" s="12">
        <f t="array" ref="BX17">INDEX(BW:BW,MIN(IF(ISNUMBER(BW17:BW213),ROW(BW17:BW213),"")))</f>
        <v>14.47955128205129</v>
      </c>
      <c r="BY17" s="12">
        <f>IF('Données projet'!$A$114&gt;35,BY16+BX17-CG16,IF(A17&lt;'Données projet'!$A$114,$BV$205^A17,IF(A17='Données projet'!$A$114,'Données projet'!$B$114,BY16+BX17-CG16)))</f>
        <v>105.09512820512822</v>
      </c>
      <c r="BZ17" s="13">
        <f>BY17*VLOOKUP('Données projet'!$B$12,Paramètres!$A$1:$I$89,3,0)*VLOOKUP('Données projet'!$B$12,Paramètres!$A$1:$I$89,5,0)</f>
        <v>53.447178400000006</v>
      </c>
      <c r="CA17" s="13">
        <f t="shared" si="39"/>
        <v>15.500524821688407</v>
      </c>
      <c r="CB17" s="20">
        <f t="shared" si="10"/>
        <v>120.08391644444065</v>
      </c>
      <c r="CC17" s="59">
        <f t="shared" si="11"/>
        <v>413.41724977777397</v>
      </c>
      <c r="CD17" s="59">
        <f ca="1">AVERAGE(OFFSET($CC$3,0,0,'Données projet'!$E$12+1,1))-AVERAGE(OFFSET($H$3,0,0,'Données projet'!$E$12+1,1))</f>
        <v>68.620424404221751</v>
      </c>
      <c r="CE17" s="59">
        <f t="shared" si="40"/>
        <v>203.12945099478918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4.5417948717948722</v>
      </c>
      <c r="CT17" s="12">
        <f>IF('Données projet'!$A$140&gt;35,CT16+CS17-DB16,IF(A17&lt;'Données projet'!$A$140,$CQ$205^A17,IF(A17='Données projet'!$A$140,'Données projet'!$B$140,CT16+CS17-DB16)))</f>
        <v>9.9089908219103773</v>
      </c>
      <c r="CU17" s="17">
        <f>CT17*VLOOKUP('Données projet'!$B$13,Paramètres!$A$1:$I$89,3,0)*VLOOKUP('Données projet'!$B$13,Paramètres!$A$1:$I$89,5,0)</f>
        <v>5.9255765115024062</v>
      </c>
      <c r="CV17" s="13">
        <f t="shared" si="41"/>
        <v>2.2199174854827612</v>
      </c>
      <c r="CW17" s="20">
        <f t="shared" si="13"/>
        <v>14.186735378082497</v>
      </c>
      <c r="CX17" s="59">
        <f t="shared" si="14"/>
        <v>307.52006871141583</v>
      </c>
      <c r="CY17" s="59">
        <f ca="1">AVERAGE(OFFSET($CX$3,0,0,'Données projet'!$E$13+1,1))-AVERAGE(OFFSET($H$3,0,0,'Données projet'!$E$13+1,1))</f>
        <v>196.25918971690442</v>
      </c>
      <c r="CZ17" s="59">
        <f t="shared" si="42"/>
        <v>148.35701313170205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11">
        <f t="shared" si="32"/>
        <v>2.5785498814341232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67">
        <f t="shared" si="1"/>
        <v>310.05080771016441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6.2222222222222223</v>
      </c>
      <c r="N18" s="13">
        <f>IF('Données projet'!$A$36&gt;35,N17+M18-V17,IF(A18&lt;'Données projet'!$A$36,$K$205^A18,IF(A18='Données projet'!$A$36,'Données projet'!$B$36,N17+M18-V17)))</f>
        <v>51.013096442350388</v>
      </c>
      <c r="O18" s="13">
        <f>N18*VLOOKUP('Données projet'!$B$9,Paramètres!$A$1:$I$89,3,0)*VLOOKUP('Données projet'!$B$9,Paramètres!$A$1:$I$89,5,0)</f>
        <v>31.832172180026642</v>
      </c>
      <c r="P18" s="13">
        <f t="shared" si="33"/>
        <v>9.8058378099430179</v>
      </c>
      <c r="Q18" s="20">
        <f t="shared" si="2"/>
        <v>72.519534065863823</v>
      </c>
      <c r="R18" s="59">
        <f t="shared" si="0"/>
        <v>365.85286739919712</v>
      </c>
      <c r="S18" s="59">
        <f ca="1">AVERAGE(OFFSET($R$3,0,0,'Données projet'!$E$9+1,1))-AVERAGE(OFFSET($H$3,0,0,'Données projet'!$E$9+1,1))</f>
        <v>180.31844548479722</v>
      </c>
      <c r="T18" s="59">
        <f t="shared" si="34"/>
        <v>273.83237400307223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168</v>
      </c>
      <c r="AG18" s="12">
        <f>VLOOKUP(A18,'Données projet'!$A$61:$I$81,9,0)</f>
        <v>24.333333333333332</v>
      </c>
      <c r="AH18" s="12">
        <f t="array" ref="AH18">INDEX(AG:AG,MIN(IF(ISNUMBER(AG18:AG214),ROW(AG18:AG214),"")))</f>
        <v>24.333333333333332</v>
      </c>
      <c r="AI18" s="13">
        <f>IF('Données projet'!$A$62&gt;35,AI17+AH18-AQ17,IF(A18&lt;'Données projet'!$A$62,$AF$205^A18,IF(A18='Données projet'!$A$62,'Données projet'!$B$62,AI17+AH18-AQ17)))</f>
        <v>168.00000000000003</v>
      </c>
      <c r="AJ18" s="13">
        <f>AI18*VLOOKUP('Données projet'!$B$10,Paramètres!$A$1:$I$89,3,0)*VLOOKUP('Données projet'!$B$10,Paramètres!$A$1:$I$89,5,0)</f>
        <v>91.728000000000009</v>
      </c>
      <c r="AK18" s="13">
        <f t="shared" si="35"/>
        <v>24.981514582386563</v>
      </c>
      <c r="AL18" s="20">
        <f t="shared" si="4"/>
        <v>203.26907123098991</v>
      </c>
      <c r="AM18" s="59">
        <f t="shared" si="5"/>
        <v>496.60240456432325</v>
      </c>
      <c r="AN18" s="59">
        <f ca="1">AVERAGE(OFFSET($AM$3,0,0,'Données projet'!$E$10+1,1))-AVERAGE(OFFSET($H$3,0,0,'Données projet'!$E$10+1,1))</f>
        <v>160.54301845388551</v>
      </c>
      <c r="AO18" s="59">
        <f t="shared" si="36"/>
        <v>272.6634844951584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47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0.48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22.131311444789212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22.131311444789212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7.2264102564102561</v>
      </c>
      <c r="BD18" s="12">
        <f>IF('Données projet'!$A$88&gt;35,BD17+BC18-BL17,IF(A18&lt;'Données projet'!$A$88,$BA$205^A18,IF(A18='Données projet'!$A$88,'Données projet'!$B$88,BD17+BC18-BL17)))</f>
        <v>14.723868638788783</v>
      </c>
      <c r="BE18" s="13">
        <f>BD18*VLOOKUP('Données projet'!$B$11,Paramètres!$A$1:$I$89,3,0)*VLOOKUP('Données projet'!$B$11,Paramètres!$A$1:$I$89,5,0)</f>
        <v>6.89077052295315</v>
      </c>
      <c r="BF18" s="13">
        <f t="shared" si="37"/>
        <v>2.5365619978778424</v>
      </c>
      <c r="BG18" s="20">
        <f t="shared" si="7"/>
        <v>16.419270807113978</v>
      </c>
      <c r="BH18" s="59">
        <f t="shared" si="8"/>
        <v>309.75260414044732</v>
      </c>
      <c r="BI18" s="59">
        <f ca="1">AVERAGE(OFFSET($BH$3,0,0,'Données projet'!$E$11+1,1))-AVERAGE(OFFSET($H$3,0,0,'Données projet'!$E$11+1,1))</f>
        <v>207.25176714718668</v>
      </c>
      <c r="BJ18" s="59">
        <f t="shared" si="38"/>
        <v>191.53228014642559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120.14570512820511</v>
      </c>
      <c r="BW18" s="12">
        <f>VLOOKUP(A18,'Données projet'!$A$113:$I$133,9,0)</f>
        <v>15.050576923076889</v>
      </c>
      <c r="BX18" s="12">
        <f t="array" ref="BX18">INDEX(BW:BW,MIN(IF(ISNUMBER(BW18:BW214),ROW(BW18:BW214),"")))</f>
        <v>15.050576923076889</v>
      </c>
      <c r="BY18" s="12">
        <f>IF('Données projet'!$A$114&gt;35,BY17+BX18-CG17,IF(A18&lt;'Données projet'!$A$114,$BV$205^A18,IF(A18='Données projet'!$A$114,'Données projet'!$B$114,BY17+BX18-CG17)))</f>
        <v>120.14570512820511</v>
      </c>
      <c r="BZ18" s="13">
        <f>BY18*VLOOKUP('Données projet'!$B$12,Paramètres!$A$1:$I$89,3,0)*VLOOKUP('Données projet'!$B$12,Paramètres!$A$1:$I$89,5,0)</f>
        <v>61.101299799999993</v>
      </c>
      <c r="CA18" s="13">
        <f t="shared" si="39"/>
        <v>17.446416717537055</v>
      </c>
      <c r="CB18" s="20">
        <f t="shared" si="10"/>
        <v>136.80393960137704</v>
      </c>
      <c r="CC18" s="59">
        <f t="shared" si="11"/>
        <v>430.13727293471038</v>
      </c>
      <c r="CD18" s="59">
        <f ca="1">AVERAGE(OFFSET($CC$3,0,0,'Données projet'!$E$12+1,1))-AVERAGE(OFFSET($H$3,0,0,'Données projet'!$E$12+1,1))</f>
        <v>68.620424404221751</v>
      </c>
      <c r="CE18" s="59">
        <f t="shared" si="40"/>
        <v>203.12945099478918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4.5417948717948722</v>
      </c>
      <c r="CT18" s="12">
        <f>IF('Données projet'!$A$140&gt;35,CT17+CS18-DB17,IF(A18&lt;'Données projet'!$A$140,$CQ$205^A18,IF(A18='Données projet'!$A$140,'Données projet'!$B$140,CT17+CS18-DB17)))</f>
        <v>11.672782279895674</v>
      </c>
      <c r="CU18" s="17">
        <f>CT18*VLOOKUP('Données projet'!$B$13,Paramètres!$A$1:$I$89,3,0)*VLOOKUP('Données projet'!$B$13,Paramètres!$A$1:$I$89,5,0)</f>
        <v>6.9803238033776136</v>
      </c>
      <c r="CV18" s="13">
        <f t="shared" si="41"/>
        <v>2.5656683558508773</v>
      </c>
      <c r="CW18" s="20">
        <f t="shared" si="13"/>
        <v>16.625936343989618</v>
      </c>
      <c r="CX18" s="59">
        <f t="shared" si="14"/>
        <v>309.95926967732294</v>
      </c>
      <c r="CY18" s="59">
        <f ca="1">AVERAGE(OFFSET($CX$3,0,0,'Données projet'!$E$13+1,1))-AVERAGE(OFFSET($H$3,0,0,'Données projet'!$E$13+1,1))</f>
        <v>196.25918971690442</v>
      </c>
      <c r="CZ18" s="59">
        <f t="shared" si="42"/>
        <v>148.35701313170205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11">
        <f t="shared" si="32"/>
        <v>2.7298684377500635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67">
        <f t="shared" si="1"/>
        <v>311.129454195748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6.2222222222222223</v>
      </c>
      <c r="N19" s="13">
        <f>IF('Données projet'!$A$36&gt;35,N18+M19-V18,IF(A19&lt;'Données projet'!$A$36,$K$205^A19,IF(A19='Données projet'!$A$36,'Données projet'!$B$36,N18+M19-V18)))</f>
        <v>66.302076663695672</v>
      </c>
      <c r="O19" s="13">
        <f>N19*VLOOKUP('Données projet'!$B$9,Paramètres!$A$1:$I$89,3,0)*VLOOKUP('Données projet'!$B$9,Paramètres!$A$1:$I$89,5,0)</f>
        <v>41.372495838146101</v>
      </c>
      <c r="P19" s="13">
        <f t="shared" si="33"/>
        <v>12.361709728704412</v>
      </c>
      <c r="Q19" s="20">
        <f t="shared" si="2"/>
        <v>93.587074695597963</v>
      </c>
      <c r="R19" s="59">
        <f t="shared" si="0"/>
        <v>386.92040802893126</v>
      </c>
      <c r="S19" s="59">
        <f ca="1">AVERAGE(OFFSET($R$3,0,0,'Données projet'!$E$9+1,1))-AVERAGE(OFFSET($H$3,0,0,'Données projet'!$E$9+1,1))</f>
        <v>180.31844548479722</v>
      </c>
      <c r="T19" s="59">
        <f t="shared" si="34"/>
        <v>273.83237400307223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21.333333333333332</v>
      </c>
      <c r="AI19" s="13">
        <f>IF('Données projet'!$A$62&gt;35,AI18+AH19-AQ18,IF(A19&lt;'Données projet'!$A$62,$AF$205^A19,IF(A19='Données projet'!$A$62,'Données projet'!$B$62,AI18+AH19-AQ18)))</f>
        <v>142.33333333333337</v>
      </c>
      <c r="AJ19" s="13">
        <f>AI19*VLOOKUP('Données projet'!$B$10,Paramètres!$A$1:$I$89,3,0)*VLOOKUP('Données projet'!$B$10,Paramètres!$A$1:$I$89,5,0)</f>
        <v>77.714000000000027</v>
      </c>
      <c r="AK19" s="13">
        <f t="shared" si="35"/>
        <v>21.577305655991772</v>
      </c>
      <c r="AL19" s="20">
        <f t="shared" si="4"/>
        <v>172.93235735085239</v>
      </c>
      <c r="AM19" s="59">
        <f t="shared" si="5"/>
        <v>466.2656906841857</v>
      </c>
      <c r="AN19" s="59">
        <f ca="1">AVERAGE(OFFSET($AM$3,0,0,'Données projet'!$E$10+1,1))-AVERAGE(OFFSET($H$3,0,0,'Données projet'!$E$10+1,1))</f>
        <v>160.54301845388551</v>
      </c>
      <c r="AO19" s="59">
        <f t="shared" si="36"/>
        <v>272.6634844951584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21.526129569496362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21.526129569496362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7.2264102564102561</v>
      </c>
      <c r="BD19" s="12">
        <f>IF('Données projet'!$A$88&gt;35,BD18+BC19-BL18,IF(A19&lt;'Données projet'!$A$88,$BA$205^A19,IF(A19='Données projet'!$A$88,'Données projet'!$B$88,BD18+BC19-BL18)))</f>
        <v>17.61530077939495</v>
      </c>
      <c r="BE19" s="13">
        <f>BD19*VLOOKUP('Données projet'!$B$11,Paramètres!$A$1:$I$89,3,0)*VLOOKUP('Données projet'!$B$11,Paramètres!$A$1:$I$89,5,0)</f>
        <v>8.2439607647568369</v>
      </c>
      <c r="BF19" s="13">
        <f t="shared" si="37"/>
        <v>2.972006537558364</v>
      </c>
      <c r="BG19" s="20">
        <f t="shared" si="7"/>
        <v>19.534476384865641</v>
      </c>
      <c r="BH19" s="59">
        <f t="shared" si="8"/>
        <v>312.86780971819894</v>
      </c>
      <c r="BI19" s="59">
        <f ca="1">AVERAGE(OFFSET($BH$3,0,0,'Données projet'!$E$11+1,1))-AVERAGE(OFFSET($H$3,0,0,'Données projet'!$E$11+1,1))</f>
        <v>207.25176714718668</v>
      </c>
      <c r="BJ19" s="59">
        <f t="shared" si="38"/>
        <v>191.53228014642559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>
        <f>VLOOKUP(A19,'Données projet'!$A$113:$I$133,2,0)</f>
        <v>135.66461538461539</v>
      </c>
      <c r="BW19" s="12">
        <f>VLOOKUP(A19,'Données projet'!$A$113:$I$133,9,0)</f>
        <v>15.51891025641028</v>
      </c>
      <c r="BX19" s="12">
        <f t="array" ref="BX19">INDEX(BW:BW,MIN(IF(ISNUMBER(BW19:BW215),ROW(BW19:BW215),"")))</f>
        <v>15.51891025641028</v>
      </c>
      <c r="BY19" s="12">
        <f>IF('Données projet'!$A$114&gt;35,BY18+BX19-CG18,IF(A19&lt;'Données projet'!$A$114,$BV$205^A19,IF(A19='Données projet'!$A$114,'Données projet'!$B$114,BY18+BX19-CG18)))</f>
        <v>135.66461538461539</v>
      </c>
      <c r="BZ19" s="13">
        <f>BY19*VLOOKUP('Données projet'!$B$12,Paramètres!$A$1:$I$89,3,0)*VLOOKUP('Données projet'!$B$12,Paramètres!$A$1:$I$89,5,0)</f>
        <v>68.993596800000006</v>
      </c>
      <c r="CA19" s="13">
        <f t="shared" si="39"/>
        <v>19.423321933594313</v>
      </c>
      <c r="CB19" s="20">
        <f t="shared" si="10"/>
        <v>153.99280012767676</v>
      </c>
      <c r="CC19" s="59">
        <f t="shared" si="11"/>
        <v>447.32613346101004</v>
      </c>
      <c r="CD19" s="59">
        <f ca="1">AVERAGE(OFFSET($CC$3,0,0,'Données projet'!$E$12+1,1))-AVERAGE(OFFSET($H$3,0,0,'Données projet'!$E$12+1,1))</f>
        <v>68.620424404221751</v>
      </c>
      <c r="CE19" s="59">
        <f t="shared" si="40"/>
        <v>203.12945099478918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4.5417948717948722</v>
      </c>
      <c r="CT19" s="12">
        <f>IF('Données projet'!$A$140&gt;35,CT18+CS19-DB18,IF(A19&lt;'Données projet'!$A$140,$CQ$205^A19,IF(A19='Données projet'!$A$140,'Données projet'!$B$140,CT18+CS19-DB18)))</f>
        <v>13.750527031730337</v>
      </c>
      <c r="CU19" s="17">
        <f>CT19*VLOOKUP('Données projet'!$B$13,Paramètres!$A$1:$I$89,3,0)*VLOOKUP('Données projet'!$B$13,Paramètres!$A$1:$I$89,5,0)</f>
        <v>8.2228151649747439</v>
      </c>
      <c r="CV19" s="13">
        <f t="shared" si="41"/>
        <v>2.9652697252317135</v>
      </c>
      <c r="CW19" s="20">
        <f t="shared" si="13"/>
        <v>19.485914517109581</v>
      </c>
      <c r="CX19" s="59">
        <f t="shared" si="14"/>
        <v>312.81924785044288</v>
      </c>
      <c r="CY19" s="59">
        <f ca="1">AVERAGE(OFFSET($CX$3,0,0,'Données projet'!$E$13+1,1))-AVERAGE(OFFSET($H$3,0,0,'Données projet'!$E$13+1,1))</f>
        <v>196.25918971690442</v>
      </c>
      <c r="CZ19" s="59">
        <f t="shared" si="42"/>
        <v>148.35701313170205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11">
        <f t="shared" si="32"/>
        <v>2.880089392049658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67">
        <f t="shared" si="1"/>
        <v>312.20618902448649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6.2222222222222223</v>
      </c>
      <c r="N20" s="13">
        <f>IF('Données projet'!$A$36&gt;35,N19+M20-V19,IF(A20&lt;'Données projet'!$A$36,$K$205^A20,IF(A20='Données projet'!$A$36,'Données projet'!$B$36,N19+M20-V19)))</f>
        <v>86.1732707185582</v>
      </c>
      <c r="O20" s="13">
        <f>N20*VLOOKUP('Données projet'!$B$9,Paramètres!$A$1:$I$89,3,0)*VLOOKUP('Données projet'!$B$9,Paramètres!$A$1:$I$89,5,0)</f>
        <v>53.772120928380318</v>
      </c>
      <c r="P20" s="13">
        <f t="shared" si="33"/>
        <v>15.583764526657339</v>
      </c>
      <c r="Q20" s="20">
        <f t="shared" si="2"/>
        <v>120.79483383419057</v>
      </c>
      <c r="R20" s="59">
        <f t="shared" si="0"/>
        <v>414.12816716752388</v>
      </c>
      <c r="S20" s="59">
        <f ca="1">AVERAGE(OFFSET($R$3,0,0,'Données projet'!$E$9+1,1))-AVERAGE(OFFSET($H$3,0,0,'Données projet'!$E$9+1,1))</f>
        <v>180.31844548479722</v>
      </c>
      <c r="T20" s="59">
        <f t="shared" si="34"/>
        <v>273.83237400307223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21.333333333333332</v>
      </c>
      <c r="AI20" s="13">
        <f>IF('Données projet'!$A$62&gt;35,AI19+AH20-AQ19,IF(A20&lt;'Données projet'!$A$62,$AF$205^A20,IF(A20='Données projet'!$A$62,'Données projet'!$B$62,AI19+AH20-AQ19)))</f>
        <v>163.66666666666671</v>
      </c>
      <c r="AJ20" s="13">
        <f>AI20*VLOOKUP('Données projet'!$B$10,Paramètres!$A$1:$I$89,3,0)*VLOOKUP('Données projet'!$B$10,Paramètres!$A$1:$I$89,5,0)</f>
        <v>89.362000000000037</v>
      </c>
      <c r="AK20" s="13">
        <f t="shared" si="35"/>
        <v>24.411291106060958</v>
      </c>
      <c r="AL20" s="20">
        <f t="shared" si="4"/>
        <v>198.15514867638956</v>
      </c>
      <c r="AM20" s="59">
        <f t="shared" si="5"/>
        <v>491.48848200972287</v>
      </c>
      <c r="AN20" s="59">
        <f ca="1">AVERAGE(OFFSET($AM$3,0,0,'Données projet'!$E$10+1,1))-AVERAGE(OFFSET($H$3,0,0,'Données projet'!$E$10+1,1))</f>
        <v>160.54301845388551</v>
      </c>
      <c r="AO20" s="59">
        <f t="shared" si="36"/>
        <v>272.6634844951584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20.937496424408529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20.937496424408529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7.2264102564102561</v>
      </c>
      <c r="BD20" s="12">
        <f>IF('Données projet'!$A$88&gt;35,BD19+BC20-BL19,IF(A20&lt;'Données projet'!$A$88,$BA$205^A20,IF(A20='Données projet'!$A$88,'Données projet'!$B$88,BD19+BC20-BL19)))</f>
        <v>21.074544276434004</v>
      </c>
      <c r="BE20" s="13">
        <f>BD20*VLOOKUP('Données projet'!$B$11,Paramètres!$A$1:$I$89,3,0)*VLOOKUP('Données projet'!$B$11,Paramètres!$A$1:$I$89,5,0)</f>
        <v>9.8628867213711136</v>
      </c>
      <c r="BF20" s="13">
        <f t="shared" si="37"/>
        <v>3.4822026296536168</v>
      </c>
      <c r="BG20" s="20">
        <f t="shared" si="7"/>
        <v>23.24269728636807</v>
      </c>
      <c r="BH20" s="59">
        <f t="shared" si="8"/>
        <v>316.57603061970138</v>
      </c>
      <c r="BI20" s="59">
        <f ca="1">AVERAGE(OFFSET($BH$3,0,0,'Données projet'!$E$11+1,1))-AVERAGE(OFFSET($H$3,0,0,'Données projet'!$E$11+1,1))</f>
        <v>207.25176714718668</v>
      </c>
      <c r="BJ20" s="59">
        <f t="shared" si="38"/>
        <v>191.53228014642559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>
        <f>VLOOKUP(A20,'Données projet'!$A$113:$I$133,2,0)</f>
        <v>151.54916666666668</v>
      </c>
      <c r="BW20" s="12">
        <f>VLOOKUP(A20,'Données projet'!$A$113:$I$133,9,0)</f>
        <v>15.884551282051291</v>
      </c>
      <c r="BX20" s="12">
        <f t="array" ref="BX20">INDEX(BW:BW,MIN(IF(ISNUMBER(BW20:BW216),ROW(BW20:BW216),"")))</f>
        <v>15.884551282051291</v>
      </c>
      <c r="BY20" s="12">
        <f>IF('Données projet'!$A$114&gt;35,BY19+BX20-CG19,IF(A20&lt;'Données projet'!$A$114,$BV$205^A20,IF(A20='Données projet'!$A$114,'Données projet'!$B$114,BY19+BX20-CG19)))</f>
        <v>151.54916666666668</v>
      </c>
      <c r="BZ20" s="13">
        <f>BY20*VLOOKUP('Données projet'!$B$12,Paramètres!$A$1:$I$89,3,0)*VLOOKUP('Données projet'!$B$12,Paramètres!$A$1:$I$89,5,0)</f>
        <v>77.071844200000015</v>
      </c>
      <c r="CA20" s="13">
        <f t="shared" si="39"/>
        <v>21.419688488508918</v>
      </c>
      <c r="CB20" s="20">
        <f t="shared" si="10"/>
        <v>171.53941943248637</v>
      </c>
      <c r="CC20" s="59">
        <f t="shared" si="11"/>
        <v>464.87275276581965</v>
      </c>
      <c r="CD20" s="59">
        <f ca="1">AVERAGE(OFFSET($CC$3,0,0,'Données projet'!$E$12+1,1))-AVERAGE(OFFSET($H$3,0,0,'Données projet'!$E$12+1,1))</f>
        <v>68.620424404221751</v>
      </c>
      <c r="CE20" s="59">
        <f t="shared" si="40"/>
        <v>203.12945099478918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4.5417948717948722</v>
      </c>
      <c r="CT20" s="12">
        <f>IF('Données projet'!$A$140&gt;35,CT19+CS20-DB19,IF(A20&lt;'Données projet'!$A$140,$CQ$205^A20,IF(A20='Données projet'!$A$140,'Données projet'!$B$140,CT19+CS20-DB19)))</f>
        <v>16.198108481471358</v>
      </c>
      <c r="CU20" s="17">
        <f>CT20*VLOOKUP('Données projet'!$B$13,Paramètres!$A$1:$I$89,3,0)*VLOOKUP('Données projet'!$B$13,Paramètres!$A$1:$I$89,5,0)</f>
        <v>9.6864688719198728</v>
      </c>
      <c r="CV20" s="13">
        <f t="shared" si="41"/>
        <v>3.4271087778450267</v>
      </c>
      <c r="CW20" s="20">
        <f t="shared" si="13"/>
        <v>22.839481073340533</v>
      </c>
      <c r="CX20" s="59">
        <f t="shared" si="14"/>
        <v>316.17281440667387</v>
      </c>
      <c r="CY20" s="59">
        <f ca="1">AVERAGE(OFFSET($CX$3,0,0,'Données projet'!$E$13+1,1))-AVERAGE(OFFSET($H$3,0,0,'Données projet'!$E$13+1,1))</f>
        <v>196.25918971690442</v>
      </c>
      <c r="CZ20" s="59">
        <f t="shared" si="42"/>
        <v>148.35701313170205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11">
        <f t="shared" si="32"/>
        <v>3.0292846636388133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67">
        <f t="shared" si="1"/>
        <v>313.28113745583755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112</v>
      </c>
      <c r="L21" s="12">
        <f>VLOOKUP(A21,'Données projet'!$A$35:$I$55,9,0)</f>
        <v>6.2222222222222223</v>
      </c>
      <c r="M21" s="12">
        <f t="array" ref="M21">INDEX(L:L,MIN(IF(ISNUMBER(L21:L217),ROW(L21:L217),"")))</f>
        <v>6.2222222222222223</v>
      </c>
      <c r="N21" s="13">
        <f>IF('Données projet'!$A$36&gt;35,N20+M21-V20,IF(A21&lt;'Données projet'!$A$36,$K$205^A21,IF(A21='Données projet'!$A$36,'Données projet'!$B$36,N20+M21-V20)))</f>
        <v>112</v>
      </c>
      <c r="O21" s="13">
        <f>N21*VLOOKUP('Données projet'!$B$9,Paramètres!$A$1:$I$89,3,0)*VLOOKUP('Données projet'!$B$9,Paramètres!$A$1:$I$89,5,0)</f>
        <v>69.888000000000005</v>
      </c>
      <c r="P21" s="13">
        <f t="shared" si="33"/>
        <v>19.645641432461961</v>
      </c>
      <c r="Q21" s="20">
        <f t="shared" si="2"/>
        <v>155.93775882820458</v>
      </c>
      <c r="R21" s="59">
        <f t="shared" si="0"/>
        <v>449.27109216153792</v>
      </c>
      <c r="S21" s="59">
        <f ca="1">AVERAGE(OFFSET($R$3,0,0,'Données projet'!$E$9+1,1))-AVERAGE(OFFSET($H$3,0,0,'Données projet'!$E$9+1,1))</f>
        <v>180.31844548479722</v>
      </c>
      <c r="T21" s="59">
        <f t="shared" si="34"/>
        <v>273.83237400307223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20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0.42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6.9259423783863667</v>
      </c>
      <c r="AB21" s="21">
        <f>EXP(-LN(2)/2)*AB20+(1-EXP(-LN(2)/2))/(LN(2)/2)*V21*Y21*VLOOKUP('Données projet'!$B$9,Paramètres!$A$1:$I$89,3,0)*0.475*44/12</f>
        <v>0</v>
      </c>
      <c r="AC21" s="22">
        <f t="shared" si="3"/>
        <v>6.9259423783863667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185</v>
      </c>
      <c r="AG21" s="12">
        <f>VLOOKUP(A21,'Données projet'!$A$61:$I$81,9,0)</f>
        <v>21.333333333333332</v>
      </c>
      <c r="AH21" s="12">
        <f t="array" ref="AH21">INDEX(AG:AG,MIN(IF(ISNUMBER(AG21:AG217),ROW(AG21:AG217),"")))</f>
        <v>21.333333333333332</v>
      </c>
      <c r="AI21" s="13">
        <f>IF('Données projet'!$A$62&gt;35,AI20+AH21-AQ20,IF(A21&lt;'Données projet'!$A$62,$AF$205^A21,IF(A21='Données projet'!$A$62,'Données projet'!$B$62,AI20+AH21-AQ20)))</f>
        <v>185.00000000000006</v>
      </c>
      <c r="AJ21" s="13">
        <f>AI21*VLOOKUP('Données projet'!$B$10,Paramètres!$A$1:$I$89,3,0)*VLOOKUP('Données projet'!$B$10,Paramètres!$A$1:$I$89,5,0)</f>
        <v>101.01000000000002</v>
      </c>
      <c r="AK21" s="13">
        <f t="shared" si="35"/>
        <v>27.202475209169602</v>
      </c>
      <c r="AL21" s="20">
        <f t="shared" si="4"/>
        <v>223.30339432263705</v>
      </c>
      <c r="AM21" s="59">
        <f t="shared" si="5"/>
        <v>516.63672765597039</v>
      </c>
      <c r="AN21" s="59">
        <f ca="1">AVERAGE(OFFSET($AM$3,0,0,'Données projet'!$E$10+1,1))-AVERAGE(OFFSET($H$3,0,0,'Données projet'!$E$10+1,1))</f>
        <v>160.54301845388551</v>
      </c>
      <c r="AO21" s="59">
        <f t="shared" si="36"/>
        <v>272.6634844951584</v>
      </c>
      <c r="AP21" s="15">
        <f>IF(ISNA(VLOOKUP(A21,'Données projet'!$A$61:$I$81,3,0)),0,VLOOKUP(A21,'Données projet'!$A$61:$I$81,3,0))</f>
        <v>3</v>
      </c>
      <c r="AQ21" s="15">
        <f>IF(ISNA(VLOOKUP(A21,'Données projet'!$A$61:$I$81,4,0)),0,VLOOKUP(A21,'Données projet'!$A$61:$I$81,4,0))</f>
        <v>61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0.48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41.489083737706416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41.489083737706416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7.2264102564102561</v>
      </c>
      <c r="BD21" s="12">
        <f>IF('Données projet'!$A$88&gt;35,BD20+BC21-BL20,IF(A21&lt;'Données projet'!$A$88,$BA$205^A21,IF(A21='Données projet'!$A$88,'Données projet'!$B$88,BD20+BC21-BL20)))</f>
        <v>25.213104335913162</v>
      </c>
      <c r="BE21" s="13">
        <f>BD21*VLOOKUP('Données projet'!$B$11,Paramètres!$A$1:$I$89,3,0)*VLOOKUP('Données projet'!$B$11,Paramètres!$A$1:$I$89,5,0)</f>
        <v>11.799732829207361</v>
      </c>
      <c r="BF21" s="13">
        <f t="shared" si="37"/>
        <v>4.079982665155371</v>
      </c>
      <c r="BG21" s="20">
        <f t="shared" si="7"/>
        <v>27.657171152681755</v>
      </c>
      <c r="BH21" s="59">
        <f t="shared" si="8"/>
        <v>320.99050448601508</v>
      </c>
      <c r="BI21" s="59">
        <f ca="1">AVERAGE(OFFSET($BH$3,0,0,'Données projet'!$E$11+1,1))-AVERAGE(OFFSET($H$3,0,0,'Données projet'!$E$11+1,1))</f>
        <v>207.25176714718668</v>
      </c>
      <c r="BJ21" s="59">
        <f t="shared" si="38"/>
        <v>191.53228014642559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>
        <f>VLOOKUP(A21,'Données projet'!$A$113:$I$133,2,0)</f>
        <v>167.69666666666663</v>
      </c>
      <c r="BW21" s="12">
        <f>VLOOKUP(A21,'Données projet'!$A$113:$I$133,9,0)</f>
        <v>16.147499999999951</v>
      </c>
      <c r="BX21" s="12">
        <f t="array" ref="BX21">INDEX(BW:BW,MIN(IF(ISNUMBER(BW21:BW217),ROW(BW21:BW217),"")))</f>
        <v>16.147499999999951</v>
      </c>
      <c r="BY21" s="12">
        <f>IF('Données projet'!$A$114&gt;35,BY20+BX21-CG20,IF(A21&lt;'Données projet'!$A$114,$BV$205^A21,IF(A21='Données projet'!$A$114,'Données projet'!$B$114,BY20+BX21-CG20)))</f>
        <v>167.69666666666663</v>
      </c>
      <c r="BZ21" s="13">
        <f>BY21*VLOOKUP('Données projet'!$B$12,Paramètres!$A$1:$I$89,3,0)*VLOOKUP('Données projet'!$B$12,Paramètres!$A$1:$I$89,5,0)</f>
        <v>85.283816799999983</v>
      </c>
      <c r="CA21" s="13">
        <f t="shared" si="39"/>
        <v>23.424256654634469</v>
      </c>
      <c r="CB21" s="20">
        <f t="shared" si="10"/>
        <v>189.3332279334883</v>
      </c>
      <c r="CC21" s="59">
        <f t="shared" si="11"/>
        <v>482.66656126682165</v>
      </c>
      <c r="CD21" s="59">
        <f ca="1">AVERAGE(OFFSET($CC$3,0,0,'Données projet'!$E$12+1,1))-AVERAGE(OFFSET($H$3,0,0,'Données projet'!$E$12+1,1))</f>
        <v>68.620424404221751</v>
      </c>
      <c r="CE21" s="59">
        <f t="shared" si="40"/>
        <v>203.12945099478918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4.5417948717948722</v>
      </c>
      <c r="CT21" s="12">
        <f>IF('Données projet'!$A$140&gt;35,CT20+CS21-DB20,IF(A21&lt;'Données projet'!$A$140,$CQ$205^A21,IF(A21='Données projet'!$A$140,'Données projet'!$B$140,CT20+CS21-DB20)))</f>
        <v>19.081357228857957</v>
      </c>
      <c r="CU21" s="17">
        <f>CT21*VLOOKUP('Données projet'!$B$13,Paramètres!$A$1:$I$89,3,0)*VLOOKUP('Données projet'!$B$13,Paramètres!$A$1:$I$89,5,0)</f>
        <v>11.41065162285706</v>
      </c>
      <c r="CV21" s="13">
        <f t="shared" si="41"/>
        <v>3.9608789970243423</v>
      </c>
      <c r="CW21" s="20">
        <f t="shared" si="13"/>
        <v>26.772082496293439</v>
      </c>
      <c r="CX21" s="59">
        <f t="shared" si="14"/>
        <v>320.10541582962674</v>
      </c>
      <c r="CY21" s="59">
        <f ca="1">AVERAGE(OFFSET($CX$3,0,0,'Données projet'!$E$13+1,1))-AVERAGE(OFFSET($H$3,0,0,'Données projet'!$E$13+1,1))</f>
        <v>196.25918971690442</v>
      </c>
      <c r="CZ21" s="59">
        <f t="shared" si="42"/>
        <v>148.35701313170205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11">
        <f t="shared" si="32"/>
        <v>3.177517729464268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67">
        <f t="shared" si="1"/>
        <v>314.35441004548358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</v>
      </c>
      <c r="N22" s="13">
        <f>IF('Données projet'!$A$36&gt;35,N21+M22-V21,IF(A22&lt;'Données projet'!$A$36,$K$205^A22,IF(A22='Données projet'!$A$36,'Données projet'!$B$36,N21+M22-V21)))</f>
        <v>110</v>
      </c>
      <c r="O22" s="13">
        <f>N22*VLOOKUP('Données projet'!$B$9,Paramètres!$A$1:$I$89,3,0)*VLOOKUP('Données projet'!$B$9,Paramètres!$A$1:$I$89,5,0)</f>
        <v>68.64</v>
      </c>
      <c r="P22" s="13">
        <f t="shared" si="33"/>
        <v>19.335336956640202</v>
      </c>
      <c r="Q22" s="20">
        <f t="shared" si="2"/>
        <v>153.22371186614836</v>
      </c>
      <c r="R22" s="59">
        <f t="shared" si="0"/>
        <v>446.55704519948165</v>
      </c>
      <c r="S22" s="59">
        <f ca="1">AVERAGE(OFFSET($R$3,0,0,'Données projet'!$E$9+1,1))-AVERAGE(OFFSET($H$3,0,0,'Données projet'!$E$9+1,1))</f>
        <v>180.31844548479722</v>
      </c>
      <c r="T22" s="59">
        <f t="shared" si="34"/>
        <v>273.83237400307223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6.736552119829911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6.736552119829911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19.166666666666668</v>
      </c>
      <c r="AI22" s="13">
        <f>IF('Données projet'!$A$62&gt;35,AI21+AH22-AQ21,IF(A22&lt;'Données projet'!$A$62,$AF$205^A22,IF(A22='Données projet'!$A$62,'Données projet'!$B$62,AI21+AH22-AQ21)))</f>
        <v>143.16666666666671</v>
      </c>
      <c r="AJ22" s="13">
        <f>AI22*VLOOKUP('Données projet'!$B$10,Paramètres!$A$1:$I$89,3,0)*VLOOKUP('Données projet'!$B$10,Paramètres!$A$1:$I$89,5,0)</f>
        <v>78.169000000000025</v>
      </c>
      <c r="AK22" s="13">
        <f t="shared" si="35"/>
        <v>21.688893622970639</v>
      </c>
      <c r="AL22" s="20">
        <f t="shared" si="4"/>
        <v>173.9191647266739</v>
      </c>
      <c r="AM22" s="59">
        <f t="shared" si="5"/>
        <v>467.25249806000721</v>
      </c>
      <c r="AN22" s="59">
        <f ca="1">AVERAGE(OFFSET($AM$3,0,0,'Données projet'!$E$10+1,1))-AVERAGE(OFFSET($H$3,0,0,'Données projet'!$E$10+1,1))</f>
        <v>160.54301845388551</v>
      </c>
      <c r="AO22" s="59">
        <f t="shared" si="36"/>
        <v>272.6634844951584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40.354562561082744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40.354562561082744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7.2264102564102561</v>
      </c>
      <c r="BD22" s="12">
        <f>IF('Données projet'!$A$88&gt;35,BD21+BC22-BL21,IF(A22&lt;'Données projet'!$A$88,$BA$205^A22,IF(A22='Données projet'!$A$88,'Données projet'!$B$88,BD21+BC22-BL21)))</f>
        <v>30.164383244315122</v>
      </c>
      <c r="BE22" s="13">
        <f>BD22*VLOOKUP('Données projet'!$B$11,Paramètres!$A$1:$I$89,3,0)*VLOOKUP('Données projet'!$B$11,Paramètres!$A$1:$I$89,5,0)</f>
        <v>14.116931358339476</v>
      </c>
      <c r="BF22" s="13">
        <f t="shared" si="37"/>
        <v>4.7803819359082427</v>
      </c>
      <c r="BG22" s="20">
        <f t="shared" si="7"/>
        <v>32.912820654148106</v>
      </c>
      <c r="BH22" s="59">
        <f t="shared" si="8"/>
        <v>326.24615398748142</v>
      </c>
      <c r="BI22" s="59">
        <f ca="1">AVERAGE(OFFSET($BH$3,0,0,'Données projet'!$E$11+1,1))-AVERAGE(OFFSET($H$3,0,0,'Données projet'!$E$11+1,1))</f>
        <v>207.25176714718668</v>
      </c>
      <c r="BJ22" s="59">
        <f t="shared" si="38"/>
        <v>191.53228014642559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>
        <f>VLOOKUP(A22,'Données projet'!$A$113:$I$133,2,0)</f>
        <v>184.00442307692299</v>
      </c>
      <c r="BW22" s="12">
        <f>VLOOKUP(A22,'Données projet'!$A$113:$I$133,9,0)</f>
        <v>16.30775641025636</v>
      </c>
      <c r="BX22" s="12">
        <f t="array" ref="BX22">INDEX(BW:BW,MIN(IF(ISNUMBER(BW22:BW218),ROW(BW22:BW218),"")))</f>
        <v>16.30775641025636</v>
      </c>
      <c r="BY22" s="12">
        <f>IF('Données projet'!$A$114&gt;35,BY21+BX22-CG21,IF(A22&lt;'Données projet'!$A$114,$BV$205^A22,IF(A22='Données projet'!$A$114,'Données projet'!$B$114,BY21+BX22-CG21)))</f>
        <v>184.00442307692299</v>
      </c>
      <c r="BZ22" s="13">
        <f>BY22*VLOOKUP('Données projet'!$B$12,Paramètres!$A$1:$I$89,3,0)*VLOOKUP('Données projet'!$B$12,Paramètres!$A$1:$I$89,5,0)</f>
        <v>93.57728939999997</v>
      </c>
      <c r="CA22" s="13">
        <f t="shared" si="39"/>
        <v>25.426014145970452</v>
      </c>
      <c r="CB22" s="20">
        <f t="shared" si="10"/>
        <v>207.26408700923182</v>
      </c>
      <c r="CC22" s="59">
        <f t="shared" si="11"/>
        <v>500.5974203425651</v>
      </c>
      <c r="CD22" s="59">
        <f ca="1">AVERAGE(OFFSET($CC$3,0,0,'Données projet'!$E$12+1,1))-AVERAGE(OFFSET($H$3,0,0,'Données projet'!$E$12+1,1))</f>
        <v>68.620424404221751</v>
      </c>
      <c r="CE22" s="59">
        <f t="shared" si="40"/>
        <v>203.12945099478918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4.5417948717948722</v>
      </c>
      <c r="CT22" s="12">
        <f>IF('Données projet'!$A$140&gt;35,CT21+CS22-DB21,IF(A22&lt;'Données projet'!$A$140,$CQ$205^A22,IF(A22='Données projet'!$A$140,'Données projet'!$B$140,CT21+CS22-DB21)))</f>
        <v>22.477821661200334</v>
      </c>
      <c r="CU22" s="17">
        <f>CT22*VLOOKUP('Données projet'!$B$13,Paramètres!$A$1:$I$89,3,0)*VLOOKUP('Données projet'!$B$13,Paramètres!$A$1:$I$89,5,0)</f>
        <v>13.441737353397802</v>
      </c>
      <c r="CV22" s="13">
        <f t="shared" si="41"/>
        <v>4.5777836205518874</v>
      </c>
      <c r="CW22" s="20">
        <f t="shared" si="13"/>
        <v>31.383999029629038</v>
      </c>
      <c r="CX22" s="59">
        <f t="shared" si="14"/>
        <v>324.71733236296234</v>
      </c>
      <c r="CY22" s="59">
        <f ca="1">AVERAGE(OFFSET($CX$3,0,0,'Données projet'!$E$13+1,1))-AVERAGE(OFFSET($H$3,0,0,'Données projet'!$E$13+1,1))</f>
        <v>196.25918971690442</v>
      </c>
      <c r="CZ22" s="59">
        <f t="shared" si="42"/>
        <v>148.35701313170205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11">
        <f t="shared" si="32"/>
        <v>3.3248450073034994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67">
        <f t="shared" si="1"/>
        <v>315.42610505438688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18</v>
      </c>
      <c r="N23" s="13">
        <f>IF('Données projet'!$A$36&gt;35,N22+M23-V22,IF(A23&lt;'Données projet'!$A$36,$K$205^A23,IF(A23='Données projet'!$A$36,'Données projet'!$B$36,N22+M23-V22)))</f>
        <v>128</v>
      </c>
      <c r="O23" s="13">
        <f>N23*VLOOKUP('Données projet'!$B$9,Paramètres!$A$1:$I$89,3,0)*VLOOKUP('Données projet'!$B$9,Paramètres!$A$1:$I$89,5,0)</f>
        <v>79.872</v>
      </c>
      <c r="P23" s="13">
        <f t="shared" si="33"/>
        <v>22.105884547145418</v>
      </c>
      <c r="Q23" s="20">
        <f t="shared" si="2"/>
        <v>177.61148225294494</v>
      </c>
      <c r="R23" s="59">
        <f t="shared" si="0"/>
        <v>470.94481558627825</v>
      </c>
      <c r="S23" s="59">
        <f ca="1">AVERAGE(OFFSET($R$3,0,0,'Données projet'!$E$9+1,1))-AVERAGE(OFFSET($H$3,0,0,'Données projet'!$E$9+1,1))</f>
        <v>180.31844548479722</v>
      </c>
      <c r="T23" s="59">
        <f t="shared" si="34"/>
        <v>273.83237400307223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6.5523407478532825</v>
      </c>
      <c r="AB23" s="21">
        <f>EXP(-LN(2)/2)*AB22+(1-EXP(-LN(2)/2))/(LN(2)/2)*V23*Y23*VLOOKUP('Données projet'!$B$9,Paramètres!$A$1:$I$89,3,0)*0.475*44/12</f>
        <v>0</v>
      </c>
      <c r="AC23" s="22">
        <f t="shared" si="3"/>
        <v>6.5523407478532825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19.166666666666668</v>
      </c>
      <c r="AI23" s="13">
        <f>IF('Données projet'!$A$62&gt;35,AI22+AH23-AQ22,IF(A23&lt;'Données projet'!$A$62,$AF$205^A23,IF(A23='Données projet'!$A$62,'Données projet'!$B$62,AI22+AH23-AQ22)))</f>
        <v>162.33333333333337</v>
      </c>
      <c r="AJ23" s="13">
        <f>AI23*VLOOKUP('Données projet'!$B$10,Paramètres!$A$1:$I$89,3,0)*VLOOKUP('Données projet'!$B$10,Paramètres!$A$1:$I$89,5,0)</f>
        <v>88.634000000000015</v>
      </c>
      <c r="AK23" s="13">
        <f t="shared" si="35"/>
        <v>24.235486014796273</v>
      </c>
      <c r="AL23" s="20">
        <f t="shared" si="4"/>
        <v>196.58102147577017</v>
      </c>
      <c r="AM23" s="59">
        <f t="shared" si="5"/>
        <v>489.91435480910349</v>
      </c>
      <c r="AN23" s="59">
        <f ca="1">AVERAGE(OFFSET($AM$3,0,0,'Données projet'!$E$10+1,1))-AVERAGE(OFFSET($H$3,0,0,'Données projet'!$E$10+1,1))</f>
        <v>160.54301845388551</v>
      </c>
      <c r="AO23" s="59">
        <f t="shared" si="36"/>
        <v>272.6634844951584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39.251064925695722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39.251064925695722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7.2264102564102561</v>
      </c>
      <c r="BD23" s="12">
        <f>IF('Données projet'!$A$88&gt;35,BD22+BC23-BL22,IF(A23&lt;'Données projet'!$A$88,$BA$205^A23,IF(A23='Données projet'!$A$88,'Données projet'!$B$88,BD22+BC23-BL22)))</f>
        <v>36.0879804560157</v>
      </c>
      <c r="BE23" s="13">
        <f>BD23*VLOOKUP('Données projet'!$B$11,Paramètres!$A$1:$I$89,3,0)*VLOOKUP('Données projet'!$B$11,Paramètres!$A$1:$I$89,5,0)</f>
        <v>16.889174853415348</v>
      </c>
      <c r="BF23" s="13">
        <f t="shared" si="37"/>
        <v>5.6010168004690764</v>
      </c>
      <c r="BG23" s="20">
        <f t="shared" si="7"/>
        <v>39.170417130515368</v>
      </c>
      <c r="BH23" s="59">
        <f t="shared" si="8"/>
        <v>332.50375046384869</v>
      </c>
      <c r="BI23" s="59">
        <f ca="1">AVERAGE(OFFSET($BH$3,0,0,'Données projet'!$E$11+1,1))-AVERAGE(OFFSET($H$3,0,0,'Données projet'!$E$11+1,1))</f>
        <v>207.25176714718668</v>
      </c>
      <c r="BJ23" s="59">
        <f t="shared" si="38"/>
        <v>191.53228014642559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200.36974358974356</v>
      </c>
      <c r="BW23" s="12">
        <f>VLOOKUP(A23,'Données projet'!$A$113:$I$133,9,0)</f>
        <v>16.365320512820574</v>
      </c>
      <c r="BX23" s="12">
        <f t="array" ref="BX23">INDEX(BW:BW,MIN(IF(ISNUMBER(BW23:BW219),ROW(BW23:BW219),"")))</f>
        <v>16.365320512820574</v>
      </c>
      <c r="BY23" s="12">
        <f>IF('Données projet'!$A$114&gt;35,BY22+BX23-CG22,IF(A23&lt;'Données projet'!$A$114,$BV$205^A23,IF(A23='Données projet'!$A$114,'Données projet'!$B$114,BY22+BX23-CG22)))</f>
        <v>200.36974358974356</v>
      </c>
      <c r="BZ23" s="13">
        <f>BY23*VLOOKUP('Données projet'!$B$12,Paramètres!$A$1:$I$89,3,0)*VLOOKUP('Données projet'!$B$12,Paramètres!$A$1:$I$89,5,0)</f>
        <v>101.9000368</v>
      </c>
      <c r="CA23" s="13">
        <f t="shared" si="39"/>
        <v>27.414158060770966</v>
      </c>
      <c r="CB23" s="20">
        <f t="shared" si="10"/>
        <v>225.22222271584272</v>
      </c>
      <c r="CC23" s="59">
        <f t="shared" si="11"/>
        <v>518.55555604917606</v>
      </c>
      <c r="CD23" s="59">
        <f ca="1">AVERAGE(OFFSET($CC$3,0,0,'Données projet'!$E$12+1,1))-AVERAGE(OFFSET($H$3,0,0,'Données projet'!$E$12+1,1))</f>
        <v>68.620424404221751</v>
      </c>
      <c r="CE23" s="59">
        <f t="shared" si="40"/>
        <v>203.12945099478918</v>
      </c>
      <c r="CF23" s="15" t="str">
        <f>IF(ISNA(VLOOKUP(A23,'Données projet'!$A$113:$I$133,3,0)),0,VLOOKUP(A23,'Données projet'!$A$113:$I$133,3,0))</f>
        <v>CR</v>
      </c>
      <c r="CG23" s="15">
        <f>IF(ISNA(VLOOKUP(A23,'Données projet'!$A$113:$I$133,4,0)),0,VLOOKUP(A23,'Données projet'!$A$113:$I$133,4,0))</f>
        <v>200.36974358974356</v>
      </c>
      <c r="CH23" s="16">
        <f>IF(ISNA(VLOOKUP(A23,'Données projet'!$A$113:$I$133,5,0)),0%,VLOOKUP(A23,'Données projet'!$A$113:$I$133,5,0)*VLOOKUP('Données projet'!$B$12,Paramètres!$A$1:$I$89,7,0))</f>
        <v>0.42</v>
      </c>
      <c r="CI23" s="16">
        <f>IF(ISNA(VLOOKUP(A23,'Données projet'!$A$113:$I$133,6,0)),0%,VLOOKUP(A23,'Données projet'!$A$113:$I$133,6,0)*VLOOKUP('Données projet'!$B$12,Paramètres!$A$1:$I$89,7,0))</f>
        <v>0.09</v>
      </c>
      <c r="CJ23" s="16">
        <f>IF(ISNA(VLOOKUP(A23,'Données projet'!$A$113:$I$133,7,0)),0%,VLOOKUP(A23,'Données projet'!$A$113:$I$133,7,0))</f>
        <v>0.15</v>
      </c>
      <c r="CK23" s="21">
        <f>EXP(-LN(2)/35)*CK22+(1-EXP(-LN(2)/35))/(LN(2)/35)*CG23*CH23*VLOOKUP('Données projet'!$B$12,Paramètres!$A$1:$I$89,3,0)*0.475*44/12</f>
        <v>47.311938389401384</v>
      </c>
      <c r="CL23" s="21">
        <f>EXP(-LN(2)/25)*CL22+(1-EXP(-LN(2)/25))/(LN(2)/25)*Calculateur!CG23*Calculateur!CI23*VLOOKUP('Données projet'!$B$12,Paramètres!$A$1:$I$89,3,0)*0.475*44/12</f>
        <v>10.0983542701501</v>
      </c>
      <c r="CM23" s="21">
        <f>EXP(-LN(2)/2)*CM22+(1-EXP(-LN(2)/2))/(LN(2)/2)*CG23*CJ23*VLOOKUP('Données projet'!$B$12,Paramètres!$A$1:$I$89,3,0)*0.475*44/12</f>
        <v>14.421814098011927</v>
      </c>
      <c r="CN23" s="22">
        <f t="shared" si="12"/>
        <v>71.832106757563409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4.5417948717948722</v>
      </c>
      <c r="CT23" s="12">
        <f>IF('Données projet'!$A$140&gt;35,CT22+CS23-DB22,IF(A23&lt;'Données projet'!$A$140,$CQ$205^A23,IF(A23='Données projet'!$A$140,'Données projet'!$B$140,CT22+CS23-DB22)))</f>
        <v>26.478853709032887</v>
      </c>
      <c r="CU23" s="17">
        <f>CT23*VLOOKUP('Données projet'!$B$13,Paramètres!$A$1:$I$89,3,0)*VLOOKUP('Données projet'!$B$13,Paramètres!$A$1:$I$89,5,0)</f>
        <v>15.834354518001666</v>
      </c>
      <c r="CV23" s="13">
        <f t="shared" si="41"/>
        <v>5.2907707840448186</v>
      </c>
      <c r="CW23" s="20">
        <f t="shared" si="13"/>
        <v>36.792926567730966</v>
      </c>
      <c r="CX23" s="59">
        <f t="shared" si="14"/>
        <v>330.12625990106426</v>
      </c>
      <c r="CY23" s="59">
        <f ca="1">AVERAGE(OFFSET($CX$3,0,0,'Données projet'!$E$13+1,1))-AVERAGE(OFFSET($H$3,0,0,'Données projet'!$E$13+1,1))</f>
        <v>196.25918971690442</v>
      </c>
      <c r="CZ23" s="59">
        <f t="shared" si="42"/>
        <v>148.35701313170205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11">
        <f t="shared" si="32"/>
        <v>3.4713169544550615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67">
        <f t="shared" si="1"/>
        <v>316.49631036234257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146</v>
      </c>
      <c r="L24" s="12">
        <f>VLOOKUP(A24,'Données projet'!$A$35:$I$55,9,0)</f>
        <v>18</v>
      </c>
      <c r="M24" s="12">
        <f t="array" ref="M24">INDEX(L:L,MIN(IF(ISNUMBER(L24:L220),ROW(L24:L220),"")))</f>
        <v>18</v>
      </c>
      <c r="N24" s="13">
        <f>IF('Données projet'!$A$36&gt;35,N23+M24-V23,IF(A24&lt;'Données projet'!$A$36,$K$205^A24,IF(A24='Données projet'!$A$36,'Données projet'!$B$36,N23+M24-V23)))</f>
        <v>146</v>
      </c>
      <c r="O24" s="13">
        <f>N24*VLOOKUP('Données projet'!$B$9,Paramètres!$A$1:$I$89,3,0)*VLOOKUP('Données projet'!$B$9,Paramètres!$A$1:$I$89,5,0)</f>
        <v>91.103999999999999</v>
      </c>
      <c r="P24" s="13">
        <f t="shared" si="33"/>
        <v>24.831293984707884</v>
      </c>
      <c r="Q24" s="20">
        <f t="shared" si="2"/>
        <v>201.92063702336623</v>
      </c>
      <c r="R24" s="59">
        <f t="shared" si="0"/>
        <v>495.25397035669954</v>
      </c>
      <c r="S24" s="59">
        <f ca="1">AVERAGE(OFFSET($R$3,0,0,'Données projet'!$E$9+1,1))-AVERAGE(OFFSET($H$3,0,0,'Données projet'!$E$9+1,1))</f>
        <v>180.31844548479722</v>
      </c>
      <c r="T24" s="59">
        <f t="shared" si="34"/>
        <v>273.83237400307223</v>
      </c>
      <c r="U24" s="15">
        <f>IF(ISNA(VLOOKUP(A24,'Données projet'!$A$35:$I$55,3,0)),0,VLOOKUP(A24,'Données projet'!$A$35:$I$55,3,0))</f>
        <v>2</v>
      </c>
      <c r="V24" s="15">
        <f>IF(ISNA(VLOOKUP(A24,'Données projet'!$A$35:$I$55,4,0)),0,VLOOKUP(A24,'Données projet'!$A$35:$I$55,4,0))</f>
        <v>26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0.48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16.663138179133213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16.663138179133213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19.166666666666668</v>
      </c>
      <c r="AI24" s="13">
        <f>IF('Données projet'!$A$62&gt;35,AI23+AH24-AQ23,IF(A24&lt;'Données projet'!$A$62,$AF$205^A24,IF(A24='Données projet'!$A$62,'Données projet'!$B$62,AI23+AH24-AQ23)))</f>
        <v>181.50000000000003</v>
      </c>
      <c r="AJ24" s="13">
        <f>AI24*VLOOKUP('Données projet'!$B$10,Paramètres!$A$1:$I$89,3,0)*VLOOKUP('Données projet'!$B$10,Paramètres!$A$1:$I$89,5,0)</f>
        <v>99.099000000000004</v>
      </c>
      <c r="AK24" s="13">
        <f t="shared" si="35"/>
        <v>26.747233784597075</v>
      </c>
      <c r="AL24" s="20">
        <f t="shared" si="4"/>
        <v>219.18219050817322</v>
      </c>
      <c r="AM24" s="59">
        <f t="shared" si="5"/>
        <v>512.51552384150659</v>
      </c>
      <c r="AN24" s="59">
        <f ca="1">AVERAGE(OFFSET($AM$3,0,0,'Données projet'!$E$10+1,1))-AVERAGE(OFFSET($H$3,0,0,'Données projet'!$E$10+1,1))</f>
        <v>160.54301845388551</v>
      </c>
      <c r="AO24" s="59">
        <f t="shared" si="36"/>
        <v>272.6634844951584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38.177742491178776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38.177742491178776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7.2264102564102561</v>
      </c>
      <c r="BD24" s="12">
        <f>IF('Données projet'!$A$88&gt;35,BD23+BC24-BL23,IF(A24&lt;'Données projet'!$A$88,$BA$205^A24,IF(A24='Données projet'!$A$88,'Données projet'!$B$88,BD23+BC24-BL23)))</f>
        <v>43.17483711984115</v>
      </c>
      <c r="BE24" s="13">
        <f>BD24*VLOOKUP('Données projet'!$B$11,Paramètres!$A$1:$I$89,3,0)*VLOOKUP('Données projet'!$B$11,Paramètres!$A$1:$I$89,5,0)</f>
        <v>20.205823772085658</v>
      </c>
      <c r="BF24" s="13">
        <f t="shared" si="37"/>
        <v>6.5625277686471071</v>
      </c>
      <c r="BG24" s="20">
        <f t="shared" si="7"/>
        <v>46.621545600109563</v>
      </c>
      <c r="BH24" s="59">
        <f t="shared" si="8"/>
        <v>339.9548789334429</v>
      </c>
      <c r="BI24" s="59">
        <f ca="1">AVERAGE(OFFSET($BH$3,0,0,'Données projet'!$E$11+1,1))-AVERAGE(OFFSET($H$3,0,0,'Données projet'!$E$11+1,1))</f>
        <v>207.25176714718668</v>
      </c>
      <c r="BJ24" s="59">
        <f t="shared" si="38"/>
        <v>191.53228014642559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68.620424404221751</v>
      </c>
      <c r="CE24" s="59">
        <f t="shared" si="40"/>
        <v>203.12945099478918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46.384180135018205</v>
      </c>
      <c r="CL24" s="21">
        <f>EXP(-LN(2)/25)*CL23+(1-EXP(-LN(2)/25))/(LN(2)/25)*Calculateur!CG24*Calculateur!CI24*VLOOKUP('Données projet'!$B$12,Paramètres!$A$1:$I$89,3,0)*0.475*44/12</f>
        <v>9.8222142415834739</v>
      </c>
      <c r="CM24" s="21">
        <f>EXP(-LN(2)/2)*CM23+(1-EXP(-LN(2)/2))/(LN(2)/2)*CG24*CJ24*VLOOKUP('Données projet'!$B$12,Paramètres!$A$1:$I$89,3,0)*0.475*44/12</f>
        <v>10.197762545715987</v>
      </c>
      <c r="CN24" s="22">
        <f t="shared" si="12"/>
        <v>66.404156922317668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4.5417948717948722</v>
      </c>
      <c r="CT24" s="12">
        <f>IF('Données projet'!$A$140&gt;35,CT23+CS24-DB23,IF(A24&lt;'Données projet'!$A$140,$CQ$205^A24,IF(A24='Données projet'!$A$140,'Données projet'!$B$140,CT23+CS24-DB23)))</f>
        <v>31.192065864398515</v>
      </c>
      <c r="CU24" s="17">
        <f>CT24*VLOOKUP('Données projet'!$B$13,Paramètres!$A$1:$I$89,3,0)*VLOOKUP('Données projet'!$B$13,Paramètres!$A$1:$I$89,5,0)</f>
        <v>18.652855386910314</v>
      </c>
      <c r="CV24" s="13">
        <f t="shared" si="41"/>
        <v>6.1148052877884913</v>
      </c>
      <c r="CW24" s="20">
        <f t="shared" si="13"/>
        <v>43.137009008433751</v>
      </c>
      <c r="CX24" s="59">
        <f t="shared" si="14"/>
        <v>336.47034234176704</v>
      </c>
      <c r="CY24" s="59">
        <f ca="1">AVERAGE(OFFSET($CX$3,0,0,'Données projet'!$E$13+1,1))-AVERAGE(OFFSET($H$3,0,0,'Données projet'!$E$13+1,1))</f>
        <v>196.25918971690442</v>
      </c>
      <c r="CZ24" s="59">
        <f t="shared" si="42"/>
        <v>148.35701313170205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11">
        <f t="shared" si="32"/>
        <v>3.6169789512251227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67">
        <f t="shared" si="1"/>
        <v>317.56510500671709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</v>
      </c>
      <c r="N25" s="13">
        <f>IF('Données projet'!$A$36&gt;35,N24+M25-V24,IF(A25&lt;'Données projet'!$A$36,$K$205^A25,IF(A25='Données projet'!$A$36,'Données projet'!$B$36,N24+M25-V24)))</f>
        <v>136</v>
      </c>
      <c r="O25" s="13">
        <f>N25*VLOOKUP('Données projet'!$B$9,Paramètres!$A$1:$I$89,3,0)*VLOOKUP('Données projet'!$B$9,Paramètres!$A$1:$I$89,5,0)</f>
        <v>84.864000000000004</v>
      </c>
      <c r="P25" s="13">
        <f t="shared" si="33"/>
        <v>23.322341364766192</v>
      </c>
      <c r="Q25" s="20">
        <f t="shared" si="2"/>
        <v>188.42454454363443</v>
      </c>
      <c r="R25" s="59">
        <f t="shared" si="0"/>
        <v>481.75787787696777</v>
      </c>
      <c r="S25" s="59">
        <f ca="1">AVERAGE(OFFSET($R$3,0,0,'Données projet'!$E$9+1,1))-AVERAGE(OFFSET($H$3,0,0,'Données projet'!$E$9+1,1))</f>
        <v>180.31844548479722</v>
      </c>
      <c r="T25" s="59">
        <f t="shared" si="34"/>
        <v>273.83237400307223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16.207483789348462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16.207483789348462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19.166666666666668</v>
      </c>
      <c r="AI25" s="13">
        <f>IF('Données projet'!$A$62&gt;35,AI24+AH25-AQ24,IF(A25&lt;'Données projet'!$A$62,$AF$205^A25,IF(A25='Données projet'!$A$62,'Données projet'!$B$62,AI24+AH25-AQ24)))</f>
        <v>200.66666666666669</v>
      </c>
      <c r="AJ25" s="13">
        <f>AI25*VLOOKUP('Données projet'!$B$10,Paramètres!$A$1:$I$89,3,0)*VLOOKUP('Données projet'!$B$10,Paramètres!$A$1:$I$89,5,0)</f>
        <v>109.56400000000001</v>
      </c>
      <c r="AK25" s="13">
        <f t="shared" si="35"/>
        <v>29.228235839881371</v>
      </c>
      <c r="AL25" s="20">
        <f t="shared" si="4"/>
        <v>241.72981075446003</v>
      </c>
      <c r="AM25" s="59">
        <f t="shared" si="5"/>
        <v>535.06314408779338</v>
      </c>
      <c r="AN25" s="59">
        <f ca="1">AVERAGE(OFFSET($AM$3,0,0,'Données projet'!$E$10+1,1))-AVERAGE(OFFSET($H$3,0,0,'Données projet'!$E$10+1,1))</f>
        <v>160.54301845388551</v>
      </c>
      <c r="AO25" s="59">
        <f t="shared" si="36"/>
        <v>272.6634844951584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37.133770115077269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37.133770115077269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7.2264102564102561</v>
      </c>
      <c r="BD25" s="12">
        <f>IF('Données projet'!$A$88&gt;35,BD24+BC25-BL24,IF(A25&lt;'Données projet'!$A$88,$BA$205^A25,IF(A25='Données projet'!$A$88,'Données projet'!$B$88,BD24+BC25-BL24)))</f>
        <v>51.653390873361616</v>
      </c>
      <c r="BE25" s="13">
        <f>BD25*VLOOKUP('Données projet'!$B$11,Paramètres!$A$1:$I$89,3,0)*VLOOKUP('Données projet'!$B$11,Paramètres!$A$1:$I$89,5,0)</f>
        <v>24.173786928733236</v>
      </c>
      <c r="BF25" s="13">
        <f t="shared" si="37"/>
        <v>7.6890986491341353</v>
      </c>
      <c r="BG25" s="20">
        <f t="shared" si="7"/>
        <v>55.494525714785674</v>
      </c>
      <c r="BH25" s="59">
        <f t="shared" si="8"/>
        <v>348.82785904811897</v>
      </c>
      <c r="BI25" s="59">
        <f ca="1">AVERAGE(OFFSET($BH$3,0,0,'Données projet'!$E$11+1,1))-AVERAGE(OFFSET($H$3,0,0,'Données projet'!$E$11+1,1))</f>
        <v>207.25176714718668</v>
      </c>
      <c r="BJ25" s="59">
        <f t="shared" si="38"/>
        <v>191.53228014642559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68.620424404221751</v>
      </c>
      <c r="CE25" s="59">
        <f t="shared" si="40"/>
        <v>203.12945099478918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45.474614654126825</v>
      </c>
      <c r="CL25" s="21">
        <f>EXP(-LN(2)/25)*CL24+(1-EXP(-LN(2)/25))/(LN(2)/25)*Calculateur!CG25*Calculateur!CI25*VLOOKUP('Données projet'!$B$12,Paramètres!$A$1:$I$89,3,0)*0.475*44/12</f>
        <v>9.5536252766195755</v>
      </c>
      <c r="CM25" s="21">
        <f>EXP(-LN(2)/2)*CM24+(1-EXP(-LN(2)/2))/(LN(2)/2)*CG25*CJ25*VLOOKUP('Données projet'!$B$12,Paramètres!$A$1:$I$89,3,0)*0.475*44/12</f>
        <v>7.2109070490059652</v>
      </c>
      <c r="CN25" s="22">
        <f t="shared" si="12"/>
        <v>62.23914697975237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4.5417948717948722</v>
      </c>
      <c r="CT25" s="12">
        <f>IF('Données projet'!$A$140&gt;35,CT24+CS25-DB24,IF(A25&lt;'Données projet'!$A$140,$CQ$205^A25,IF(A25='Données projet'!$A$140,'Données projet'!$B$140,CT24+CS25-DB24)))</f>
        <v>36.744225546178725</v>
      </c>
      <c r="CU25" s="17">
        <f>CT25*VLOOKUP('Données projet'!$B$13,Paramètres!$A$1:$I$89,3,0)*VLOOKUP('Données projet'!$B$13,Paramètres!$A$1:$I$89,5,0)</f>
        <v>21.973046876614877</v>
      </c>
      <c r="CV25" s="13">
        <f t="shared" si="41"/>
        <v>7.0671826910975453</v>
      </c>
      <c r="CW25" s="20">
        <f t="shared" si="13"/>
        <v>50.578399830432467</v>
      </c>
      <c r="CX25" s="59">
        <f t="shared" si="14"/>
        <v>343.9117331637658</v>
      </c>
      <c r="CY25" s="59">
        <f ca="1">AVERAGE(OFFSET($CX$3,0,0,'Données projet'!$E$13+1,1))-AVERAGE(OFFSET($H$3,0,0,'Données projet'!$E$13+1,1))</f>
        <v>196.25918971690442</v>
      </c>
      <c r="CZ25" s="59">
        <f t="shared" si="42"/>
        <v>148.35701313170205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11">
        <f t="shared" si="32"/>
        <v>3.76187201923933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67">
        <f t="shared" si="1"/>
        <v>318.6325604335085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152</v>
      </c>
      <c r="O26" s="13">
        <f>N26*VLOOKUP('Données projet'!$B$9,Paramètres!$A$1:$I$89,3,0)*VLOOKUP('Données projet'!$B$9,Paramètres!$A$1:$I$89,5,0)</f>
        <v>94.847999999999999</v>
      </c>
      <c r="P26" s="13">
        <f t="shared" si="33"/>
        <v>25.730851751939202</v>
      </c>
      <c r="Q26" s="20">
        <f t="shared" si="2"/>
        <v>210.0081668012941</v>
      </c>
      <c r="R26" s="59">
        <f t="shared" si="0"/>
        <v>503.34150013462738</v>
      </c>
      <c r="S26" s="59">
        <f ca="1">AVERAGE(OFFSET($R$3,0,0,'Données projet'!$E$9+1,1))-AVERAGE(OFFSET($H$3,0,0,'Données projet'!$E$9+1,1))</f>
        <v>180.31844548479722</v>
      </c>
      <c r="T26" s="59">
        <f t="shared" si="34"/>
        <v>273.83237400307223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15.764289292814199</v>
      </c>
      <c r="AB26" s="21">
        <f>EXP(-LN(2)/2)*AB25+(1-EXP(-LN(2)/2))/(LN(2)/2)*V26*Y26*VLOOKUP('Données projet'!$B$9,Paramètres!$A$1:$I$89,3,0)*0.475*44/12</f>
        <v>0</v>
      </c>
      <c r="AC26" s="22">
        <f t="shared" si="3"/>
        <v>15.764289292814199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19.166666666666668</v>
      </c>
      <c r="AI26" s="13">
        <f>IF('Données projet'!$A$62&gt;35,AI25+AH26-AQ25,IF(A26&lt;'Données projet'!$A$62,$AF$205^A26,IF(A26='Données projet'!$A$62,'Données projet'!$B$62,AI25+AH26-AQ25)))</f>
        <v>219.83333333333334</v>
      </c>
      <c r="AJ26" s="13">
        <f>AI26*VLOOKUP('Données projet'!$B$10,Paramètres!$A$1:$I$89,3,0)*VLOOKUP('Données projet'!$B$10,Paramètres!$A$1:$I$89,5,0)</f>
        <v>120.029</v>
      </c>
      <c r="AK26" s="13">
        <f t="shared" si="35"/>
        <v>31.68176297276506</v>
      </c>
      <c r="AL26" s="20">
        <f t="shared" si="4"/>
        <v>264.22957884423249</v>
      </c>
      <c r="AM26" s="59">
        <f t="shared" si="5"/>
        <v>557.56291217756575</v>
      </c>
      <c r="AN26" s="59">
        <f ca="1">AVERAGE(OFFSET($AM$3,0,0,'Données projet'!$E$10+1,1))-AVERAGE(OFFSET($H$3,0,0,'Données projet'!$E$10+1,1))</f>
        <v>160.54301845388551</v>
      </c>
      <c r="AO26" s="59">
        <f t="shared" si="36"/>
        <v>272.6634844951584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36.11834521850038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36.11834521850038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7.2264102564102561</v>
      </c>
      <c r="BD26" s="12">
        <f>IF('Données projet'!$A$88&gt;35,BD25+BC26-BL25,IF(A26&lt;'Données projet'!$A$88,$BA$205^A26,IF(A26='Données projet'!$A$88,'Données projet'!$B$88,BD25+BC26-BL25)))</f>
        <v>61.796939298472864</v>
      </c>
      <c r="BE26" s="13">
        <f>BD26*VLOOKUP('Données projet'!$B$11,Paramètres!$A$1:$I$89,3,0)*VLOOKUP('Données projet'!$B$11,Paramètres!$A$1:$I$89,5,0)</f>
        <v>28.920967591685301</v>
      </c>
      <c r="BF26" s="13">
        <f t="shared" si="37"/>
        <v>9.0090648177637647</v>
      </c>
      <c r="BG26" s="20">
        <f t="shared" si="7"/>
        <v>66.061473113123796</v>
      </c>
      <c r="BH26" s="59">
        <f t="shared" si="8"/>
        <v>359.3948064464571</v>
      </c>
      <c r="BI26" s="59">
        <f ca="1">AVERAGE(OFFSET($BH$3,0,0,'Données projet'!$E$11+1,1))-AVERAGE(OFFSET($H$3,0,0,'Données projet'!$E$11+1,1))</f>
        <v>207.25176714718668</v>
      </c>
      <c r="BJ26" s="59">
        <f t="shared" si="38"/>
        <v>191.53228014642559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68.620424404221751</v>
      </c>
      <c r="CE26" s="59">
        <f t="shared" si="40"/>
        <v>203.12945099478918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44.58288519753556</v>
      </c>
      <c r="CL26" s="21">
        <f>EXP(-LN(2)/25)*CL25+(1-EXP(-LN(2)/25))/(LN(2)/25)*Calculateur!CG26*Calculateur!CI26*VLOOKUP('Données projet'!$B$12,Paramètres!$A$1:$I$89,3,0)*0.475*44/12</f>
        <v>9.2923808910270953</v>
      </c>
      <c r="CM26" s="21">
        <f>EXP(-LN(2)/2)*CM25+(1-EXP(-LN(2)/2))/(LN(2)/2)*CG26*CJ26*VLOOKUP('Données projet'!$B$12,Paramètres!$A$1:$I$89,3,0)*0.475*44/12</f>
        <v>5.0988812728579944</v>
      </c>
      <c r="CN26" s="22">
        <f t="shared" si="12"/>
        <v>58.974147361420648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4.5417948717948722</v>
      </c>
      <c r="CT26" s="12">
        <f>IF('Données projet'!$A$140&gt;35,CT25+CS26-DB25,IF(A26&lt;'Données projet'!$A$140,$CQ$205^A26,IF(A26='Données projet'!$A$140,'Données projet'!$B$140,CT25+CS26-DB25)))</f>
        <v>43.284664659850286</v>
      </c>
      <c r="CU26" s="17">
        <f>CT26*VLOOKUP('Données projet'!$B$13,Paramètres!$A$1:$I$89,3,0)*VLOOKUP('Données projet'!$B$13,Paramètres!$A$1:$I$89,5,0)</f>
        <v>25.884229466590476</v>
      </c>
      <c r="CV26" s="13">
        <f t="shared" si="41"/>
        <v>8.1678923266928827</v>
      </c>
      <c r="CW26" s="20">
        <f t="shared" si="13"/>
        <v>59.307445456635179</v>
      </c>
      <c r="CX26" s="59">
        <f t="shared" si="14"/>
        <v>352.64077878996852</v>
      </c>
      <c r="CY26" s="59">
        <f ca="1">AVERAGE(OFFSET($CX$3,0,0,'Données projet'!$E$13+1,1))-AVERAGE(OFFSET($H$3,0,0,'Données projet'!$E$13+1,1))</f>
        <v>196.25918971690442</v>
      </c>
      <c r="CZ26" s="59">
        <f t="shared" si="42"/>
        <v>148.35701313170205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11">
        <f t="shared" si="32"/>
        <v>3.9060334113059061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67">
        <f t="shared" si="1"/>
        <v>319.69874152469112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168</v>
      </c>
      <c r="L27" s="12">
        <f>VLOOKUP(A27,'Données projet'!$A$35:$I$55,9,0)</f>
        <v>16</v>
      </c>
      <c r="M27" s="12">
        <f t="array" ref="M27">INDEX(L:L,MIN(IF(ISNUMBER(L27:L223),ROW(L27:L223),"")))</f>
        <v>16</v>
      </c>
      <c r="N27" s="13">
        <f>IF('Données projet'!$A$36&gt;35,N26+M27-V26,IF(A27&lt;'Données projet'!$A$36,$K$205^A27,IF(A27='Données projet'!$A$36,'Données projet'!$B$36,N26+M27-V26)))</f>
        <v>168</v>
      </c>
      <c r="O27" s="13">
        <f>N27*VLOOKUP('Données projet'!$B$9,Paramètres!$A$1:$I$89,3,0)*VLOOKUP('Données projet'!$B$9,Paramètres!$A$1:$I$89,5,0)</f>
        <v>104.83200000000001</v>
      </c>
      <c r="P27" s="13">
        <f t="shared" si="33"/>
        <v>28.109974371137717</v>
      </c>
      <c r="Q27" s="20">
        <f t="shared" si="2"/>
        <v>231.54060536306486</v>
      </c>
      <c r="R27" s="59">
        <f t="shared" si="0"/>
        <v>524.87393869639823</v>
      </c>
      <c r="S27" s="59">
        <f ca="1">AVERAGE(OFFSET($R$3,0,0,'Données projet'!$E$9+1,1))-AVERAGE(OFFSET($H$3,0,0,'Données projet'!$E$9+1,1))</f>
        <v>180.31844548479722</v>
      </c>
      <c r="T27" s="59">
        <f t="shared" si="34"/>
        <v>273.83237400307223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29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0.48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26.810489914420231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26.810489914420231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239</v>
      </c>
      <c r="AG27" s="12">
        <f>VLOOKUP(A27,'Données projet'!$A$61:$I$81,9,0)</f>
        <v>19.166666666666668</v>
      </c>
      <c r="AH27" s="12">
        <f t="array" ref="AH27">INDEX(AG:AG,MIN(IF(ISNUMBER(AG27:AG223),ROW(AG27:AG223),"")))</f>
        <v>19.166666666666668</v>
      </c>
      <c r="AI27" s="13">
        <f>IF('Données projet'!$A$62&gt;35,AI26+AH27-AQ26,IF(A27&lt;'Données projet'!$A$62,$AF$205^A27,IF(A27='Données projet'!$A$62,'Données projet'!$B$62,AI26+AH27-AQ26)))</f>
        <v>239</v>
      </c>
      <c r="AJ27" s="13">
        <f>AI27*VLOOKUP('Données projet'!$B$10,Paramètres!$A$1:$I$89,3,0)*VLOOKUP('Données projet'!$B$10,Paramètres!$A$1:$I$89,5,0)</f>
        <v>130.494</v>
      </c>
      <c r="AK27" s="13">
        <f t="shared" si="35"/>
        <v>34.110483018610772</v>
      </c>
      <c r="AL27" s="20">
        <f t="shared" si="4"/>
        <v>286.68614125741374</v>
      </c>
      <c r="AM27" s="59">
        <f t="shared" si="5"/>
        <v>580.019474590747</v>
      </c>
      <c r="AN27" s="59">
        <f ca="1">AVERAGE(OFFSET($AM$3,0,0,'Données projet'!$E$10+1,1))-AVERAGE(OFFSET($H$3,0,0,'Données projet'!$E$10+1,1))</f>
        <v>160.54301845388551</v>
      </c>
      <c r="AO27" s="59">
        <f t="shared" si="36"/>
        <v>272.6634844951584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84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0.48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64.219645158342004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64.219645158342004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7.2264102564102561</v>
      </c>
      <c r="BD27" s="12">
        <f>IF('Données projet'!$A$88&gt;35,BD26+BC27-BL26,IF(A27&lt;'Données projet'!$A$88,$BA$205^A27,IF(A27='Données projet'!$A$88,'Données projet'!$B$88,BD26+BC27-BL26)))</f>
        <v>73.932449391789717</v>
      </c>
      <c r="BE27" s="13">
        <f>BD27*VLOOKUP('Données projet'!$B$11,Paramètres!$A$1:$I$89,3,0)*VLOOKUP('Données projet'!$B$11,Paramètres!$A$1:$I$89,5,0)</f>
        <v>34.600386315357589</v>
      </c>
      <c r="BF27" s="13">
        <f t="shared" si="37"/>
        <v>10.555625905490055</v>
      </c>
      <c r="BG27" s="20">
        <f t="shared" si="7"/>
        <v>78.646721284642979</v>
      </c>
      <c r="BH27" s="59">
        <f t="shared" si="8"/>
        <v>371.98005461797629</v>
      </c>
      <c r="BI27" s="59">
        <f ca="1">AVERAGE(OFFSET($BH$3,0,0,'Données projet'!$E$11+1,1))-AVERAGE(OFFSET($H$3,0,0,'Données projet'!$E$11+1,1))</f>
        <v>207.25176714718668</v>
      </c>
      <c r="BJ27" s="59">
        <f t="shared" si="38"/>
        <v>191.53228014642559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68.620424404221751</v>
      </c>
      <c r="CE27" s="59">
        <f t="shared" si="40"/>
        <v>203.12945099478918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43.708642011686784</v>
      </c>
      <c r="CL27" s="21">
        <f>EXP(-LN(2)/25)*CL26+(1-EXP(-LN(2)/25))/(LN(2)/25)*Calculateur!CG27*Calculateur!CI27*VLOOKUP('Données projet'!$B$12,Paramètres!$A$1:$I$89,3,0)*0.475*44/12</f>
        <v>9.0382802468968855</v>
      </c>
      <c r="CM27" s="21">
        <f>EXP(-LN(2)/2)*CM26+(1-EXP(-LN(2)/2))/(LN(2)/2)*CG27*CJ27*VLOOKUP('Données projet'!$B$12,Paramètres!$A$1:$I$89,3,0)*0.475*44/12</f>
        <v>3.6054535245029831</v>
      </c>
      <c r="CN27" s="22">
        <f t="shared" si="12"/>
        <v>56.35237578308665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4.5417948717948722</v>
      </c>
      <c r="CT27" s="12">
        <f>IF('Données projet'!$A$140&gt;35,CT26+CS27-DB26,IF(A27&lt;'Données projet'!$A$140,$CQ$205^A27,IF(A27='Données projet'!$A$140,'Données projet'!$B$140,CT26+CS27-DB26)))</f>
        <v>50.989296055813497</v>
      </c>
      <c r="CU27" s="17">
        <f>CT27*VLOOKUP('Données projet'!$B$13,Paramètres!$A$1:$I$89,3,0)*VLOOKUP('Données projet'!$B$13,Paramètres!$A$1:$I$89,5,0)</f>
        <v>30.491599041376471</v>
      </c>
      <c r="CV27" s="13">
        <f t="shared" si="41"/>
        <v>9.4400368543589543</v>
      </c>
      <c r="CW27" s="20">
        <f t="shared" si="13"/>
        <v>69.547599185072542</v>
      </c>
      <c r="CX27" s="59">
        <f t="shared" si="14"/>
        <v>362.88093251840587</v>
      </c>
      <c r="CY27" s="59">
        <f ca="1">AVERAGE(OFFSET($CX$3,0,0,'Données projet'!$E$13+1,1))-AVERAGE(OFFSET($H$3,0,0,'Données projet'!$E$13+1,1))</f>
        <v>196.25918971690442</v>
      </c>
      <c r="CZ27" s="59">
        <f t="shared" si="42"/>
        <v>148.35701313170205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11">
        <f t="shared" si="32"/>
        <v>4.0494971001980291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67">
        <f t="shared" si="1"/>
        <v>320.76370744951157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14.166666666666666</v>
      </c>
      <c r="N28" s="13">
        <f>IF('Données projet'!$A$36&gt;35,N27+M28-V27,IF(A28&lt;'Données projet'!$A$36,$K$205^A28,IF(A28='Données projet'!$A$36,'Données projet'!$B$36,N27+M28-V27)))</f>
        <v>153.16666666666666</v>
      </c>
      <c r="O28" s="13">
        <f>N28*VLOOKUP('Données projet'!$B$9,Paramètres!$A$1:$I$89,3,0)*VLOOKUP('Données projet'!$B$9,Paramètres!$A$1:$I$89,5,0)</f>
        <v>95.575999999999993</v>
      </c>
      <c r="P28" s="13">
        <f t="shared" si="33"/>
        <v>25.905281107545633</v>
      </c>
      <c r="Q28" s="20">
        <f t="shared" si="2"/>
        <v>211.57989792897527</v>
      </c>
      <c r="R28" s="59">
        <f t="shared" si="0"/>
        <v>504.91323126230861</v>
      </c>
      <c r="S28" s="59">
        <f ca="1">AVERAGE(OFFSET($R$3,0,0,'Données projet'!$E$9+1,1))-AVERAGE(OFFSET($H$3,0,0,'Données projet'!$E$9+1,1))</f>
        <v>180.31844548479722</v>
      </c>
      <c r="T28" s="59">
        <f t="shared" si="34"/>
        <v>273.83237400307223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26.07735565780802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26.07735565780802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16.666666666666668</v>
      </c>
      <c r="AI28" s="13">
        <f>IF('Données projet'!$A$62&gt;35,AI27+AH28-AQ27,IF(A28&lt;'Données projet'!$A$62,$AF$205^A28,IF(A28='Données projet'!$A$62,'Données projet'!$B$62,AI27+AH28-AQ27)))</f>
        <v>171.66666666666666</v>
      </c>
      <c r="AJ28" s="13">
        <f>AI28*VLOOKUP('Données projet'!$B$10,Paramètres!$A$1:$I$89,3,0)*VLOOKUP('Données projet'!$B$10,Paramètres!$A$1:$I$89,5,0)</f>
        <v>93.72999999999999</v>
      </c>
      <c r="AK28" s="13">
        <f t="shared" si="35"/>
        <v>25.462674063925309</v>
      </c>
      <c r="AL28" s="20">
        <f t="shared" si="4"/>
        <v>207.59390732800321</v>
      </c>
      <c r="AM28" s="59">
        <f t="shared" si="5"/>
        <v>500.92724066133655</v>
      </c>
      <c r="AN28" s="59">
        <f ca="1">AVERAGE(OFFSET($AM$3,0,0,'Données projet'!$E$10+1,1))-AVERAGE(OFFSET($H$3,0,0,'Données projet'!$E$10+1,1))</f>
        <v>160.54301845388551</v>
      </c>
      <c r="AO28" s="59">
        <f t="shared" si="36"/>
        <v>272.6634844951584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62.463555584322776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62.463555584322776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7.2264102564102561</v>
      </c>
      <c r="BD28" s="12">
        <f>IF('Données projet'!$A$88&gt;35,BD27+BC28-BL27,IF(A28&lt;'Données projet'!$A$88,$BA$205^A28,IF(A28='Données projet'!$A$88,'Données projet'!$B$88,BD27+BC28-BL27)))</f>
        <v>88.451097014195071</v>
      </c>
      <c r="BE28" s="13">
        <f>BD28*VLOOKUP('Données projet'!$B$11,Paramètres!$A$1:$I$89,3,0)*VLOOKUP('Données projet'!$B$11,Paramètres!$A$1:$I$89,5,0)</f>
        <v>41.39511340264329</v>
      </c>
      <c r="BF28" s="13">
        <f t="shared" si="37"/>
        <v>12.367680831528276</v>
      </c>
      <c r="BG28" s="20">
        <f t="shared" si="7"/>
        <v>93.636866624515463</v>
      </c>
      <c r="BH28" s="59">
        <f t="shared" si="8"/>
        <v>386.97019995784876</v>
      </c>
      <c r="BI28" s="59">
        <f ca="1">AVERAGE(OFFSET($BH$3,0,0,'Données projet'!$E$11+1,1))-AVERAGE(OFFSET($H$3,0,0,'Données projet'!$E$11+1,1))</f>
        <v>207.25176714718668</v>
      </c>
      <c r="BJ28" s="59">
        <f t="shared" si="38"/>
        <v>191.53228014642559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68.620424404221751</v>
      </c>
      <c r="CE28" s="59">
        <f t="shared" si="40"/>
        <v>203.12945099478918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42.851542201476811</v>
      </c>
      <c r="CL28" s="21">
        <f>EXP(-LN(2)/25)*CL27+(1-EXP(-LN(2)/25))/(LN(2)/25)*Calculateur!CG28*Calculateur!CI28*VLOOKUP('Données projet'!$B$12,Paramètres!$A$1:$I$89,3,0)*0.475*44/12</f>
        <v>8.79112799824299</v>
      </c>
      <c r="CM28" s="21">
        <f>EXP(-LN(2)/2)*CM27+(1-EXP(-LN(2)/2))/(LN(2)/2)*CG28*CJ28*VLOOKUP('Données projet'!$B$12,Paramètres!$A$1:$I$89,3,0)*0.475*44/12</f>
        <v>2.5494406364289977</v>
      </c>
      <c r="CN28" s="22">
        <f t="shared" si="12"/>
        <v>54.1921108361488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4.5417948717948722</v>
      </c>
      <c r="CT28" s="12">
        <f>IF('Données projet'!$A$140&gt;35,CT27+CS28-DB27,IF(A28&lt;'Données projet'!$A$140,$CQ$205^A28,IF(A28='Données projet'!$A$140,'Données projet'!$B$140,CT27+CS28-DB27)))</f>
        <v>60.065344913691902</v>
      </c>
      <c r="CU28" s="17">
        <f>CT28*VLOOKUP('Données projet'!$B$13,Paramètres!$A$1:$I$89,3,0)*VLOOKUP('Données projet'!$B$13,Paramètres!$A$1:$I$89,5,0)</f>
        <v>35.919076258387761</v>
      </c>
      <c r="CV28" s="13">
        <f t="shared" si="41"/>
        <v>10.910317159841528</v>
      </c>
      <c r="CW28" s="20">
        <f t="shared" si="13"/>
        <v>81.561193536749343</v>
      </c>
      <c r="CX28" s="59">
        <f t="shared" si="14"/>
        <v>374.89452687008264</v>
      </c>
      <c r="CY28" s="59">
        <f ca="1">AVERAGE(OFFSET($CX$3,0,0,'Données projet'!$E$13+1,1))-AVERAGE(OFFSET($H$3,0,0,'Données projet'!$E$13+1,1))</f>
        <v>196.25918971690442</v>
      </c>
      <c r="CZ28" s="59">
        <f t="shared" si="42"/>
        <v>148.35701313170205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11">
        <f t="shared" si="32"/>
        <v>4.1922941870296242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67">
        <f t="shared" si="1"/>
        <v>321.82751237574325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14.166666666666666</v>
      </c>
      <c r="N29" s="13">
        <f>IF('Données projet'!$A$36&gt;35,N28+M29-V28,IF(A29&lt;'Données projet'!$A$36,$K$205^A29,IF(A29='Données projet'!$A$36,'Données projet'!$B$36,N28+M29-V28)))</f>
        <v>167.33333333333331</v>
      </c>
      <c r="O29" s="13">
        <f>N29*VLOOKUP('Données projet'!$B$9,Paramètres!$A$1:$I$89,3,0)*VLOOKUP('Données projet'!$B$9,Paramètres!$A$1:$I$89,5,0)</f>
        <v>104.416</v>
      </c>
      <c r="P29" s="13">
        <f t="shared" si="33"/>
        <v>28.01138818767625</v>
      </c>
      <c r="Q29" s="20">
        <f t="shared" si="2"/>
        <v>230.64436776020281</v>
      </c>
      <c r="R29" s="59">
        <f t="shared" si="0"/>
        <v>523.9777010935361</v>
      </c>
      <c r="S29" s="59">
        <f ca="1">AVERAGE(OFFSET($R$3,0,0,'Données projet'!$E$9+1,1))-AVERAGE(OFFSET($H$3,0,0,'Données projet'!$E$9+1,1))</f>
        <v>180.31844548479722</v>
      </c>
      <c r="T29" s="59">
        <f t="shared" si="34"/>
        <v>273.83237400307223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25.364268995996728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25.364268995996728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16.666666666666668</v>
      </c>
      <c r="AI29" s="13">
        <f>IF('Données projet'!$A$62&gt;35,AI28+AH29-AQ28,IF(A29&lt;'Données projet'!$A$62,$AF$205^A29,IF(A29='Données projet'!$A$62,'Données projet'!$B$62,AI28+AH29-AQ28)))</f>
        <v>188.33333333333331</v>
      </c>
      <c r="AJ29" s="13">
        <f>AI29*VLOOKUP('Données projet'!$B$10,Paramètres!$A$1:$I$89,3,0)*VLOOKUP('Données projet'!$B$10,Paramètres!$A$1:$I$89,5,0)</f>
        <v>102.83</v>
      </c>
      <c r="AK29" s="13">
        <f t="shared" si="35"/>
        <v>27.635107084401234</v>
      </c>
      <c r="AL29" s="20">
        <f t="shared" si="4"/>
        <v>227.22672817199881</v>
      </c>
      <c r="AM29" s="59">
        <f t="shared" si="5"/>
        <v>520.5600615053321</v>
      </c>
      <c r="AN29" s="59">
        <f ca="1">AVERAGE(OFFSET($AM$3,0,0,'Données projet'!$E$10+1,1))-AVERAGE(OFFSET($H$3,0,0,'Données projet'!$E$10+1,1))</f>
        <v>160.54301845388551</v>
      </c>
      <c r="AO29" s="59">
        <f t="shared" si="36"/>
        <v>272.6634844951584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60.755486372053845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60.755486372053845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7.2264102564102561</v>
      </c>
      <c r="BD29" s="12">
        <f>IF('Données projet'!$A$88&gt;35,BD28+BC29-BL28,IF(A29&lt;'Données projet'!$A$88,$BA$205^A29,IF(A29='Données projet'!$A$88,'Données projet'!$B$88,BD28+BC29-BL28)))</f>
        <v>105.82087604801265</v>
      </c>
      <c r="BE29" s="13">
        <f>BD29*VLOOKUP('Données projet'!$B$11,Paramètres!$A$1:$I$89,3,0)*VLOOKUP('Données projet'!$B$11,Paramètres!$A$1:$I$89,5,0)</f>
        <v>49.524169990469915</v>
      </c>
      <c r="BF29" s="13">
        <f t="shared" si="37"/>
        <v>14.490806184311312</v>
      </c>
      <c r="BG29" s="20">
        <f t="shared" si="7"/>
        <v>111.4927501710773</v>
      </c>
      <c r="BH29" s="59">
        <f t="shared" si="8"/>
        <v>404.82608350441063</v>
      </c>
      <c r="BI29" s="59">
        <f ca="1">AVERAGE(OFFSET($BH$3,0,0,'Données projet'!$E$11+1,1))-AVERAGE(OFFSET($H$3,0,0,'Données projet'!$E$11+1,1))</f>
        <v>207.25176714718668</v>
      </c>
      <c r="BJ29" s="59">
        <f t="shared" si="38"/>
        <v>191.53228014642559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68.620424404221751</v>
      </c>
      <c r="CE29" s="59">
        <f t="shared" si="40"/>
        <v>203.12945099478918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42.01124959576579</v>
      </c>
      <c r="CL29" s="21">
        <f>EXP(-LN(2)/25)*CL28+(1-EXP(-LN(2)/25))/(LN(2)/25)*Calculateur!CG29*Calculateur!CI29*VLOOKUP('Données projet'!$B$12,Paramètres!$A$1:$I$89,3,0)*0.475*44/12</f>
        <v>8.5507341408257069</v>
      </c>
      <c r="CM29" s="21">
        <f>EXP(-LN(2)/2)*CM28+(1-EXP(-LN(2)/2))/(LN(2)/2)*CG29*CJ29*VLOOKUP('Données projet'!$B$12,Paramètres!$A$1:$I$89,3,0)*0.475*44/12</f>
        <v>1.8027267622514918</v>
      </c>
      <c r="CN29" s="22">
        <f t="shared" si="12"/>
        <v>52.364710498842989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4.5417948717948722</v>
      </c>
      <c r="CT29" s="12">
        <f>IF('Données projet'!$A$140&gt;35,CT28+CS29-DB28,IF(A29&lt;'Données projet'!$A$140,$CQ$205^A29,IF(A29='Données projet'!$A$140,'Données projet'!$B$140,CT28+CS29-DB28)))</f>
        <v>70.756922308783828</v>
      </c>
      <c r="CU29" s="17">
        <f>CT29*VLOOKUP('Données projet'!$B$13,Paramètres!$A$1:$I$89,3,0)*VLOOKUP('Données projet'!$B$13,Paramètres!$A$1:$I$89,5,0)</f>
        <v>42.312639540652732</v>
      </c>
      <c r="CV29" s="13">
        <f t="shared" si="41"/>
        <v>12.609592776469707</v>
      </c>
      <c r="CW29" s="20">
        <f t="shared" si="13"/>
        <v>95.656221285654908</v>
      </c>
      <c r="CX29" s="59">
        <f t="shared" si="14"/>
        <v>388.98955461898822</v>
      </c>
      <c r="CY29" s="59">
        <f ca="1">AVERAGE(OFFSET($CX$3,0,0,'Données projet'!$E$13+1,1))-AVERAGE(OFFSET($H$3,0,0,'Données projet'!$E$13+1,1))</f>
        <v>196.25918971690442</v>
      </c>
      <c r="CZ29" s="59">
        <f t="shared" si="42"/>
        <v>148.35701313170205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11">
        <f t="shared" si="32"/>
        <v>4.3344532450369764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67">
        <f t="shared" si="1"/>
        <v>322.8902060684394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14.166666666666666</v>
      </c>
      <c r="N30" s="13">
        <f>IF('Données projet'!$A$36&gt;35,N29+M30-V29,IF(A30&lt;'Données projet'!$A$36,$K$205^A30,IF(A30='Données projet'!$A$36,'Données projet'!$B$36,N29+M30-V29)))</f>
        <v>181.49999999999997</v>
      </c>
      <c r="O30" s="13">
        <f>N30*VLOOKUP('Données projet'!$B$9,Paramètres!$A$1:$I$89,3,0)*VLOOKUP('Données projet'!$B$9,Paramètres!$A$1:$I$89,5,0)</f>
        <v>113.25599999999997</v>
      </c>
      <c r="P30" s="13">
        <f t="shared" si="33"/>
        <v>30.096816336106439</v>
      </c>
      <c r="Q30" s="20">
        <f t="shared" si="2"/>
        <v>249.67282178538531</v>
      </c>
      <c r="R30" s="59">
        <f t="shared" si="0"/>
        <v>543.00615511871865</v>
      </c>
      <c r="S30" s="59">
        <f ca="1">AVERAGE(OFFSET($R$3,0,0,'Données projet'!$E$9+1,1))-AVERAGE(OFFSET($H$3,0,0,'Données projet'!$E$9+1,1))</f>
        <v>180.31844548479722</v>
      </c>
      <c r="T30" s="59">
        <f t="shared" si="34"/>
        <v>273.83237400307223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24.670681726452262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24.670681726452262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16.666666666666668</v>
      </c>
      <c r="AI30" s="13">
        <f>IF('Données projet'!$A$62&gt;35,AI29+AH30-AQ29,IF(A30&lt;'Données projet'!$A$62,$AF$205^A30,IF(A30='Données projet'!$A$62,'Données projet'!$B$62,AI29+AH30-AQ29)))</f>
        <v>204.99999999999997</v>
      </c>
      <c r="AJ30" s="13">
        <f>AI30*VLOOKUP('Données projet'!$B$10,Paramètres!$A$1:$I$89,3,0)*VLOOKUP('Données projet'!$B$10,Paramètres!$A$1:$I$89,5,0)</f>
        <v>111.92999999999998</v>
      </c>
      <c r="AK30" s="13">
        <f t="shared" si="35"/>
        <v>29.785246291563833</v>
      </c>
      <c r="AL30" s="20">
        <f t="shared" si="4"/>
        <v>246.82072062447358</v>
      </c>
      <c r="AM30" s="59">
        <f t="shared" si="5"/>
        <v>540.15405395780692</v>
      </c>
      <c r="AN30" s="59">
        <f ca="1">AVERAGE(OFFSET($AM$3,0,0,'Données projet'!$E$10+1,1))-AVERAGE(OFFSET($H$3,0,0,'Données projet'!$E$10+1,1))</f>
        <v>160.54301845388551</v>
      </c>
      <c r="AO30" s="59">
        <f t="shared" si="36"/>
        <v>272.6634844951584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59.094124402217865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59.094124402217865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7.2264102564102561</v>
      </c>
      <c r="BD30" s="12">
        <f>IF('Données projet'!$A$88&gt;35,BD29+BC30-BL29,IF(A30&lt;'Données projet'!$A$88,$BA$205^A30,IF(A30='Données projet'!$A$88,'Données projet'!$B$88,BD29+BC30-BL29)))</f>
        <v>126.60168370519743</v>
      </c>
      <c r="BE30" s="13">
        <f>BD30*VLOOKUP('Données projet'!$B$11,Paramètres!$A$1:$I$89,3,0)*VLOOKUP('Données projet'!$B$11,Paramètres!$A$1:$I$89,5,0)</f>
        <v>59.249587974032401</v>
      </c>
      <c r="BF30" s="13">
        <f t="shared" si="37"/>
        <v>16.97840255838226</v>
      </c>
      <c r="BG30" s="20">
        <f t="shared" si="7"/>
        <v>132.76375017728887</v>
      </c>
      <c r="BH30" s="59">
        <f t="shared" si="8"/>
        <v>426.09708351062216</v>
      </c>
      <c r="BI30" s="59">
        <f ca="1">AVERAGE(OFFSET($BH$3,0,0,'Données projet'!$E$11+1,1))-AVERAGE(OFFSET($H$3,0,0,'Données projet'!$E$11+1,1))</f>
        <v>207.25176714718668</v>
      </c>
      <c r="BJ30" s="59">
        <f t="shared" si="38"/>
        <v>191.53228014642559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68.620424404221751</v>
      </c>
      <c r="CE30" s="59">
        <f t="shared" si="40"/>
        <v>203.12945099478918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41.187434615524886</v>
      </c>
      <c r="CL30" s="21">
        <f>EXP(-LN(2)/25)*CL29+(1-EXP(-LN(2)/25))/(LN(2)/25)*Calculateur!CG30*Calculateur!CI30*VLOOKUP('Données projet'!$B$12,Paramètres!$A$1:$I$89,3,0)*0.475*44/12</f>
        <v>8.3169138660812632</v>
      </c>
      <c r="CM30" s="21">
        <f>EXP(-LN(2)/2)*CM29+(1-EXP(-LN(2)/2))/(LN(2)/2)*CG30*CJ30*VLOOKUP('Données projet'!$B$12,Paramètres!$A$1:$I$89,3,0)*0.475*44/12</f>
        <v>1.274720318214499</v>
      </c>
      <c r="CN30" s="22">
        <f t="shared" si="12"/>
        <v>50.779068799820649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4.5417948717948722</v>
      </c>
      <c r="CT30" s="12">
        <f>IF('Données projet'!$A$140&gt;35,CT29+CS30-DB29,IF(A30&lt;'Données projet'!$A$140,$CQ$205^A30,IF(A30='Données projet'!$A$140,'Données projet'!$B$140,CT29+CS30-DB29)))</f>
        <v>83.351590868331613</v>
      </c>
      <c r="CU30" s="17">
        <f>CT30*VLOOKUP('Données projet'!$B$13,Paramètres!$A$1:$I$89,3,0)*VLOOKUP('Données projet'!$B$13,Paramètres!$A$1:$I$89,5,0)</f>
        <v>49.844251339262307</v>
      </c>
      <c r="CV30" s="13">
        <f t="shared" si="41"/>
        <v>14.573529592122918</v>
      </c>
      <c r="CW30" s="20">
        <f t="shared" si="13"/>
        <v>112.19430178882926</v>
      </c>
      <c r="CX30" s="59">
        <f t="shared" si="14"/>
        <v>405.52763512216256</v>
      </c>
      <c r="CY30" s="59">
        <f ca="1">AVERAGE(OFFSET($CX$3,0,0,'Données projet'!$E$13+1,1))-AVERAGE(OFFSET($H$3,0,0,'Données projet'!$E$13+1,1))</f>
        <v>196.25918971690442</v>
      </c>
      <c r="CZ30" s="59">
        <f t="shared" si="42"/>
        <v>148.35701313170205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11">
        <f t="shared" si="32"/>
        <v>4.4760006109979793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67">
        <f t="shared" si="1"/>
        <v>323.95183439748814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14.166666666666666</v>
      </c>
      <c r="N31" s="13">
        <f>IF('Données projet'!$A$36&gt;35,N30+M31-V30,IF(A31&lt;'Données projet'!$A$36,$K$205^A31,IF(A31='Données projet'!$A$36,'Données projet'!$B$36,N30+M31-V30)))</f>
        <v>195.66666666666663</v>
      </c>
      <c r="O31" s="13">
        <f>N31*VLOOKUP('Données projet'!$B$9,Paramètres!$A$1:$I$89,3,0)*VLOOKUP('Données projet'!$B$9,Paramètres!$A$1:$I$89,5,0)</f>
        <v>122.09599999999998</v>
      </c>
      <c r="P31" s="13">
        <f t="shared" si="33"/>
        <v>32.163363121463028</v>
      </c>
      <c r="Q31" s="20">
        <f t="shared" si="2"/>
        <v>268.6683907698814</v>
      </c>
      <c r="R31" s="59">
        <f t="shared" si="0"/>
        <v>562.00172410321466</v>
      </c>
      <c r="S31" s="59">
        <f ca="1">AVERAGE(OFFSET($R$3,0,0,'Données projet'!$E$9+1,1))-AVERAGE(OFFSET($H$3,0,0,'Données projet'!$E$9+1,1))</f>
        <v>180.31844548479722</v>
      </c>
      <c r="T31" s="59">
        <f t="shared" si="34"/>
        <v>273.83237400307223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23.996060637267657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23.996060637267657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16.666666666666668</v>
      </c>
      <c r="AI31" s="13">
        <f>IF('Données projet'!$A$62&gt;35,AI30+AH31-AQ30,IF(A31&lt;'Données projet'!$A$62,$AF$205^A31,IF(A31='Données projet'!$A$62,'Données projet'!$B$62,AI30+AH31-AQ30)))</f>
        <v>221.66666666666663</v>
      </c>
      <c r="AJ31" s="13">
        <f>AI31*VLOOKUP('Données projet'!$B$10,Paramètres!$A$1:$I$89,3,0)*VLOOKUP('Données projet'!$B$10,Paramètres!$A$1:$I$89,5,0)</f>
        <v>121.02999999999997</v>
      </c>
      <c r="AK31" s="13">
        <f t="shared" si="35"/>
        <v>31.915110254002617</v>
      </c>
      <c r="AL31" s="20">
        <f t="shared" si="4"/>
        <v>266.3794003590545</v>
      </c>
      <c r="AM31" s="59">
        <f t="shared" si="5"/>
        <v>559.71273369238781</v>
      </c>
      <c r="AN31" s="59">
        <f ca="1">AVERAGE(OFFSET($AM$3,0,0,'Données projet'!$E$10+1,1))-AVERAGE(OFFSET($H$3,0,0,'Données projet'!$E$10+1,1))</f>
        <v>160.54301845388551</v>
      </c>
      <c r="AO31" s="59">
        <f t="shared" si="36"/>
        <v>272.6634844951584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57.478192462814278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57.478192462814278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7.2264102564102561</v>
      </c>
      <c r="BD31" s="12">
        <f>IF('Données projet'!$A$88&gt;35,BD30+BC31-BL30,IF(A31&lt;'Données projet'!$A$88,$BA$205^A31,IF(A31='Données projet'!$A$88,'Données projet'!$B$88,BD30+BC31-BL30)))</f>
        <v>151.46336824615491</v>
      </c>
      <c r="BE31" s="13">
        <f>BD31*VLOOKUP('Données projet'!$B$11,Paramètres!$A$1:$I$89,3,0)*VLOOKUP('Données projet'!$B$11,Paramètres!$A$1:$I$89,5,0)</f>
        <v>70.884856339200496</v>
      </c>
      <c r="BF31" s="13">
        <f t="shared" si="37"/>
        <v>19.893037679751526</v>
      </c>
      <c r="BG31" s="20">
        <f t="shared" si="7"/>
        <v>158.10483208300809</v>
      </c>
      <c r="BH31" s="59">
        <f t="shared" si="8"/>
        <v>451.43816541634141</v>
      </c>
      <c r="BI31" s="59">
        <f ca="1">AVERAGE(OFFSET($BH$3,0,0,'Données projet'!$E$11+1,1))-AVERAGE(OFFSET($H$3,0,0,'Données projet'!$E$11+1,1))</f>
        <v>207.25176714718668</v>
      </c>
      <c r="BJ31" s="59">
        <f t="shared" si="38"/>
        <v>191.53228014642559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68.620424404221751</v>
      </c>
      <c r="CE31" s="59">
        <f t="shared" si="40"/>
        <v>203.12945099478918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40.379774144568984</v>
      </c>
      <c r="CL31" s="21">
        <f>EXP(-LN(2)/25)*CL30+(1-EXP(-LN(2)/25))/(LN(2)/25)*Calculateur!CG31*Calculateur!CI31*VLOOKUP('Données projet'!$B$12,Paramètres!$A$1:$I$89,3,0)*0.475*44/12</f>
        <v>8.0894874190457795</v>
      </c>
      <c r="CM31" s="21">
        <f>EXP(-LN(2)/2)*CM30+(1-EXP(-LN(2)/2))/(LN(2)/2)*CG31*CJ31*VLOOKUP('Données projet'!$B$12,Paramètres!$A$1:$I$89,3,0)*0.475*44/12</f>
        <v>0.9013633811257461</v>
      </c>
      <c r="CN31" s="22">
        <f t="shared" si="12"/>
        <v>49.370624944740513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4.5417948717948722</v>
      </c>
      <c r="CT31" s="12">
        <f>IF('Données projet'!$A$140&gt;35,CT30+CS31-DB30,IF(A31&lt;'Données projet'!$A$140,$CQ$205^A31,IF(A31='Données projet'!$A$140,'Données projet'!$B$140,CT30+CS31-DB30)))</f>
        <v>98.188099108704094</v>
      </c>
      <c r="CU31" s="17">
        <f>CT31*VLOOKUP('Données projet'!$B$13,Paramètres!$A$1:$I$89,3,0)*VLOOKUP('Données projet'!$B$13,Paramètres!$A$1:$I$89,5,0)</f>
        <v>58.716483267005053</v>
      </c>
      <c r="CV31" s="13">
        <f t="shared" si="41"/>
        <v>16.843348436185138</v>
      </c>
      <c r="CW31" s="20">
        <f t="shared" si="13"/>
        <v>131.60004021638957</v>
      </c>
      <c r="CX31" s="59">
        <f t="shared" si="14"/>
        <v>424.93337354972289</v>
      </c>
      <c r="CY31" s="59">
        <f ca="1">AVERAGE(OFFSET($CX$3,0,0,'Données projet'!$E$13+1,1))-AVERAGE(OFFSET($H$3,0,0,'Données projet'!$E$13+1,1))</f>
        <v>196.25918971690442</v>
      </c>
      <c r="CZ31" s="59">
        <f t="shared" si="42"/>
        <v>148.35701313170205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11">
        <f t="shared" si="32"/>
        <v>4.6169606338501863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67">
        <f t="shared" si="1"/>
        <v>325.01243977062239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14.166666666666666</v>
      </c>
      <c r="N32" s="13">
        <f>IF('Données projet'!$A$36&gt;35,N31+M32-V31,IF(A32&lt;'Données projet'!$A$36,$K$205^A32,IF(A32='Données projet'!$A$36,'Données projet'!$B$36,N31+M32-V31)))</f>
        <v>209.83333333333329</v>
      </c>
      <c r="O32" s="13">
        <f>N32*VLOOKUP('Données projet'!$B$9,Paramètres!$A$1:$I$89,3,0)*VLOOKUP('Données projet'!$B$9,Paramètres!$A$1:$I$89,5,0)</f>
        <v>130.93599999999998</v>
      </c>
      <c r="P32" s="13">
        <f t="shared" si="33"/>
        <v>34.21255106176632</v>
      </c>
      <c r="Q32" s="20">
        <f t="shared" si="2"/>
        <v>287.63372643257628</v>
      </c>
      <c r="R32" s="59">
        <f t="shared" si="0"/>
        <v>580.96705976590965</v>
      </c>
      <c r="S32" s="59">
        <f ca="1">AVERAGE(OFFSET($R$3,0,0,'Données projet'!$E$9+1,1))-AVERAGE(OFFSET($H$3,0,0,'Données projet'!$E$9+1,1))</f>
        <v>180.31844548479722</v>
      </c>
      <c r="T32" s="59">
        <f t="shared" si="34"/>
        <v>273.83237400307223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23.339887097243587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23.339887097243587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16.666666666666668</v>
      </c>
      <c r="AI32" s="13">
        <f>IF('Données projet'!$A$62&gt;35,AI31+AH32-AQ31,IF(A32&lt;'Données projet'!$A$62,$AF$205^A32,IF(A32='Données projet'!$A$62,'Données projet'!$B$62,AI31+AH32-AQ31)))</f>
        <v>238.33333333333329</v>
      </c>
      <c r="AJ32" s="13">
        <f>AI32*VLOOKUP('Données projet'!$B$10,Paramètres!$A$1:$I$89,3,0)*VLOOKUP('Données projet'!$B$10,Paramètres!$A$1:$I$89,5,0)</f>
        <v>130.12999999999997</v>
      </c>
      <c r="AK32" s="13">
        <f t="shared" si="35"/>
        <v>34.026396767825609</v>
      </c>
      <c r="AL32" s="20">
        <f t="shared" si="4"/>
        <v>285.90572437062957</v>
      </c>
      <c r="AM32" s="59">
        <f t="shared" si="5"/>
        <v>579.23905770396289</v>
      </c>
      <c r="AN32" s="59">
        <f ca="1">AVERAGE(OFFSET($AM$3,0,0,'Données projet'!$E$10+1,1))-AVERAGE(OFFSET($H$3,0,0,'Données projet'!$E$10+1,1))</f>
        <v>160.54301845388551</v>
      </c>
      <c r="AO32" s="59">
        <f t="shared" si="36"/>
        <v>272.6634844951584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55.906448267271848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55.906448267271848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7.2264102564102561</v>
      </c>
      <c r="BD32" s="12">
        <f>IF('Données projet'!$A$88&gt;35,BD31+BC32-BL31,IF(A32&lt;'Données projet'!$A$88,$BA$205^A32,IF(A32='Données projet'!$A$88,'Données projet'!$B$88,BD31+BC32-BL31)))</f>
        <v>181.20732085910257</v>
      </c>
      <c r="BE32" s="13">
        <f>BD32*VLOOKUP('Données projet'!$B$11,Paramètres!$A$1:$I$89,3,0)*VLOOKUP('Données projet'!$B$11,Paramètres!$A$1:$I$89,5,0)</f>
        <v>84.805026162060003</v>
      </c>
      <c r="BF32" s="13">
        <f t="shared" si="37"/>
        <v>23.308020101846395</v>
      </c>
      <c r="BG32" s="20">
        <f t="shared" si="7"/>
        <v>188.29688890963698</v>
      </c>
      <c r="BH32" s="59">
        <f t="shared" si="8"/>
        <v>481.63022224297026</v>
      </c>
      <c r="BI32" s="59">
        <f ca="1">AVERAGE(OFFSET($BH$3,0,0,'Données projet'!$E$11+1,1))-AVERAGE(OFFSET($H$3,0,0,'Données projet'!$E$11+1,1))</f>
        <v>207.25176714718668</v>
      </c>
      <c r="BJ32" s="59">
        <f t="shared" si="38"/>
        <v>191.53228014642559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68.620424404221751</v>
      </c>
      <c r="CE32" s="59">
        <f t="shared" si="40"/>
        <v>203.12945099478918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39.587951402824281</v>
      </c>
      <c r="CL32" s="21">
        <f>EXP(-LN(2)/25)*CL31+(1-EXP(-LN(2)/25))/(LN(2)/25)*Calculateur!CG32*Calculateur!CI32*VLOOKUP('Données projet'!$B$12,Paramètres!$A$1:$I$89,3,0)*0.475*44/12</f>
        <v>7.8682799601643181</v>
      </c>
      <c r="CM32" s="21">
        <f>EXP(-LN(2)/2)*CM31+(1-EXP(-LN(2)/2))/(LN(2)/2)*CG32*CJ32*VLOOKUP('Données projet'!$B$12,Paramètres!$A$1:$I$89,3,0)*0.475*44/12</f>
        <v>0.63736015910724964</v>
      </c>
      <c r="CN32" s="22">
        <f t="shared" si="12"/>
        <v>48.093591522095849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4.5417948717948722</v>
      </c>
      <c r="CT32" s="12">
        <f>IF('Données projet'!$A$140&gt;35,CT31+CS32-DB31,IF(A32&lt;'Données projet'!$A$140,$CQ$205^A32,IF(A32='Données projet'!$A$140,'Données projet'!$B$140,CT31+CS32-DB31)))</f>
        <v>115.66549247764432</v>
      </c>
      <c r="CU32" s="17">
        <f>CT32*VLOOKUP('Données projet'!$B$13,Paramètres!$A$1:$I$89,3,0)*VLOOKUP('Données projet'!$B$13,Paramètres!$A$1:$I$89,5,0)</f>
        <v>69.167964501631303</v>
      </c>
      <c r="CV32" s="13">
        <f t="shared" si="41"/>
        <v>19.466690258486256</v>
      </c>
      <c r="CW32" s="20">
        <f t="shared" si="13"/>
        <v>154.37202370720476</v>
      </c>
      <c r="CX32" s="59">
        <f t="shared" si="14"/>
        <v>447.70535704053805</v>
      </c>
      <c r="CY32" s="59">
        <f ca="1">AVERAGE(OFFSET($CX$3,0,0,'Données projet'!$E$13+1,1))-AVERAGE(OFFSET($H$3,0,0,'Données projet'!$E$13+1,1))</f>
        <v>196.25918971690442</v>
      </c>
      <c r="CZ32" s="59">
        <f t="shared" si="42"/>
        <v>148.35701313170205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11">
        <f t="shared" si="32"/>
        <v>4.75735588805329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67">
        <f t="shared" si="1"/>
        <v>326.07206150502611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224</v>
      </c>
      <c r="L33" s="12">
        <f>VLOOKUP(A33,'Données projet'!$A$35:$I$55,9,0)</f>
        <v>14.166666666666666</v>
      </c>
      <c r="M33" s="12">
        <f t="array" ref="M33">INDEX(L:L,MIN(IF(ISNUMBER(L33:L229),ROW(L33:L229),"")))</f>
        <v>14.166666666666666</v>
      </c>
      <c r="N33" s="13">
        <f>IF('Données projet'!$A$36&gt;35,N32+M33-V32,IF(A33&lt;'Données projet'!$A$36,$K$205^A33,IF(A33='Données projet'!$A$36,'Données projet'!$B$36,N32+M33-V32)))</f>
        <v>223.99999999999994</v>
      </c>
      <c r="O33" s="13">
        <f>N33*VLOOKUP('Données projet'!$B$9,Paramètres!$A$1:$I$89,3,0)*VLOOKUP('Données projet'!$B$9,Paramètres!$A$1:$I$89,5,0)</f>
        <v>139.77599999999995</v>
      </c>
      <c r="P33" s="13">
        <f t="shared" si="33"/>
        <v>36.245685459195258</v>
      </c>
      <c r="Q33" s="20">
        <f t="shared" si="2"/>
        <v>306.57110217476503</v>
      </c>
      <c r="R33" s="59">
        <f t="shared" si="0"/>
        <v>599.90443550809835</v>
      </c>
      <c r="S33" s="59">
        <f ca="1">AVERAGE(OFFSET($R$3,0,0,'Données projet'!$E$9+1,1))-AVERAGE(OFFSET($H$3,0,0,'Données projet'!$E$9+1,1))</f>
        <v>180.31844548479722</v>
      </c>
      <c r="T33" s="59">
        <f t="shared" si="34"/>
        <v>273.83237400307223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53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0.48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43.677367860291142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43.677367860291142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255</v>
      </c>
      <c r="AG33" s="12">
        <f>VLOOKUP(A33,'Données projet'!$A$61:$I$81,9,0)</f>
        <v>16.666666666666668</v>
      </c>
      <c r="AH33" s="12">
        <f t="array" ref="AH33">INDEX(AG:AG,MIN(IF(ISNUMBER(AG33:AG229),ROW(AG33:AG229),"")))</f>
        <v>16.666666666666668</v>
      </c>
      <c r="AI33" s="13">
        <f>IF('Données projet'!$A$62&gt;35,AI32+AH33-AQ32,IF(A33&lt;'Données projet'!$A$62,$AF$205^A33,IF(A33='Données projet'!$A$62,'Données projet'!$B$62,AI32+AH33-AQ32)))</f>
        <v>254.99999999999994</v>
      </c>
      <c r="AJ33" s="13">
        <f>AI33*VLOOKUP('Données projet'!$B$10,Paramètres!$A$1:$I$89,3,0)*VLOOKUP('Données projet'!$B$10,Paramètres!$A$1:$I$89,5,0)</f>
        <v>139.22999999999996</v>
      </c>
      <c r="AK33" s="13">
        <f t="shared" si="35"/>
        <v>36.120552727378737</v>
      </c>
      <c r="AL33" s="20">
        <f t="shared" si="4"/>
        <v>305.4022126668512</v>
      </c>
      <c r="AM33" s="59">
        <f t="shared" si="5"/>
        <v>598.73554600018451</v>
      </c>
      <c r="AN33" s="59">
        <f ca="1">AVERAGE(OFFSET($AM$3,0,0,'Données projet'!$E$10+1,1))-AVERAGE(OFFSET($H$3,0,0,'Données projet'!$E$10+1,1))</f>
        <v>160.54301845388551</v>
      </c>
      <c r="AO33" s="59">
        <f t="shared" si="36"/>
        <v>272.6634844951584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76</v>
      </c>
      <c r="AR33" s="16">
        <f>IF(ISNA(VLOOKUP(A33,'Données projet'!$A$61:$I$81,5,0)),0%,VLOOKUP(A33,'Données projet'!$A$61:$I$81,5,0)*VLOOKUP('Données projet'!$B$10,Paramètres!$A$1:$I$89,7,0))</f>
        <v>0.18</v>
      </c>
      <c r="AS33" s="16">
        <f>IF(ISNA(VLOOKUP(A33,'Données projet'!$A$61:$I$81,6,0)),0%,VLOOKUP(A33,'Données projet'!$A$61:$I$81,6,0)*VLOOKUP('Données projet'!$B$10,Paramètres!$A$1:$I$89,7,0))</f>
        <v>0.36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9.9084813557254474</v>
      </c>
      <c r="AV33" s="21">
        <f>EXP(-LN(2)/25)*AV32+(1-EXP(-LN(2)/25))/(LN(2)/25)*Calculateur!AQ33*Calculateur!AS33*VLOOKUP('Données projet'!$B$10,Paramètres!$A$1:$I$89,3,0)*0.475*44/12</f>
        <v>74.116619277812106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84.025100633537548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216.79230769230767</v>
      </c>
      <c r="BB33" s="12">
        <f>VLOOKUP(A33,'Données projet'!$A$87:$I$107,9,0)</f>
        <v>7.2264102564102561</v>
      </c>
      <c r="BC33" s="12">
        <f t="array" ref="BC33">INDEX(BB:BB,MIN(IF(ISNUMBER(BB33:BB229),ROW(BB33:BB229),"")))</f>
        <v>7.2264102564102561</v>
      </c>
      <c r="BD33" s="12">
        <f>IF('Données projet'!$A$88&gt;35,BD32+BC33-BL32,IF(A33&lt;'Données projet'!$A$88,$BA$205^A33,IF(A33='Données projet'!$A$88,'Données projet'!$B$88,BD32+BC33-BL32)))</f>
        <v>216.79230769230767</v>
      </c>
      <c r="BE33" s="13">
        <f>BD33*VLOOKUP('Données projet'!$B$11,Paramètres!$A$1:$I$89,3,0)*VLOOKUP('Données projet'!$B$11,Paramètres!$A$1:$I$89,5,0)</f>
        <v>101.45879999999998</v>
      </c>
      <c r="BF33" s="13">
        <f t="shared" si="37"/>
        <v>27.309243053465156</v>
      </c>
      <c r="BG33" s="20">
        <f t="shared" si="7"/>
        <v>224.27100831811845</v>
      </c>
      <c r="BH33" s="59">
        <f t="shared" si="8"/>
        <v>517.6043416514517</v>
      </c>
      <c r="BI33" s="59">
        <f ca="1">AVERAGE(OFFSET($BH$3,0,0,'Données projet'!$E$11+1,1))-AVERAGE(OFFSET($H$3,0,0,'Données projet'!$E$11+1,1))</f>
        <v>207.25176714718668</v>
      </c>
      <c r="BJ33" s="59">
        <f t="shared" si="38"/>
        <v>191.53228014642559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0.38500000000000001</v>
      </c>
      <c r="BN33" s="16">
        <f>IF(ISNA(VLOOKUP(A33,'Données projet'!$A$87:$I$107,6,0)),0%,VLOOKUP(A33,'Données projet'!$A$87:$I$107,6,0)*VLOOKUP('Données projet'!$B$11,Paramètres!$A$1:$I$89,7,0))</f>
        <v>9.240000000000001E-2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68.620424404221751</v>
      </c>
      <c r="CE33" s="59">
        <f t="shared" si="40"/>
        <v>203.12945099478918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38.811655822081008</v>
      </c>
      <c r="CL33" s="21">
        <f>EXP(-LN(2)/25)*CL32+(1-EXP(-LN(2)/25))/(LN(2)/25)*Calculateur!CG33*Calculateur!CI33*VLOOKUP('Données projet'!$B$12,Paramètres!$A$1:$I$89,3,0)*0.475*44/12</f>
        <v>7.6531214308787652</v>
      </c>
      <c r="CM33" s="21">
        <f>EXP(-LN(2)/2)*CM32+(1-EXP(-LN(2)/2))/(LN(2)/2)*CG33*CJ33*VLOOKUP('Données projet'!$B$12,Paramètres!$A$1:$I$89,3,0)*0.475*44/12</f>
        <v>0.45068169056287311</v>
      </c>
      <c r="CN33" s="22">
        <f t="shared" si="12"/>
        <v>46.915458943522644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136.25384615384615</v>
      </c>
      <c r="CR33" s="12">
        <f>VLOOKUP(A33,'Données projet'!$A$139:$I$159,9,0)</f>
        <v>4.5417948717948722</v>
      </c>
      <c r="CS33" s="12">
        <f t="array" ref="CS33">INDEX(CR:CR,MIN(IF(ISNUMBER(CR33:CR229),ROW(CR33:CR229),"")))</f>
        <v>4.5417948717948722</v>
      </c>
      <c r="CT33" s="12">
        <f>IF('Données projet'!$A$140&gt;35,CT32+CS33-DB32,IF(A33&lt;'Données projet'!$A$140,$CQ$205^A33,IF(A33='Données projet'!$A$140,'Données projet'!$B$140,CT32+CS33-DB32)))</f>
        <v>136.25384615384615</v>
      </c>
      <c r="CU33" s="17">
        <f>CT33*VLOOKUP('Données projet'!$B$13,Paramètres!$A$1:$I$89,3,0)*VLOOKUP('Données projet'!$B$13,Paramètres!$A$1:$I$89,5,0)</f>
        <v>81.479799999999997</v>
      </c>
      <c r="CV33" s="13">
        <f t="shared" si="41"/>
        <v>22.498616059365453</v>
      </c>
      <c r="CW33" s="20">
        <f t="shared" si="13"/>
        <v>181.09574130339482</v>
      </c>
      <c r="CX33" s="59">
        <f t="shared" si="14"/>
        <v>474.42907463672816</v>
      </c>
      <c r="CY33" s="59">
        <f ca="1">AVERAGE(OFFSET($CX$3,0,0,'Données projet'!$E$13+1,1))-AVERAGE(OFFSET($H$3,0,0,'Données projet'!$E$13+1,1))</f>
        <v>196.25918971690442</v>
      </c>
      <c r="CZ33" s="59">
        <f t="shared" si="42"/>
        <v>148.35701313170205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11">
        <f t="shared" si="32"/>
        <v>4.8972073577041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67">
        <f t="shared" si="1"/>
        <v>327.13073614800129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12.833333333333334</v>
      </c>
      <c r="N34" s="13">
        <f>IF('Données projet'!$A$36&gt;35,N33+M34-V33,IF(A34&lt;'Données projet'!$A$36,$K$205^A34,IF(A34='Données projet'!$A$36,'Données projet'!$B$36,N33+M34-V33)))</f>
        <v>183.83333333333329</v>
      </c>
      <c r="O34" s="13">
        <f>N34*VLOOKUP('Données projet'!$B$9,Paramètres!$A$1:$I$89,3,0)*VLOOKUP('Données projet'!$B$9,Paramètres!$A$1:$I$89,5,0)</f>
        <v>114.71199999999997</v>
      </c>
      <c r="P34" s="13">
        <f t="shared" si="33"/>
        <v>30.438443898016164</v>
      </c>
      <c r="Q34" s="20">
        <f t="shared" si="2"/>
        <v>252.80368978904474</v>
      </c>
      <c r="R34" s="59">
        <f t="shared" si="0"/>
        <v>546.13702312237808</v>
      </c>
      <c r="S34" s="59">
        <f ca="1">AVERAGE(OFFSET($R$3,0,0,'Données projet'!$E$9+1,1))-AVERAGE(OFFSET($H$3,0,0,'Données projet'!$E$9+1,1))</f>
        <v>180.31844548479722</v>
      </c>
      <c r="T34" s="59">
        <f t="shared" si="34"/>
        <v>273.83237400307223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42.483007939258528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42.483007939258528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</v>
      </c>
      <c r="AI34" s="13">
        <f>IF('Données projet'!$A$62&gt;35,AI33+AH34-AQ33,IF(A34&lt;'Données projet'!$A$62,$AF$205^A34,IF(A34='Données projet'!$A$62,'Données projet'!$B$62,AI33+AH34-AQ33)))</f>
        <v>193.99999999999994</v>
      </c>
      <c r="AJ34" s="13">
        <f>AI34*VLOOKUP('Données projet'!$B$10,Paramètres!$A$1:$I$89,3,0)*VLOOKUP('Données projet'!$B$10,Paramètres!$A$1:$I$89,5,0)</f>
        <v>105.92399999999998</v>
      </c>
      <c r="AK34" s="13">
        <f t="shared" si="35"/>
        <v>28.36854701055546</v>
      </c>
      <c r="AL34" s="20">
        <f t="shared" si="4"/>
        <v>233.89285271005073</v>
      </c>
      <c r="AM34" s="59">
        <f t="shared" si="5"/>
        <v>527.22618604338402</v>
      </c>
      <c r="AN34" s="59">
        <f ca="1">AVERAGE(OFFSET($AM$3,0,0,'Données projet'!$E$10+1,1))-AVERAGE(OFFSET($H$3,0,0,'Données projet'!$E$10+1,1))</f>
        <v>160.54301845388551</v>
      </c>
      <c r="AO34" s="59">
        <f t="shared" si="36"/>
        <v>272.6634844951584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9.7141820799165455</v>
      </c>
      <c r="AV34" s="21">
        <f>EXP(-LN(2)/25)*AV33+(1-EXP(-LN(2)/25))/(LN(2)/25)*Calculateur!AQ34*Calculateur!AS34*VLOOKUP('Données projet'!$B$10,Paramètres!$A$1:$I$89,3,0)*0.475*44/12</f>
        <v>72.089896426036717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81.804078505953257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16.131410256410259</v>
      </c>
      <c r="BD34" s="12">
        <f>IF('Données projet'!$A$88&gt;35,BD33+BC34-BL33,IF(A34&lt;'Données projet'!$A$88,$BA$205^A34,IF(A34='Données projet'!$A$88,'Données projet'!$B$88,BD33+BC34-BL33)))</f>
        <v>232.92371794871792</v>
      </c>
      <c r="BE34" s="13">
        <f>BD34*VLOOKUP('Données projet'!$B$11,Paramètres!$A$1:$I$89,3,0)*VLOOKUP('Données projet'!$B$11,Paramètres!$A$1:$I$89,5,0)</f>
        <v>109.00829999999998</v>
      </c>
      <c r="BF34" s="13">
        <f t="shared" si="37"/>
        <v>29.097209307093255</v>
      </c>
      <c r="BG34" s="20">
        <f t="shared" si="7"/>
        <v>240.53376204318738</v>
      </c>
      <c r="BH34" s="59">
        <f t="shared" si="8"/>
        <v>533.86709537652064</v>
      </c>
      <c r="BI34" s="59">
        <f ca="1">AVERAGE(OFFSET($BH$3,0,0,'Données projet'!$E$11+1,1))-AVERAGE(OFFSET($H$3,0,0,'Données projet'!$E$11+1,1))</f>
        <v>207.25176714718668</v>
      </c>
      <c r="BJ34" s="59">
        <f t="shared" si="38"/>
        <v>191.53228014642559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68.620424404221751</v>
      </c>
      <c r="CE34" s="59">
        <f t="shared" si="40"/>
        <v>203.12945099478918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38.050582924182557</v>
      </c>
      <c r="CL34" s="21">
        <f>EXP(-LN(2)/25)*CL33+(1-EXP(-LN(2)/25))/(LN(2)/25)*Calculateur!CG34*Calculateur!CI34*VLOOKUP('Données projet'!$B$12,Paramètres!$A$1:$I$89,3,0)*0.475*44/12</f>
        <v>7.4438464228912204</v>
      </c>
      <c r="CM34" s="21">
        <f>EXP(-LN(2)/2)*CM33+(1-EXP(-LN(2)/2))/(LN(2)/2)*CG34*CJ34*VLOOKUP('Données projet'!$B$12,Paramètres!$A$1:$I$89,3,0)*0.475*44/12</f>
        <v>0.31868007955362487</v>
      </c>
      <c r="CN34" s="22">
        <f t="shared" si="12"/>
        <v>45.813109426627399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9.5853846153846156</v>
      </c>
      <c r="CT34" s="12">
        <f>IF('Données projet'!$A$140&gt;35,CT33+CS34-DB33,IF(A34&lt;'Données projet'!$A$140,$CQ$205^A34,IF(A34='Données projet'!$A$140,'Données projet'!$B$140,CT33+CS34-DB33)))</f>
        <v>145.83923076923077</v>
      </c>
      <c r="CU34" s="17">
        <f>CT34*VLOOKUP('Données projet'!$B$13,Paramètres!$A$1:$I$89,3,0)*VLOOKUP('Données projet'!$B$13,Paramètres!$A$1:$I$89,5,0)</f>
        <v>87.211860000000001</v>
      </c>
      <c r="CV34" s="13">
        <f t="shared" si="41"/>
        <v>23.891566160122878</v>
      </c>
      <c r="CW34" s="20">
        <f t="shared" si="13"/>
        <v>193.50513389554735</v>
      </c>
      <c r="CX34" s="59">
        <f t="shared" si="14"/>
        <v>486.83846722888063</v>
      </c>
      <c r="CY34" s="59">
        <f ca="1">AVERAGE(OFFSET($CX$3,0,0,'Données projet'!$E$13+1,1))-AVERAGE(OFFSET($H$3,0,0,'Données projet'!$E$13+1,1))</f>
        <v>196.25918971690442</v>
      </c>
      <c r="CZ34" s="59">
        <f t="shared" si="42"/>
        <v>148.35701313170205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11">
        <f t="shared" si="32"/>
        <v>5.0365345962274297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67">
        <f t="shared" si="1"/>
        <v>328.18849775509608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12.833333333333334</v>
      </c>
      <c r="N35" s="13">
        <f>IF('Données projet'!$A$36&gt;35,N34+M35-V34,IF(A35&lt;'Données projet'!$A$36,$K$205^A35,IF(A35='Données projet'!$A$36,'Données projet'!$B$36,N34+M35-V34)))</f>
        <v>196.66666666666663</v>
      </c>
      <c r="O35" s="13">
        <f>N35*VLOOKUP('Données projet'!$B$9,Paramètres!$A$1:$I$89,3,0)*VLOOKUP('Données projet'!$B$9,Paramètres!$A$1:$I$89,5,0)</f>
        <v>122.71999999999997</v>
      </c>
      <c r="P35" s="13">
        <f t="shared" si="33"/>
        <v>32.308564708068729</v>
      </c>
      <c r="Q35" s="20">
        <f t="shared" ref="Q35:Q66" si="53">(O35+P35)*0.475*44/12</f>
        <v>270.00808353321963</v>
      </c>
      <c r="R35" s="59">
        <f t="shared" si="0"/>
        <v>563.34141686655289</v>
      </c>
      <c r="S35" s="59">
        <f ca="1">AVERAGE(OFFSET($R$3,0,0,'Données projet'!$E$9+1,1))-AVERAGE(OFFSET($H$3,0,0,'Données projet'!$E$9+1,1))</f>
        <v>180.31844548479722</v>
      </c>
      <c r="T35" s="59">
        <f t="shared" si="34"/>
        <v>273.83237400307223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41.321307853075211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41.321307853075211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</v>
      </c>
      <c r="AI35" s="13">
        <f>IF('Données projet'!$A$62&gt;35,AI34+AH35-AQ34,IF(A35&lt;'Données projet'!$A$62,$AF$205^A35,IF(A35='Données projet'!$A$62,'Données projet'!$B$62,AI34+AH35-AQ34)))</f>
        <v>208.99999999999994</v>
      </c>
      <c r="AJ35" s="13">
        <f>AI35*VLOOKUP('Données projet'!$B$10,Paramètres!$A$1:$I$89,3,0)*VLOOKUP('Données projet'!$B$10,Paramètres!$A$1:$I$89,5,0)</f>
        <v>114.11399999999996</v>
      </c>
      <c r="AK35" s="13">
        <f t="shared" si="35"/>
        <v>30.298194021728271</v>
      </c>
      <c r="AL35" s="20">
        <f t="shared" si="4"/>
        <v>251.5179045878433</v>
      </c>
      <c r="AM35" s="59">
        <f t="shared" si="5"/>
        <v>544.85123792117656</v>
      </c>
      <c r="AN35" s="59">
        <f ca="1">AVERAGE(OFFSET($AM$3,0,0,'Données projet'!$E$10+1,1))-AVERAGE(OFFSET($H$3,0,0,'Données projet'!$E$10+1,1))</f>
        <v>160.54301845388551</v>
      </c>
      <c r="AO35" s="59">
        <f t="shared" si="36"/>
        <v>272.6634844951584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9.5236928943953991</v>
      </c>
      <c r="AV35" s="21">
        <f>EXP(-LN(2)/25)*AV34+(1-EXP(-LN(2)/25))/(LN(2)/25)*Calculateur!AQ35*Calculateur!AS35*VLOOKUP('Données projet'!$B$10,Paramètres!$A$1:$I$89,3,0)*0.475*44/12</f>
        <v>70.118594417223846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79.642287311619242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16.131410256410259</v>
      </c>
      <c r="BD35" s="12">
        <f>IF('Données projet'!$A$88&gt;35,BD34+BC35-BL34,IF(A35&lt;'Données projet'!$A$88,$BA$205^A35,IF(A35='Données projet'!$A$88,'Données projet'!$B$88,BD34+BC35-BL34)))</f>
        <v>249.05512820512817</v>
      </c>
      <c r="BE35" s="13">
        <f>BD35*VLOOKUP('Données projet'!$B$11,Paramètres!$A$1:$I$89,3,0)*VLOOKUP('Données projet'!$B$11,Paramètres!$A$1:$I$89,5,0)</f>
        <v>116.55779999999997</v>
      </c>
      <c r="BF35" s="13">
        <f t="shared" si="37"/>
        <v>30.870807833785406</v>
      </c>
      <c r="BG35" s="20">
        <f t="shared" si="7"/>
        <v>256.7714919771762</v>
      </c>
      <c r="BH35" s="59">
        <f t="shared" si="8"/>
        <v>550.10482531050957</v>
      </c>
      <c r="BI35" s="59">
        <f ca="1">AVERAGE(OFFSET($BH$3,0,0,'Données projet'!$E$11+1,1))-AVERAGE(OFFSET($H$3,0,0,'Données projet'!$E$11+1,1))</f>
        <v>207.25176714718668</v>
      </c>
      <c r="BJ35" s="59">
        <f t="shared" si="38"/>
        <v>191.53228014642559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68.620424404221751</v>
      </c>
      <c r="CE35" s="59">
        <f t="shared" si="40"/>
        <v>203.12945099478918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37.304434201603264</v>
      </c>
      <c r="CL35" s="21">
        <f>EXP(-LN(2)/25)*CL34+(1-EXP(-LN(2)/25))/(LN(2)/25)*Calculateur!CG35*Calculateur!CI35*VLOOKUP('Données projet'!$B$12,Paramètres!$A$1:$I$89,3,0)*0.475*44/12</f>
        <v>7.2402940510023894</v>
      </c>
      <c r="CM35" s="21">
        <f>EXP(-LN(2)/2)*CM34+(1-EXP(-LN(2)/2))/(LN(2)/2)*CG35*CJ35*VLOOKUP('Données projet'!$B$12,Paramètres!$A$1:$I$89,3,0)*0.475*44/12</f>
        <v>0.22534084528143661</v>
      </c>
      <c r="CN35" s="22">
        <f t="shared" si="12"/>
        <v>44.770069097887088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9.5853846153846156</v>
      </c>
      <c r="CT35" s="12">
        <f>IF('Données projet'!$A$140&gt;35,CT34+CS35-DB34,IF(A35&lt;'Données projet'!$A$140,$CQ$205^A35,IF(A35='Données projet'!$A$140,'Données projet'!$B$140,CT34+CS35-DB34)))</f>
        <v>155.42461538461538</v>
      </c>
      <c r="CU35" s="17">
        <f>CT35*VLOOKUP('Données projet'!$B$13,Paramètres!$A$1:$I$89,3,0)*VLOOKUP('Données projet'!$B$13,Paramètres!$A$1:$I$89,5,0)</f>
        <v>92.943919999999991</v>
      </c>
      <c r="CV35" s="13">
        <f t="shared" si="41"/>
        <v>25.273892125739781</v>
      </c>
      <c r="CW35" s="20">
        <f t="shared" si="13"/>
        <v>205.8960227856634</v>
      </c>
      <c r="CX35" s="59">
        <f t="shared" si="14"/>
        <v>499.22935611899675</v>
      </c>
      <c r="CY35" s="59">
        <f ca="1">AVERAGE(OFFSET($CX$3,0,0,'Données projet'!$E$13+1,1))-AVERAGE(OFFSET($H$3,0,0,'Données projet'!$E$13+1,1))</f>
        <v>196.25918971690442</v>
      </c>
      <c r="CZ35" s="59">
        <f t="shared" si="42"/>
        <v>148.35701313170205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11">
        <f t="shared" si="32"/>
        <v>5.1753558655448444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67">
        <f t="shared" si="1"/>
        <v>329.2453781324906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12.833333333333334</v>
      </c>
      <c r="N36" s="13">
        <f>IF('Données projet'!$A$36&gt;35,N35+M36-V35,IF(A36&lt;'Données projet'!$A$36,$K$205^A36,IF(A36='Données projet'!$A$36,'Données projet'!$B$36,N35+M36-V35)))</f>
        <v>209.49999999999997</v>
      </c>
      <c r="O36" s="13">
        <f>N36*VLOOKUP('Données projet'!$B$9,Paramètres!$A$1:$I$89,3,0)*VLOOKUP('Données projet'!$B$9,Paramètres!$A$1:$I$89,5,0)</f>
        <v>130.72799999999998</v>
      </c>
      <c r="P36" s="13">
        <f t="shared" si="33"/>
        <v>34.164524045585857</v>
      </c>
      <c r="Q36" s="20">
        <f t="shared" si="53"/>
        <v>287.18781271272866</v>
      </c>
      <c r="R36" s="59">
        <f t="shared" si="0"/>
        <v>580.52114604606197</v>
      </c>
      <c r="S36" s="59">
        <f ca="1">AVERAGE(OFFSET($R$3,0,0,'Données projet'!$E$9+1,1))-AVERAGE(OFFSET($H$3,0,0,'Données projet'!$E$9+1,1))</f>
        <v>180.31844548479722</v>
      </c>
      <c r="T36" s="59">
        <f t="shared" si="34"/>
        <v>273.83237400307223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40.19137451683973</v>
      </c>
      <c r="AB36" s="21">
        <f>EXP(-LN(2)/2)*AB35+(1-EXP(-LN(2)/2))/(LN(2)/2)*V36*Y36*VLOOKUP('Données projet'!$B$9,Paramètres!$A$1:$I$89,3,0)*0.475*44/12</f>
        <v>0</v>
      </c>
      <c r="AC36" s="22">
        <f t="shared" si="3"/>
        <v>40.19137451683973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</v>
      </c>
      <c r="AI36" s="13">
        <f>IF('Données projet'!$A$62&gt;35,AI35+AH36-AQ35,IF(A36&lt;'Données projet'!$A$62,$AF$205^A36,IF(A36='Données projet'!$A$62,'Données projet'!$B$62,AI35+AH36-AQ35)))</f>
        <v>223.99999999999994</v>
      </c>
      <c r="AJ36" s="13">
        <f>AI36*VLOOKUP('Données projet'!$B$10,Paramètres!$A$1:$I$89,3,0)*VLOOKUP('Données projet'!$B$10,Paramètres!$A$1:$I$89,5,0)</f>
        <v>122.30399999999996</v>
      </c>
      <c r="AK36" s="13">
        <f t="shared" si="35"/>
        <v>32.211773226559373</v>
      </c>
      <c r="AL36" s="20">
        <f t="shared" si="4"/>
        <v>269.11497170292415</v>
      </c>
      <c r="AM36" s="59">
        <f t="shared" si="5"/>
        <v>562.44830503625747</v>
      </c>
      <c r="AN36" s="59">
        <f ca="1">AVERAGE(OFFSET($AM$3,0,0,'Données projet'!$E$10+1,1))-AVERAGE(OFFSET($H$3,0,0,'Données projet'!$E$10+1,1))</f>
        <v>160.54301845388551</v>
      </c>
      <c r="AO36" s="59">
        <f t="shared" si="36"/>
        <v>272.6634844951584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9.3369390856153913</v>
      </c>
      <c r="AV36" s="21">
        <f>EXP(-LN(2)/25)*AV35+(1-EXP(-LN(2)/25))/(LN(2)/25)*Calculateur!AQ36*Calculateur!AS36*VLOOKUP('Données projet'!$B$10,Paramètres!$A$1:$I$89,3,0)*0.475*44/12</f>
        <v>68.20119776550824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77.538136851123625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16.131410256410259</v>
      </c>
      <c r="BD36" s="12">
        <f>IF('Données projet'!$A$88&gt;35,BD35+BC36-BL35,IF(A36&lt;'Données projet'!$A$88,$BA$205^A36,IF(A36='Données projet'!$A$88,'Données projet'!$B$88,BD35+BC36-BL35)))</f>
        <v>265.18653846153842</v>
      </c>
      <c r="BE36" s="13">
        <f>BD36*VLOOKUP('Données projet'!$B$11,Paramètres!$A$1:$I$89,3,0)*VLOOKUP('Données projet'!$B$11,Paramètres!$A$1:$I$89,5,0)</f>
        <v>124.10729999999997</v>
      </c>
      <c r="BF36" s="13">
        <f t="shared" si="37"/>
        <v>32.631075149258578</v>
      </c>
      <c r="BG36" s="20">
        <f t="shared" si="7"/>
        <v>272.98600338495862</v>
      </c>
      <c r="BH36" s="59">
        <f t="shared" si="8"/>
        <v>566.31933671829188</v>
      </c>
      <c r="BI36" s="59">
        <f ca="1">AVERAGE(OFFSET($BH$3,0,0,'Données projet'!$E$11+1,1))-AVERAGE(OFFSET($H$3,0,0,'Données projet'!$E$11+1,1))</f>
        <v>207.25176714718668</v>
      </c>
      <c r="BJ36" s="59">
        <f t="shared" si="38"/>
        <v>191.53228014642559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68.620424404221751</v>
      </c>
      <c r="CE36" s="59">
        <f t="shared" si="40"/>
        <v>203.12945099478918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36.572917000367973</v>
      </c>
      <c r="CL36" s="21">
        <f>EXP(-LN(2)/25)*CL35+(1-EXP(-LN(2)/25))/(LN(2)/25)*Calculateur!CG36*Calculateur!CI36*VLOOKUP('Données projet'!$B$12,Paramètres!$A$1:$I$89,3,0)*0.475*44/12</f>
        <v>7.0423078294272132</v>
      </c>
      <c r="CM36" s="21">
        <f>EXP(-LN(2)/2)*CM35+(1-EXP(-LN(2)/2))/(LN(2)/2)*CG36*CJ36*VLOOKUP('Données projet'!$B$12,Paramètres!$A$1:$I$89,3,0)*0.475*44/12</f>
        <v>0.15934003977681246</v>
      </c>
      <c r="CN36" s="22">
        <f t="shared" si="12"/>
        <v>43.774564869572004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9.5853846153846156</v>
      </c>
      <c r="CT36" s="12">
        <f>IF('Données projet'!$A$140&gt;35,CT35+CS36-DB35,IF(A36&lt;'Données projet'!$A$140,$CQ$205^A36,IF(A36='Données projet'!$A$140,'Données projet'!$B$140,CT35+CS36-DB35)))</f>
        <v>165.01</v>
      </c>
      <c r="CU36" s="17">
        <f>CT36*VLOOKUP('Données projet'!$B$13,Paramètres!$A$1:$I$89,3,0)*VLOOKUP('Données projet'!$B$13,Paramètres!$A$1:$I$89,5,0)</f>
        <v>98.67598000000001</v>
      </c>
      <c r="CV36" s="13">
        <f t="shared" si="41"/>
        <v>26.646323771521384</v>
      </c>
      <c r="CW36" s="20">
        <f t="shared" si="13"/>
        <v>218.2696790687331</v>
      </c>
      <c r="CX36" s="59">
        <f t="shared" si="14"/>
        <v>511.60301240206638</v>
      </c>
      <c r="CY36" s="59">
        <f ca="1">AVERAGE(OFFSET($CX$3,0,0,'Données projet'!$E$13+1,1))-AVERAGE(OFFSET($H$3,0,0,'Données projet'!$E$13+1,1))</f>
        <v>196.25918971690442</v>
      </c>
      <c r="CZ36" s="59">
        <f t="shared" si="42"/>
        <v>148.35701313170205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11">
        <f t="shared" si="32"/>
        <v>5.3136882579005116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67">
        <f t="shared" si="1"/>
        <v>330.3014070491767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12.833333333333334</v>
      </c>
      <c r="N37" s="13">
        <f>IF('Données projet'!$A$36&gt;35,N36+M37-V36,IF(A37&lt;'Données projet'!$A$36,$K$205^A37,IF(A37='Données projet'!$A$36,'Données projet'!$B$36,N36+M37-V36)))</f>
        <v>222.33333333333331</v>
      </c>
      <c r="O37" s="13">
        <f>N37*VLOOKUP('Données projet'!$B$9,Paramètres!$A$1:$I$89,3,0)*VLOOKUP('Données projet'!$B$9,Paramètres!$A$1:$I$89,5,0)</f>
        <v>138.73599999999999</v>
      </c>
      <c r="P37" s="13">
        <f t="shared" si="33"/>
        <v>36.007288175538044</v>
      </c>
      <c r="Q37" s="20">
        <f t="shared" si="53"/>
        <v>304.34456023906205</v>
      </c>
      <c r="R37" s="59">
        <f t="shared" si="0"/>
        <v>597.67789357239531</v>
      </c>
      <c r="S37" s="59">
        <f ca="1">AVERAGE(OFFSET($R$3,0,0,'Données projet'!$E$9+1,1))-AVERAGE(OFFSET($H$3,0,0,'Données projet'!$E$9+1,1))</f>
        <v>180.31844548479722</v>
      </c>
      <c r="T37" s="59">
        <f t="shared" si="34"/>
        <v>273.83237400307223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39.092339267104222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39.092339267104222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</v>
      </c>
      <c r="AI37" s="13">
        <f>IF('Données projet'!$A$62&gt;35,AI36+AH37-AQ36,IF(A37&lt;'Données projet'!$A$62,$AF$205^A37,IF(A37='Données projet'!$A$62,'Données projet'!$B$62,AI36+AH37-AQ36)))</f>
        <v>238.99999999999994</v>
      </c>
      <c r="AJ37" s="13">
        <f>AI37*VLOOKUP('Données projet'!$B$10,Paramètres!$A$1:$I$89,3,0)*VLOOKUP('Données projet'!$B$10,Paramètres!$A$1:$I$89,5,0)</f>
        <v>130.49399999999997</v>
      </c>
      <c r="AK37" s="13">
        <f t="shared" si="35"/>
        <v>34.110483018610772</v>
      </c>
      <c r="AL37" s="20">
        <f t="shared" si="4"/>
        <v>286.68614125741368</v>
      </c>
      <c r="AM37" s="59">
        <f t="shared" si="5"/>
        <v>580.019474590747</v>
      </c>
      <c r="AN37" s="59">
        <f ca="1">AVERAGE(OFFSET($AM$3,0,0,'Données projet'!$E$10+1,1))-AVERAGE(OFFSET($H$3,0,0,'Données projet'!$E$10+1,1))</f>
        <v>160.54301845388551</v>
      </c>
      <c r="AO37" s="59">
        <f t="shared" si="36"/>
        <v>272.6634844951584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9.1538474051169842</v>
      </c>
      <c r="AV37" s="21">
        <f>EXP(-LN(2)/25)*AV36+(1-EXP(-LN(2)/25))/(LN(2)/25)*Calculateur!AQ37*Calculateur!AS37*VLOOKUP('Données projet'!$B$10,Paramètres!$A$1:$I$89,3,0)*0.475*44/12</f>
        <v>66.336232426065308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75.4900798311823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16.131410256410259</v>
      </c>
      <c r="BD37" s="12">
        <f>IF('Données projet'!$A$88&gt;35,BD36+BC37-BL36,IF(A37&lt;'Données projet'!$A$88,$BA$205^A37,IF(A37='Données projet'!$A$88,'Données projet'!$B$88,BD36+BC37-BL36)))</f>
        <v>281.3179487179487</v>
      </c>
      <c r="BE37" s="13">
        <f>BD37*VLOOKUP('Données projet'!$B$11,Paramètres!$A$1:$I$89,3,0)*VLOOKUP('Données projet'!$B$11,Paramètres!$A$1:$I$89,5,0)</f>
        <v>131.65679999999998</v>
      </c>
      <c r="BF37" s="13">
        <f t="shared" si="37"/>
        <v>34.378914540413547</v>
      </c>
      <c r="BG37" s="20">
        <f t="shared" si="7"/>
        <v>289.17886949122021</v>
      </c>
      <c r="BH37" s="59">
        <f t="shared" si="8"/>
        <v>582.51220282455347</v>
      </c>
      <c r="BI37" s="59">
        <f ca="1">AVERAGE(OFFSET($BH$3,0,0,'Données projet'!$E$11+1,1))-AVERAGE(OFFSET($H$3,0,0,'Données projet'!$E$11+1,1))</f>
        <v>207.25176714718668</v>
      </c>
      <c r="BJ37" s="59">
        <f t="shared" si="38"/>
        <v>191.53228014642559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68.620424404221751</v>
      </c>
      <c r="CE37" s="59">
        <f t="shared" si="40"/>
        <v>203.12945099478918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35.855744405267465</v>
      </c>
      <c r="CL37" s="21">
        <f>EXP(-LN(2)/25)*CL36+(1-EXP(-LN(2)/25))/(LN(2)/25)*Calculateur!CG37*Calculateur!CI37*VLOOKUP('Données projet'!$B$12,Paramètres!$A$1:$I$89,3,0)*0.475*44/12</f>
        <v>6.8497355514926523</v>
      </c>
      <c r="CM37" s="21">
        <f>EXP(-LN(2)/2)*CM36+(1-EXP(-LN(2)/2))/(LN(2)/2)*CG37*CJ37*VLOOKUP('Données projet'!$B$12,Paramètres!$A$1:$I$89,3,0)*0.475*44/12</f>
        <v>0.11267042264071832</v>
      </c>
      <c r="CN37" s="22">
        <f t="shared" si="12"/>
        <v>42.818150379400834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9.5853846153846156</v>
      </c>
      <c r="CT37" s="12">
        <f>IF('Données projet'!$A$140&gt;35,CT36+CS37-DB36,IF(A37&lt;'Données projet'!$A$140,$CQ$205^A37,IF(A37='Données projet'!$A$140,'Données projet'!$B$140,CT36+CS37-DB36)))</f>
        <v>174.5953846153846</v>
      </c>
      <c r="CU37" s="17">
        <f>CT37*VLOOKUP('Données projet'!$B$13,Paramètres!$A$1:$I$89,3,0)*VLOOKUP('Données projet'!$B$13,Paramètres!$A$1:$I$89,5,0)</f>
        <v>104.40804</v>
      </c>
      <c r="CV37" s="13">
        <f t="shared" si="41"/>
        <v>28.009501333741351</v>
      </c>
      <c r="CW37" s="20">
        <f t="shared" si="13"/>
        <v>230.62721782293283</v>
      </c>
      <c r="CX37" s="59">
        <f t="shared" si="14"/>
        <v>523.96055115626609</v>
      </c>
      <c r="CY37" s="59">
        <f ca="1">AVERAGE(OFFSET($CX$3,0,0,'Données projet'!$E$13+1,1))-AVERAGE(OFFSET($H$3,0,0,'Données projet'!$E$13+1,1))</f>
        <v>196.25918971690442</v>
      </c>
      <c r="CZ37" s="59">
        <f t="shared" si="42"/>
        <v>148.35701313170205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11">
        <f t="shared" si="32"/>
        <v>5.4515478029518825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67">
        <f t="shared" si="1"/>
        <v>331.35661242347453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IF('Données projet'!$A$36&gt;35,N37+M38-V37,IF(A38&lt;'Données projet'!$A$36,$K$205^A38,IF(A38='Données projet'!$A$36,'Données projet'!$B$36,N37+M38-V37)))</f>
        <v>235.16666666666666</v>
      </c>
      <c r="O38" s="13">
        <f>N38*VLOOKUP('Données projet'!$B$9,Paramètres!$A$1:$I$89,3,0)*VLOOKUP('Données projet'!$B$9,Paramètres!$A$1:$I$89,5,0)</f>
        <v>146.744</v>
      </c>
      <c r="P38" s="13">
        <f t="shared" si="33"/>
        <v>37.837705514258651</v>
      </c>
      <c r="Q38" s="20">
        <f t="shared" si="53"/>
        <v>321.47980377066716</v>
      </c>
      <c r="R38" s="59">
        <f t="shared" si="0"/>
        <v>614.81313710400048</v>
      </c>
      <c r="S38" s="59">
        <f ca="1">AVERAGE(OFFSET($R$3,0,0,'Données projet'!$E$9+1,1))-AVERAGE(OFFSET($H$3,0,0,'Données projet'!$E$9+1,1))</f>
        <v>180.31844548479722</v>
      </c>
      <c r="T38" s="59">
        <f t="shared" si="34"/>
        <v>273.83237400307223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38.023357194068481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38.023357194068481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</v>
      </c>
      <c r="AI38" s="13">
        <f>IF('Données projet'!$A$62&gt;35,AI37+AH38-AQ37,IF(A38&lt;'Données projet'!$A$62,$AF$205^A38,IF(A38='Données projet'!$A$62,'Données projet'!$B$62,AI37+AH38-AQ37)))</f>
        <v>253.99999999999994</v>
      </c>
      <c r="AJ38" s="13">
        <f>AI38*VLOOKUP('Données projet'!$B$10,Paramètres!$A$1:$I$89,3,0)*VLOOKUP('Données projet'!$B$10,Paramètres!$A$1:$I$89,5,0)</f>
        <v>138.68399999999997</v>
      </c>
      <c r="AK38" s="13">
        <f t="shared" si="35"/>
        <v>35.995362862956796</v>
      </c>
      <c r="AL38" s="20">
        <f t="shared" si="4"/>
        <v>304.23322365298299</v>
      </c>
      <c r="AM38" s="59">
        <f t="shared" si="5"/>
        <v>597.5665569863163</v>
      </c>
      <c r="AN38" s="59">
        <f ca="1">AVERAGE(OFFSET($AM$3,0,0,'Données projet'!$E$10+1,1))-AVERAGE(OFFSET($H$3,0,0,'Données projet'!$E$10+1,1))</f>
        <v>160.54301845388551</v>
      </c>
      <c r="AO38" s="59">
        <f t="shared" si="36"/>
        <v>272.6634844951584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8.9743460407982525</v>
      </c>
      <c r="AV38" s="21">
        <f>EXP(-LN(2)/25)*AV37+(1-EXP(-LN(2)/25))/(LN(2)/25)*Calculateur!AQ38*Calculateur!AS38*VLOOKUP('Données projet'!$B$10,Paramètres!$A$1:$I$89,3,0)*0.475*44/12</f>
        <v>64.522264661903705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73.496610702701958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16.131410256410259</v>
      </c>
      <c r="BD38" s="12">
        <f>IF('Données projet'!$A$88&gt;35,BD37+BC38-BL37,IF(A38&lt;'Données projet'!$A$88,$BA$205^A38,IF(A38='Données projet'!$A$88,'Données projet'!$B$88,BD37+BC38-BL37)))</f>
        <v>297.44935897435897</v>
      </c>
      <c r="BE38" s="13">
        <f>BD38*VLOOKUP('Données projet'!$B$11,Paramètres!$A$1:$I$89,3,0)*VLOOKUP('Données projet'!$B$11,Paramètres!$A$1:$I$89,5,0)</f>
        <v>139.2063</v>
      </c>
      <c r="BF38" s="13">
        <f t="shared" si="37"/>
        <v>36.115119849784641</v>
      </c>
      <c r="BG38" s="20">
        <f t="shared" si="7"/>
        <v>305.35147290504159</v>
      </c>
      <c r="BH38" s="59">
        <f t="shared" si="8"/>
        <v>598.6848062383749</v>
      </c>
      <c r="BI38" s="59">
        <f ca="1">AVERAGE(OFFSET($BH$3,0,0,'Données projet'!$E$11+1,1))-AVERAGE(OFFSET($H$3,0,0,'Données projet'!$E$11+1,1))</f>
        <v>207.25176714718668</v>
      </c>
      <c r="BJ38" s="59">
        <f t="shared" si="38"/>
        <v>191.53228014642559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68.620424404221751</v>
      </c>
      <c r="CE38" s="59">
        <f t="shared" si="40"/>
        <v>203.12945099478918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35.152635127324793</v>
      </c>
      <c r="CL38" s="21">
        <f>EXP(-LN(2)/25)*CL37+(1-EXP(-LN(2)/25))/(LN(2)/25)*Calculateur!CG38*Calculateur!CI38*VLOOKUP('Données projet'!$B$12,Paramètres!$A$1:$I$89,3,0)*0.475*44/12</f>
        <v>6.6624291726251483</v>
      </c>
      <c r="CM38" s="21">
        <f>EXP(-LN(2)/2)*CM37+(1-EXP(-LN(2)/2))/(LN(2)/2)*CG38*CJ38*VLOOKUP('Données projet'!$B$12,Paramètres!$A$1:$I$89,3,0)*0.475*44/12</f>
        <v>7.9670019888406246E-2</v>
      </c>
      <c r="CN38" s="22">
        <f t="shared" si="12"/>
        <v>41.894734319838342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9.5853846153846156</v>
      </c>
      <c r="CT38" s="12">
        <f>IF('Données projet'!$A$140&gt;35,CT37+CS38-DB37,IF(A38&lt;'Données projet'!$A$140,$CQ$205^A38,IF(A38='Données projet'!$A$140,'Données projet'!$B$140,CT37+CS38-DB37)))</f>
        <v>184.18076923076922</v>
      </c>
      <c r="CU38" s="17">
        <f>CT38*VLOOKUP('Données projet'!$B$13,Paramètres!$A$1:$I$89,3,0)*VLOOKUP('Données projet'!$B$13,Paramètres!$A$1:$I$89,5,0)</f>
        <v>110.1401</v>
      </c>
      <c r="CV38" s="13">
        <f t="shared" si="41"/>
        <v>29.363990779670193</v>
      </c>
      <c r="CW38" s="20">
        <f t="shared" si="13"/>
        <v>242.96962477459226</v>
      </c>
      <c r="CX38" s="59">
        <f t="shared" si="14"/>
        <v>536.30295810792563</v>
      </c>
      <c r="CY38" s="59">
        <f ca="1">AVERAGE(OFFSET($CX$3,0,0,'Données projet'!$E$13+1,1))-AVERAGE(OFFSET($H$3,0,0,'Données projet'!$E$13+1,1))</f>
        <v>196.25918971690442</v>
      </c>
      <c r="CZ38" s="59">
        <f t="shared" si="42"/>
        <v>148.35701313170205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11">
        <f t="shared" si="32"/>
        <v>5.5889495622773833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67">
        <f t="shared" si="1"/>
        <v>332.4110204876331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248</v>
      </c>
      <c r="L39" s="12">
        <f>VLOOKUP(A39,'Données projet'!$A$35:$I$55,9,0)</f>
        <v>12.833333333333334</v>
      </c>
      <c r="M39" s="12">
        <f t="array" ref="M39">INDEX(L:L,MIN(IF(ISNUMBER(L39:L235),ROW(L39:L235),"")))</f>
        <v>12.833333333333334</v>
      </c>
      <c r="N39" s="13">
        <f>IF('Données projet'!$A$36&gt;35,N38+M39-V38,IF(A39&lt;'Données projet'!$A$36,$K$205^A39,IF(A39='Données projet'!$A$36,'Données projet'!$B$36,N38+M39-V38)))</f>
        <v>248</v>
      </c>
      <c r="O39" s="13">
        <f>N39*VLOOKUP('Données projet'!$B$9,Paramètres!$A$1:$I$89,3,0)*VLOOKUP('Données projet'!$B$9,Paramètres!$A$1:$I$89,5,0)</f>
        <v>154.75199999999998</v>
      </c>
      <c r="P39" s="13">
        <f t="shared" si="33"/>
        <v>39.656526650076415</v>
      </c>
      <c r="Q39" s="20">
        <f t="shared" si="53"/>
        <v>338.5948505822164</v>
      </c>
      <c r="R39" s="59">
        <f t="shared" si="0"/>
        <v>631.92818391554965</v>
      </c>
      <c r="S39" s="59">
        <f ca="1">AVERAGE(OFFSET($R$3,0,0,'Données projet'!$E$9+1,1))-AVERAGE(OFFSET($H$3,0,0,'Données projet'!$E$9+1,1))</f>
        <v>180.31844548479722</v>
      </c>
      <c r="T39" s="59">
        <f t="shared" si="34"/>
        <v>273.83237400307223</v>
      </c>
      <c r="U39" s="15">
        <f>IF(ISNA(VLOOKUP(A39,'Données projet'!$A$35:$I$55,3,0)),0,VLOOKUP(A39,'Données projet'!$A$35:$I$55,3,0))</f>
        <v>5</v>
      </c>
      <c r="V39" s="15">
        <f>IF(ISNA(VLOOKUP(A39,'Données projet'!$A$35:$I$55,4,0)),0,VLOOKUP(A39,'Données projet'!$A$35:$I$55,4,0))</f>
        <v>62</v>
      </c>
      <c r="W39" s="16">
        <f>IF(ISNA(VLOOKUP(A39,'Données projet'!$A$35:$I$55,5,0)),0%,VLOOKUP(A39,'Données projet'!$A$35:$I$55,5,0)*VLOOKUP('Données projet'!$B$9,Paramètres!$A$1:$I$89,7,0))</f>
        <v>0.18</v>
      </c>
      <c r="X39" s="16">
        <f>IF(ISNA(VLOOKUP(A39,'Données projet'!$A$35:$I$55,6,0)),0%,VLOOKUP(A39,'Données projet'!$A$35:$I$55,6,0)*VLOOKUP('Données projet'!$B$9,Paramètres!$A$1:$I$89,7,0))</f>
        <v>0.36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9.2379826173680861</v>
      </c>
      <c r="AA39" s="21">
        <f>EXP(-LN(2)/25)*AA38+(1-EXP(-LN(2)/25))/(LN(2)/25)*Calculateur!V39*Calculateur!X39*VLOOKUP('Données projet'!$B$9,Paramètres!$A$1:$I$89,3,0)*0.475*44/12</f>
        <v>55.386824811747573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64.624807429115663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269</v>
      </c>
      <c r="AG39" s="12">
        <f>VLOOKUP(A39,'Données projet'!$A$61:$I$81,9,0)</f>
        <v>15</v>
      </c>
      <c r="AH39" s="12">
        <f t="array" ref="AH39">INDEX(AG:AG,MIN(IF(ISNUMBER(AG39:AG235),ROW(AG39:AG235),"")))</f>
        <v>15</v>
      </c>
      <c r="AI39" s="13">
        <f>IF('Données projet'!$A$62&gt;35,AI38+AH39-AQ38,IF(A39&lt;'Données projet'!$A$62,$AF$205^A39,IF(A39='Données projet'!$A$62,'Données projet'!$B$62,AI38+AH39-AQ38)))</f>
        <v>268.99999999999994</v>
      </c>
      <c r="AJ39" s="13">
        <f>AI39*VLOOKUP('Données projet'!$B$10,Paramètres!$A$1:$I$89,3,0)*VLOOKUP('Données projet'!$B$10,Paramètres!$A$1:$I$89,5,0)</f>
        <v>146.87399999999997</v>
      </c>
      <c r="AK39" s="13">
        <f t="shared" si="35"/>
        <v>37.867322517591383</v>
      </c>
      <c r="AL39" s="20">
        <f t="shared" si="4"/>
        <v>321.75780338480496</v>
      </c>
      <c r="AM39" s="59">
        <f t="shared" si="5"/>
        <v>615.09113671813827</v>
      </c>
      <c r="AN39" s="59">
        <f ca="1">AVERAGE(OFFSET($AM$3,0,0,'Données projet'!$E$10+1,1))-AVERAGE(OFFSET($H$3,0,0,'Données projet'!$E$10+1,1))</f>
        <v>160.54301845388551</v>
      </c>
      <c r="AO39" s="59">
        <f t="shared" si="36"/>
        <v>272.6634844951584</v>
      </c>
      <c r="AP39" s="15">
        <f>IF(ISNA(VLOOKUP(A39,'Données projet'!$A$61:$I$81,3,0)),0,VLOOKUP(A39,'Données projet'!$A$61:$I$81,3,0))</f>
        <v>6</v>
      </c>
      <c r="AQ39" s="15">
        <f>IF(ISNA(VLOOKUP(A39,'Données projet'!$A$61:$I$81,4,0)),0,VLOOKUP(A39,'Données projet'!$A$61:$I$81,4,0))</f>
        <v>75</v>
      </c>
      <c r="AR39" s="16">
        <f>IF(ISNA(VLOOKUP(A39,'Données projet'!$A$61:$I$81,5,0)),0%,VLOOKUP(A39,'Données projet'!$A$61:$I$81,5,0)*VLOOKUP('Données projet'!$B$10,Paramètres!$A$1:$I$89,7,0))</f>
        <v>0.18</v>
      </c>
      <c r="AS39" s="16">
        <f>IF(ISNA(VLOOKUP(A39,'Données projet'!$A$61:$I$81,6,0)),0%,VLOOKUP(A39,'Données projet'!$A$61:$I$81,6,0)*VLOOKUP('Données projet'!$B$10,Paramètres!$A$1:$I$89,7,0))</f>
        <v>0.36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18.576471189793637</v>
      </c>
      <c r="AV39" s="21">
        <f>EXP(-LN(2)/25)*AV38+(1-EXP(-LN(2)/25))/(LN(2)/25)*Calculateur!AQ39*Calculateur!AS39*VLOOKUP('Données projet'!$B$10,Paramètres!$A$1:$I$89,3,0)*0.475*44/12</f>
        <v>82.237112880857168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100.8135840706508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16.131410256410259</v>
      </c>
      <c r="BD39" s="12">
        <f>IF('Données projet'!$A$88&gt;35,BD38+BC39-BL38,IF(A39&lt;'Données projet'!$A$88,$BA$205^A39,IF(A39='Données projet'!$A$88,'Données projet'!$B$88,BD38+BC39-BL38)))</f>
        <v>313.58076923076925</v>
      </c>
      <c r="BE39" s="13">
        <f>BD39*VLOOKUP('Données projet'!$B$11,Paramètres!$A$1:$I$89,3,0)*VLOOKUP('Données projet'!$B$11,Paramètres!$A$1:$I$89,5,0)</f>
        <v>146.75580000000002</v>
      </c>
      <c r="BF39" s="13">
        <f t="shared" si="37"/>
        <v>37.840393952855997</v>
      </c>
      <c r="BG39" s="20">
        <f t="shared" si="7"/>
        <v>321.5050378012242</v>
      </c>
      <c r="BH39" s="59">
        <f t="shared" si="8"/>
        <v>614.83837113455752</v>
      </c>
      <c r="BI39" s="59">
        <f ca="1">AVERAGE(OFFSET($BH$3,0,0,'Données projet'!$E$11+1,1))-AVERAGE(OFFSET($H$3,0,0,'Données projet'!$E$11+1,1))</f>
        <v>207.25176714718668</v>
      </c>
      <c r="BJ39" s="59">
        <f t="shared" si="38"/>
        <v>191.53228014642559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68.620424404221751</v>
      </c>
      <c r="CE39" s="59">
        <f t="shared" si="40"/>
        <v>203.12945099478918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34.463313393468262</v>
      </c>
      <c r="CL39" s="21">
        <f>EXP(-LN(2)/25)*CL38+(1-EXP(-LN(2)/25))/(LN(2)/25)*Calculateur!CG39*Calculateur!CI39*VLOOKUP('Données projet'!$B$12,Paramètres!$A$1:$I$89,3,0)*0.475*44/12</f>
        <v>6.4802446965377909</v>
      </c>
      <c r="CM39" s="21">
        <f>EXP(-LN(2)/2)*CM38+(1-EXP(-LN(2)/2))/(LN(2)/2)*CG39*CJ39*VLOOKUP('Données projet'!$B$12,Paramètres!$A$1:$I$89,3,0)*0.475*44/12</f>
        <v>5.6335211320359166E-2</v>
      </c>
      <c r="CN39" s="22">
        <f t="shared" si="12"/>
        <v>40.999893301326409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9.5853846153846156</v>
      </c>
      <c r="CT39" s="12">
        <f>IF('Données projet'!$A$140&gt;35,CT38+CS39-DB38,IF(A39&lt;'Données projet'!$A$140,$CQ$205^A39,IF(A39='Données projet'!$A$140,'Données projet'!$B$140,CT38+CS39-DB38)))</f>
        <v>193.76615384615383</v>
      </c>
      <c r="CU39" s="17">
        <f>CT39*VLOOKUP('Données projet'!$B$13,Paramètres!$A$1:$I$89,3,0)*VLOOKUP('Données projet'!$B$13,Paramètres!$A$1:$I$89,5,0)</f>
        <v>115.87215999999999</v>
      </c>
      <c r="CV39" s="13">
        <f t="shared" si="41"/>
        <v>30.710295839623043</v>
      </c>
      <c r="CW39" s="20">
        <f t="shared" si="13"/>
        <v>255.29777725401013</v>
      </c>
      <c r="CX39" s="59">
        <f t="shared" si="14"/>
        <v>548.63111058734341</v>
      </c>
      <c r="CY39" s="59">
        <f ca="1">AVERAGE(OFFSET($CX$3,0,0,'Données projet'!$E$13+1,1))-AVERAGE(OFFSET($H$3,0,0,'Données projet'!$E$13+1,1))</f>
        <v>196.25918971690442</v>
      </c>
      <c r="CZ39" s="59">
        <f t="shared" si="42"/>
        <v>148.35701313170205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11">
        <f t="shared" si="32"/>
        <v>5.7259077130880893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67">
        <f t="shared" si="1"/>
        <v>333.46465593362842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11.5</v>
      </c>
      <c r="N40" s="13">
        <f>IF('Données projet'!$A$36&gt;35,N39+M40-V39,IF(A40&lt;'Données projet'!$A$36,$K$205^A40,IF(A40='Données projet'!$A$36,'Données projet'!$B$36,N39+M40-V39)))</f>
        <v>197.5</v>
      </c>
      <c r="O40" s="13">
        <f>N40*VLOOKUP('Données projet'!$B$9,Paramètres!$A$1:$I$89,3,0)*VLOOKUP('Données projet'!$B$9,Paramètres!$A$1:$I$89,5,0)</f>
        <v>123.24</v>
      </c>
      <c r="P40" s="13">
        <f t="shared" si="33"/>
        <v>32.429500380369056</v>
      </c>
      <c r="Q40" s="20">
        <f t="shared" si="53"/>
        <v>271.12437982914275</v>
      </c>
      <c r="R40" s="59">
        <f t="shared" si="0"/>
        <v>564.45771316247601</v>
      </c>
      <c r="S40" s="59">
        <f ca="1">AVERAGE(OFFSET($R$3,0,0,'Données projet'!$E$9+1,1))-AVERAGE(OFFSET($H$3,0,0,'Données projet'!$E$9+1,1))</f>
        <v>180.31844548479722</v>
      </c>
      <c r="T40" s="59">
        <f t="shared" si="34"/>
        <v>273.83237400307223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9.0568314128545229</v>
      </c>
      <c r="AA40" s="21">
        <f>EXP(-LN(2)/25)*AA39+(1-EXP(-LN(2)/25))/(LN(2)/25)*Calculateur!V40*Calculateur!X40*VLOOKUP('Données projet'!$B$9,Paramètres!$A$1:$I$89,3,0)*0.475*44/12</f>
        <v>53.872269174603808</v>
      </c>
      <c r="AB40" s="21">
        <f>EXP(-LN(2)/2)*AB39+(1-EXP(-LN(2)/2))/(LN(2)/2)*V40*Y40*VLOOKUP('Données projet'!$B$9,Paramètres!$A$1:$I$89,3,0)*0.475*44/12</f>
        <v>0</v>
      </c>
      <c r="AC40" s="22">
        <f t="shared" si="3"/>
        <v>62.929100587458329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</v>
      </c>
      <c r="AI40" s="13">
        <f>IF('Données projet'!$A$62&gt;35,AI39+AH40-AQ39,IF(A40&lt;'Données projet'!$A$62,$AF$205^A40,IF(A40='Données projet'!$A$62,'Données projet'!$B$62,AI39+AH40-AQ39)))</f>
        <v>207.99999999999994</v>
      </c>
      <c r="AJ40" s="13">
        <f>AI40*VLOOKUP('Données projet'!$B$10,Paramètres!$A$1:$I$89,3,0)*VLOOKUP('Données projet'!$B$10,Paramètres!$A$1:$I$89,5,0)</f>
        <v>113.56799999999997</v>
      </c>
      <c r="AK40" s="13">
        <f t="shared" si="35"/>
        <v>30.170065062058185</v>
      </c>
      <c r="AL40" s="20">
        <f t="shared" si="4"/>
        <v>250.34379664975128</v>
      </c>
      <c r="AM40" s="59">
        <f t="shared" si="5"/>
        <v>543.67712998308457</v>
      </c>
      <c r="AN40" s="59">
        <f ca="1">AVERAGE(OFFSET($AM$3,0,0,'Données projet'!$E$10+1,1))-AVERAGE(OFFSET($H$3,0,0,'Données projet'!$E$10+1,1))</f>
        <v>160.54301845388551</v>
      </c>
      <c r="AO40" s="59">
        <f t="shared" si="36"/>
        <v>272.6634844951584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18.212197920290411</v>
      </c>
      <c r="AV40" s="21">
        <f>EXP(-LN(2)/25)*AV39+(1-EXP(-LN(2)/25))/(LN(2)/25)*Calculateur!AQ40*Calculateur!AS40*VLOOKUP('Données projet'!$B$10,Paramètres!$A$1:$I$89,3,0)*0.475*44/12</f>
        <v>79.988334704468315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98.200532624758722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16.131410256410259</v>
      </c>
      <c r="BD40" s="12">
        <f>IF('Données projet'!$A$88&gt;35,BD39+BC40-BL39,IF(A40&lt;'Données projet'!$A$88,$BA$205^A40,IF(A40='Données projet'!$A$88,'Données projet'!$B$88,BD39+BC40-BL39)))</f>
        <v>329.71217948717953</v>
      </c>
      <c r="BE40" s="13">
        <f>BD40*VLOOKUP('Données projet'!$B$11,Paramètres!$A$1:$I$89,3,0)*VLOOKUP('Données projet'!$B$11,Paramètres!$A$1:$I$89,5,0)</f>
        <v>154.30530000000002</v>
      </c>
      <c r="BF40" s="13">
        <f t="shared" si="37"/>
        <v>39.555363325024224</v>
      </c>
      <c r="BG40" s="20">
        <f t="shared" si="7"/>
        <v>337.64065529108387</v>
      </c>
      <c r="BH40" s="59">
        <f t="shared" si="8"/>
        <v>630.97398862441719</v>
      </c>
      <c r="BI40" s="59">
        <f ca="1">AVERAGE(OFFSET($BH$3,0,0,'Données projet'!$E$11+1,1))-AVERAGE(OFFSET($H$3,0,0,'Données projet'!$E$11+1,1))</f>
        <v>207.25176714718668</v>
      </c>
      <c r="BJ40" s="59">
        <f t="shared" si="38"/>
        <v>191.53228014642559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68.620424404221751</v>
      </c>
      <c r="CE40" s="59">
        <f t="shared" si="40"/>
        <v>203.12945099478918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33.787508838367913</v>
      </c>
      <c r="CL40" s="21">
        <f>EXP(-LN(2)/25)*CL39+(1-EXP(-LN(2)/25))/(LN(2)/25)*Calculateur!CG40*Calculateur!CI40*VLOOKUP('Données projet'!$B$12,Paramètres!$A$1:$I$89,3,0)*0.475*44/12</f>
        <v>6.3030420645297074</v>
      </c>
      <c r="CM40" s="21">
        <f>EXP(-LN(2)/2)*CM39+(1-EXP(-LN(2)/2))/(LN(2)/2)*CG40*CJ40*VLOOKUP('Données projet'!$B$12,Paramètres!$A$1:$I$89,3,0)*0.475*44/12</f>
        <v>3.983500994420313E-2</v>
      </c>
      <c r="CN40" s="22">
        <f t="shared" si="12"/>
        <v>40.130385912841824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9.5853846153846156</v>
      </c>
      <c r="CT40" s="12">
        <f>IF('Données projet'!$A$140&gt;35,CT39+CS40-DB39,IF(A40&lt;'Données projet'!$A$140,$CQ$205^A40,IF(A40='Données projet'!$A$140,'Données projet'!$B$140,CT39+CS40-DB39)))</f>
        <v>203.35153846153844</v>
      </c>
      <c r="CU40" s="17">
        <f>CT40*VLOOKUP('Données projet'!$B$13,Paramètres!$A$1:$I$89,3,0)*VLOOKUP('Données projet'!$B$13,Paramètres!$A$1:$I$89,5,0)</f>
        <v>121.60421999999998</v>
      </c>
      <c r="CV40" s="13">
        <f t="shared" si="41"/>
        <v>32.048867590550891</v>
      </c>
      <c r="CW40" s="20">
        <f t="shared" si="13"/>
        <v>267.61246088687614</v>
      </c>
      <c r="CX40" s="59">
        <f t="shared" si="14"/>
        <v>560.94579422020945</v>
      </c>
      <c r="CY40" s="59">
        <f ca="1">AVERAGE(OFFSET($CX$3,0,0,'Données projet'!$E$13+1,1))-AVERAGE(OFFSET($H$3,0,0,'Données projet'!$E$13+1,1))</f>
        <v>196.25918971690442</v>
      </c>
      <c r="CZ40" s="59">
        <f t="shared" si="42"/>
        <v>148.35701313170205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11">
        <f t="shared" si="32"/>
        <v>5.862435622634961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67">
        <f t="shared" si="1"/>
        <v>334.51754204275585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11.5</v>
      </c>
      <c r="N41" s="13">
        <f>IF('Données projet'!$A$36&gt;35,N40+M41-V40,IF(A41&lt;'Données projet'!$A$36,$K$205^A41,IF(A41='Données projet'!$A$36,'Données projet'!$B$36,N40+M41-V40)))</f>
        <v>209</v>
      </c>
      <c r="O41" s="13">
        <f>N41*VLOOKUP('Données projet'!$B$9,Paramètres!$A$1:$I$89,3,0)*VLOOKUP('Données projet'!$B$9,Paramètres!$A$1:$I$89,5,0)</f>
        <v>130.416</v>
      </c>
      <c r="P41" s="13">
        <f t="shared" si="33"/>
        <v>34.092466837179941</v>
      </c>
      <c r="Q41" s="20">
        <f t="shared" si="53"/>
        <v>286.51891307475506</v>
      </c>
      <c r="R41" s="59">
        <f t="shared" si="0"/>
        <v>579.85224640808838</v>
      </c>
      <c r="S41" s="59">
        <f ca="1">AVERAGE(OFFSET($R$3,0,0,'Données projet'!$E$9+1,1))-AVERAGE(OFFSET($H$3,0,0,'Données projet'!$E$9+1,1))</f>
        <v>180.31844548479722</v>
      </c>
      <c r="T41" s="59">
        <f t="shared" si="34"/>
        <v>273.83237400307223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8.8792324729701466</v>
      </c>
      <c r="AA41" s="21">
        <f>EXP(-LN(2)/25)*AA40+(1-EXP(-LN(2)/25))/(LN(2)/25)*Calculateur!V41*Calculateur!X41*VLOOKUP('Données projet'!$B$9,Paramètres!$A$1:$I$89,3,0)*0.475*44/12</f>
        <v>52.399129141004757</v>
      </c>
      <c r="AB41" s="21">
        <f>EXP(-LN(2)/2)*AB40+(1-EXP(-LN(2)/2))/(LN(2)/2)*V41*Y41*VLOOKUP('Données projet'!$B$9,Paramètres!$A$1:$I$89,3,0)*0.475*44/12</f>
        <v>0</v>
      </c>
      <c r="AC41" s="22">
        <f t="shared" si="3"/>
        <v>61.278361613974901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</v>
      </c>
      <c r="AI41" s="13">
        <f>IF('Données projet'!$A$62&gt;35,AI40+AH41-AQ40,IF(A41&lt;'Données projet'!$A$62,$AF$205^A41,IF(A41='Données projet'!$A$62,'Données projet'!$B$62,AI40+AH41-AQ40)))</f>
        <v>221.99999999999994</v>
      </c>
      <c r="AJ41" s="13">
        <f>AI41*VLOOKUP('Données projet'!$B$10,Paramètres!$A$1:$I$89,3,0)*VLOOKUP('Données projet'!$B$10,Paramètres!$A$1:$I$89,5,0)</f>
        <v>121.21199999999996</v>
      </c>
      <c r="AK41" s="13">
        <f t="shared" si="35"/>
        <v>31.95751284761706</v>
      </c>
      <c r="AL41" s="20">
        <f t="shared" si="4"/>
        <v>266.77023487626633</v>
      </c>
      <c r="AM41" s="59">
        <f t="shared" si="5"/>
        <v>560.10356820959964</v>
      </c>
      <c r="AN41" s="59">
        <f ca="1">AVERAGE(OFFSET($AM$3,0,0,'Données projet'!$E$10+1,1))-AVERAGE(OFFSET($H$3,0,0,'Données projet'!$E$10+1,1))</f>
        <v>160.54301845388551</v>
      </c>
      <c r="AO41" s="59">
        <f t="shared" si="36"/>
        <v>272.6634844951584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17.85506782741739</v>
      </c>
      <c r="AV41" s="21">
        <f>EXP(-LN(2)/25)*AV40+(1-EXP(-LN(2)/25))/(LN(2)/25)*Calculateur!AQ41*Calculateur!AS41*VLOOKUP('Données projet'!$B$10,Paramètres!$A$1:$I$89,3,0)*0.475*44/12</f>
        <v>77.801049485570928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95.656117312988314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16.131410256410259</v>
      </c>
      <c r="BD41" s="12">
        <f>IF('Données projet'!$A$88&gt;35,BD40+BC41-BL40,IF(A41&lt;'Données projet'!$A$88,$BA$205^A41,IF(A41='Données projet'!$A$88,'Données projet'!$B$88,BD40+BC41-BL40)))</f>
        <v>345.8435897435898</v>
      </c>
      <c r="BE41" s="13">
        <f>BD41*VLOOKUP('Données projet'!$B$11,Paramètres!$A$1:$I$89,3,0)*VLOOKUP('Données projet'!$B$11,Paramètres!$A$1:$I$89,5,0)</f>
        <v>161.85480000000001</v>
      </c>
      <c r="BF41" s="13">
        <f t="shared" si="37"/>
        <v>41.260589676862445</v>
      </c>
      <c r="BG41" s="20">
        <f t="shared" si="7"/>
        <v>353.75930368720213</v>
      </c>
      <c r="BH41" s="59">
        <f t="shared" si="8"/>
        <v>647.09263702053545</v>
      </c>
      <c r="BI41" s="59">
        <f ca="1">AVERAGE(OFFSET($BH$3,0,0,'Données projet'!$E$11+1,1))-AVERAGE(OFFSET($H$3,0,0,'Données projet'!$E$11+1,1))</f>
        <v>207.25176714718668</v>
      </c>
      <c r="BJ41" s="59">
        <f t="shared" si="38"/>
        <v>191.53228014642559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68.620424404221751</v>
      </c>
      <c r="CE41" s="59">
        <f t="shared" si="40"/>
        <v>203.12945099478918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33.124956398393003</v>
      </c>
      <c r="CL41" s="21">
        <f>EXP(-LN(2)/25)*CL40+(1-EXP(-LN(2)/25))/(LN(2)/25)*Calculateur!CG41*Calculateur!CI41*VLOOKUP('Données projet'!$B$12,Paramètres!$A$1:$I$89,3,0)*0.475*44/12</f>
        <v>6.1306850478125661</v>
      </c>
      <c r="CM41" s="21">
        <f>EXP(-LN(2)/2)*CM40+(1-EXP(-LN(2)/2))/(LN(2)/2)*CG41*CJ41*VLOOKUP('Données projet'!$B$12,Paramètres!$A$1:$I$89,3,0)*0.475*44/12</f>
        <v>2.816760566017959E-2</v>
      </c>
      <c r="CN41" s="22">
        <f t="shared" si="12"/>
        <v>39.283809051865752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9.5853846153846156</v>
      </c>
      <c r="CT41" s="12">
        <f>IF('Données projet'!$A$140&gt;35,CT40+CS41-DB40,IF(A41&lt;'Données projet'!$A$140,$CQ$205^A41,IF(A41='Données projet'!$A$140,'Données projet'!$B$140,CT40+CS41-DB40)))</f>
        <v>212.93692307692305</v>
      </c>
      <c r="CU41" s="17">
        <f>CT41*VLOOKUP('Données projet'!$B$13,Paramètres!$A$1:$I$89,3,0)*VLOOKUP('Données projet'!$B$13,Paramètres!$A$1:$I$89,5,0)</f>
        <v>127.33628</v>
      </c>
      <c r="CV41" s="13">
        <f t="shared" si="41"/>
        <v>33.380112181494603</v>
      </c>
      <c r="CW41" s="20">
        <f t="shared" si="13"/>
        <v>279.91438304943642</v>
      </c>
      <c r="CX41" s="59">
        <f t="shared" si="14"/>
        <v>573.2477163827698</v>
      </c>
      <c r="CY41" s="59">
        <f ca="1">AVERAGE(OFFSET($CX$3,0,0,'Données projet'!$E$13+1,1))-AVERAGE(OFFSET($H$3,0,0,'Données projet'!$E$13+1,1))</f>
        <v>196.25918971690442</v>
      </c>
      <c r="CZ41" s="59">
        <f t="shared" si="42"/>
        <v>148.35701313170205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11">
        <f t="shared" si="32"/>
        <v>5.9985459145634135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67">
        <f t="shared" si="1"/>
        <v>335.56970080119794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11.5</v>
      </c>
      <c r="N42" s="13">
        <f>IF('Données projet'!$A$36&gt;35,N41+M42-V41,IF(A42&lt;'Données projet'!$A$36,$K$205^A42,IF(A42='Données projet'!$A$36,'Données projet'!$B$36,N41+M42-V41)))</f>
        <v>220.5</v>
      </c>
      <c r="O42" s="13">
        <f>N42*VLOOKUP('Données projet'!$B$9,Paramètres!$A$1:$I$89,3,0)*VLOOKUP('Données projet'!$B$9,Paramètres!$A$1:$I$89,5,0)</f>
        <v>137.59199999999998</v>
      </c>
      <c r="P42" s="13">
        <f t="shared" si="33"/>
        <v>35.744810729505772</v>
      </c>
      <c r="Q42" s="20">
        <f t="shared" si="53"/>
        <v>301.89494535388923</v>
      </c>
      <c r="R42" s="59">
        <f t="shared" si="0"/>
        <v>595.22827868722254</v>
      </c>
      <c r="S42" s="59">
        <f ca="1">AVERAGE(OFFSET($R$3,0,0,'Données projet'!$E$9+1,1))-AVERAGE(OFFSET($H$3,0,0,'Données projet'!$E$9+1,1))</f>
        <v>180.31844548479722</v>
      </c>
      <c r="T42" s="59">
        <f t="shared" si="34"/>
        <v>273.83237400307223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8.7051161399722456</v>
      </c>
      <c r="AA42" s="21">
        <f>EXP(-LN(2)/25)*AA41+(1-EXP(-LN(2)/25))/(LN(2)/25)*Calculateur!V42*Calculateur!X42*VLOOKUP('Données projet'!$B$9,Paramètres!$A$1:$I$89,3,0)*0.475*44/12</f>
        <v>50.966272199093538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59.671388339065786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</v>
      </c>
      <c r="AI42" s="13">
        <f>IF('Données projet'!$A$62&gt;35,AI41+AH42-AQ41,IF(A42&lt;'Données projet'!$A$62,$AF$205^A42,IF(A42='Données projet'!$A$62,'Données projet'!$B$62,AI41+AH42-AQ41)))</f>
        <v>235.99999999999994</v>
      </c>
      <c r="AJ42" s="13">
        <f>AI42*VLOOKUP('Données projet'!$B$10,Paramètres!$A$1:$I$89,3,0)*VLOOKUP('Données projet'!$B$10,Paramètres!$A$1:$I$89,5,0)</f>
        <v>128.85599999999997</v>
      </c>
      <c r="AK42" s="13">
        <f t="shared" si="35"/>
        <v>33.731878688740906</v>
      </c>
      <c r="AL42" s="20">
        <f t="shared" si="4"/>
        <v>283.1738887162237</v>
      </c>
      <c r="AM42" s="59">
        <f t="shared" si="5"/>
        <v>576.50722204955696</v>
      </c>
      <c r="AN42" s="59">
        <f ca="1">AVERAGE(OFFSET($AM$3,0,0,'Données projet'!$E$10+1,1))-AVERAGE(OFFSET($H$3,0,0,'Données projet'!$E$10+1,1))</f>
        <v>160.54301845388551</v>
      </c>
      <c r="AO42" s="59">
        <f t="shared" si="36"/>
        <v>272.6634844951584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17.504940837837761</v>
      </c>
      <c r="AV42" s="21">
        <f>EXP(-LN(2)/25)*AV41+(1-EXP(-LN(2)/25))/(LN(2)/25)*Calculateur!AQ42*Calculateur!AS42*VLOOKUP('Données projet'!$B$10,Paramètres!$A$1:$I$89,3,0)*0.475*44/12</f>
        <v>75.673575696008612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93.178516533846377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16.131410256410259</v>
      </c>
      <c r="BD42" s="12">
        <f>IF('Données projet'!$A$88&gt;35,BD41+BC42-BL41,IF(A42&lt;'Données projet'!$A$88,$BA$205^A42,IF(A42='Données projet'!$A$88,'Données projet'!$B$88,BD41+BC42-BL41)))</f>
        <v>361.97500000000008</v>
      </c>
      <c r="BE42" s="13">
        <f>BD42*VLOOKUP('Données projet'!$B$11,Paramètres!$A$1:$I$89,3,0)*VLOOKUP('Données projet'!$B$11,Paramètres!$A$1:$I$89,5,0)</f>
        <v>169.40430000000006</v>
      </c>
      <c r="BF42" s="13">
        <f t="shared" si="37"/>
        <v>42.956579357099159</v>
      </c>
      <c r="BG42" s="20">
        <f t="shared" si="7"/>
        <v>369.86186488028119</v>
      </c>
      <c r="BH42" s="59">
        <f t="shared" si="8"/>
        <v>663.1951982136145</v>
      </c>
      <c r="BI42" s="59">
        <f ca="1">AVERAGE(OFFSET($BH$3,0,0,'Données projet'!$E$11+1,1))-AVERAGE(OFFSET($H$3,0,0,'Données projet'!$E$11+1,1))</f>
        <v>207.25176714718668</v>
      </c>
      <c r="BJ42" s="59">
        <f t="shared" si="38"/>
        <v>191.53228014642559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68.620424404221751</v>
      </c>
      <c r="CE42" s="59">
        <f t="shared" si="40"/>
        <v>203.12945099478918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32.47539620764892</v>
      </c>
      <c r="CL42" s="21">
        <f>EXP(-LN(2)/25)*CL41+(1-EXP(-LN(2)/25))/(LN(2)/25)*Calculateur!CG42*Calculateur!CI42*VLOOKUP('Données projet'!$B$12,Paramètres!$A$1:$I$89,3,0)*0.475*44/12</f>
        <v>5.9630411427814165</v>
      </c>
      <c r="CM42" s="21">
        <f>EXP(-LN(2)/2)*CM41+(1-EXP(-LN(2)/2))/(LN(2)/2)*CG42*CJ42*VLOOKUP('Données projet'!$B$12,Paramètres!$A$1:$I$89,3,0)*0.475*44/12</f>
        <v>1.9917504972101568E-2</v>
      </c>
      <c r="CN42" s="22">
        <f t="shared" si="12"/>
        <v>38.458354855402433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9.5853846153846156</v>
      </c>
      <c r="CT42" s="12">
        <f>IF('Données projet'!$A$140&gt;35,CT41+CS42-DB41,IF(A42&lt;'Données projet'!$A$140,$CQ$205^A42,IF(A42='Données projet'!$A$140,'Données projet'!$B$140,CT41+CS42-DB41)))</f>
        <v>222.52230769230766</v>
      </c>
      <c r="CU42" s="17">
        <f>CT42*VLOOKUP('Données projet'!$B$13,Paramètres!$A$1:$I$89,3,0)*VLOOKUP('Données projet'!$B$13,Paramètres!$A$1:$I$89,5,0)</f>
        <v>133.06834000000001</v>
      </c>
      <c r="CV42" s="13">
        <f t="shared" si="41"/>
        <v>34.704397128684477</v>
      </c>
      <c r="CW42" s="20">
        <f t="shared" si="13"/>
        <v>292.2041838324588</v>
      </c>
      <c r="CX42" s="59">
        <f t="shared" si="14"/>
        <v>585.53751716579211</v>
      </c>
      <c r="CY42" s="59">
        <f ca="1">AVERAGE(OFFSET($CX$3,0,0,'Données projet'!$E$13+1,1))-AVERAGE(OFFSET($H$3,0,0,'Données projet'!$E$13+1,1))</f>
        <v>196.25918971690442</v>
      </c>
      <c r="CZ42" s="59">
        <f t="shared" si="42"/>
        <v>148.35701313170205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11">
        <f t="shared" si="32"/>
        <v>6.1342505282708037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67">
        <f t="shared" si="1"/>
        <v>336.62115300340497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11.5</v>
      </c>
      <c r="N43" s="13">
        <f>IF('Données projet'!$A$36&gt;35,N42+M43-V42,IF(A43&lt;'Données projet'!$A$36,$K$205^A43,IF(A43='Données projet'!$A$36,'Données projet'!$B$36,N42+M43-V42)))</f>
        <v>232</v>
      </c>
      <c r="O43" s="13">
        <f>N43*VLOOKUP('Données projet'!$B$9,Paramètres!$A$1:$I$89,3,0)*VLOOKUP('Données projet'!$B$9,Paramètres!$A$1:$I$89,5,0)</f>
        <v>144.768</v>
      </c>
      <c r="P43" s="13">
        <f t="shared" si="33"/>
        <v>37.387149255707826</v>
      </c>
      <c r="Q43" s="20">
        <f t="shared" si="53"/>
        <v>317.25355162035777</v>
      </c>
      <c r="R43" s="59">
        <f t="shared" si="0"/>
        <v>610.58688495369108</v>
      </c>
      <c r="S43" s="59">
        <f ca="1">AVERAGE(OFFSET($R$3,0,0,'Données projet'!$E$9+1,1))-AVERAGE(OFFSET($H$3,0,0,'Données projet'!$E$9+1,1))</f>
        <v>180.31844548479722</v>
      </c>
      <c r="T43" s="59">
        <f t="shared" si="34"/>
        <v>273.83237400307223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8.5344141220639553</v>
      </c>
      <c r="AA43" s="21">
        <f>EXP(-LN(2)/25)*AA42+(1-EXP(-LN(2)/25))/(LN(2)/25)*Calculateur!V43*Calculateur!X43*VLOOKUP('Données projet'!$B$9,Paramètres!$A$1:$I$89,3,0)*0.475*44/12</f>
        <v>49.572596805609557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58.107010927673514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14</v>
      </c>
      <c r="AI43" s="13">
        <f>IF('Données projet'!$A$62&gt;35,AI42+AH43-AQ42,IF(A43&lt;'Données projet'!$A$62,$AF$205^A43,IF(A43='Données projet'!$A$62,'Données projet'!$B$62,AI42+AH43-AQ42)))</f>
        <v>249.99999999999994</v>
      </c>
      <c r="AJ43" s="13">
        <f>AI43*VLOOKUP('Données projet'!$B$10,Paramètres!$A$1:$I$89,3,0)*VLOOKUP('Données projet'!$B$10,Paramètres!$A$1:$I$89,5,0)</f>
        <v>136.49999999999997</v>
      </c>
      <c r="AK43" s="13">
        <f t="shared" si="35"/>
        <v>35.494027024087352</v>
      </c>
      <c r="AL43" s="20">
        <f t="shared" si="4"/>
        <v>299.55626373361878</v>
      </c>
      <c r="AM43" s="59">
        <f t="shared" si="5"/>
        <v>592.88959706695209</v>
      </c>
      <c r="AN43" s="59">
        <f ca="1">AVERAGE(OFFSET($AM$3,0,0,'Données projet'!$E$10+1,1))-AVERAGE(OFFSET($H$3,0,0,'Données projet'!$E$10+1,1))</f>
        <v>160.54301845388551</v>
      </c>
      <c r="AO43" s="59">
        <f t="shared" si="36"/>
        <v>272.6634844951584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17.161679624967412</v>
      </c>
      <c r="AV43" s="21">
        <f>EXP(-LN(2)/25)*AV42+(1-EXP(-LN(2)/25))/(LN(2)/25)*Calculateur!AQ43*Calculateur!AS43*VLOOKUP('Données projet'!$B$10,Paramètres!$A$1:$I$89,3,0)*0.475*44/12</f>
        <v>73.604277789100863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90.765957414068282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16.131410256410259</v>
      </c>
      <c r="BD43" s="12">
        <f>IF('Données projet'!$A$88&gt;35,BD42+BC43-BL42,IF(A43&lt;'Données projet'!$A$88,$BA$205^A43,IF(A43='Données projet'!$A$88,'Données projet'!$B$88,BD42+BC43-BL42)))</f>
        <v>378.10641025641036</v>
      </c>
      <c r="BE43" s="13">
        <f>BD43*VLOOKUP('Données projet'!$B$11,Paramètres!$A$1:$I$89,3,0)*VLOOKUP('Données projet'!$B$11,Paramètres!$A$1:$I$89,5,0)</f>
        <v>176.95380000000006</v>
      </c>
      <c r="BF43" s="13">
        <f t="shared" si="37"/>
        <v>44.643791032081154</v>
      </c>
      <c r="BG43" s="20">
        <f t="shared" si="7"/>
        <v>385.94913771420806</v>
      </c>
      <c r="BH43" s="59">
        <f t="shared" si="8"/>
        <v>679.28247104754132</v>
      </c>
      <c r="BI43" s="59">
        <f ca="1">AVERAGE(OFFSET($BH$3,0,0,'Données projet'!$E$11+1,1))-AVERAGE(OFFSET($H$3,0,0,'Données projet'!$E$11+1,1))</f>
        <v>207.25176714718668</v>
      </c>
      <c r="BJ43" s="59">
        <f t="shared" si="38"/>
        <v>191.53228014642559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68.620424404221751</v>
      </c>
      <c r="CE43" s="59">
        <f t="shared" si="40"/>
        <v>203.12945099478918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31.838573496052732</v>
      </c>
      <c r="CL43" s="21">
        <f>EXP(-LN(2)/25)*CL42+(1-EXP(-LN(2)/25))/(LN(2)/25)*Calculateur!CG43*Calculateur!CI43*VLOOKUP('Données projet'!$B$12,Paramètres!$A$1:$I$89,3,0)*0.475*44/12</f>
        <v>5.7999814691493539</v>
      </c>
      <c r="CM43" s="21">
        <f>EXP(-LN(2)/2)*CM42+(1-EXP(-LN(2)/2))/(LN(2)/2)*CG43*CJ43*VLOOKUP('Données projet'!$B$12,Paramètres!$A$1:$I$89,3,0)*0.475*44/12</f>
        <v>1.4083802830089797E-2</v>
      </c>
      <c r="CN43" s="22">
        <f t="shared" si="12"/>
        <v>37.652638768032169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232.1076923076923</v>
      </c>
      <c r="CR43" s="12">
        <f>VLOOKUP(A43,'Données projet'!$A$139:$I$159,9,0)</f>
        <v>9.5853846153846156</v>
      </c>
      <c r="CS43" s="12">
        <f t="array" ref="CS43">INDEX(CR:CR,MIN(IF(ISNUMBER(CR43:CR239),ROW(CR43:CR239),"")))</f>
        <v>9.5853846153846156</v>
      </c>
      <c r="CT43" s="12">
        <f>IF('Données projet'!$A$140&gt;35,CT42+CS43-DB42,IF(A43&lt;'Données projet'!$A$140,$CQ$205^A43,IF(A43='Données projet'!$A$140,'Données projet'!$B$140,CT42+CS43-DB42)))</f>
        <v>232.10769230769228</v>
      </c>
      <c r="CU43" s="17">
        <f>CT43*VLOOKUP('Données projet'!$B$13,Paramètres!$A$1:$I$89,3,0)*VLOOKUP('Données projet'!$B$13,Paramètres!$A$1:$I$89,5,0)</f>
        <v>138.8004</v>
      </c>
      <c r="CV43" s="13">
        <f t="shared" si="41"/>
        <v>36.022056495371388</v>
      </c>
      <c r="CW43" s="20">
        <f t="shared" si="13"/>
        <v>304.48244506277183</v>
      </c>
      <c r="CX43" s="59">
        <f t="shared" si="14"/>
        <v>597.81577839610509</v>
      </c>
      <c r="CY43" s="59">
        <f ca="1">AVERAGE(OFFSET($CX$3,0,0,'Données projet'!$E$13+1,1))-AVERAGE(OFFSET($H$3,0,0,'Données projet'!$E$13+1,1))</f>
        <v>196.25918971690442</v>
      </c>
      <c r="CZ43" s="59">
        <f t="shared" si="42"/>
        <v>148.35701313170205</v>
      </c>
      <c r="DA43" s="15">
        <f>IF(ISNA(VLOOKUP(A43,'Données projet'!$A$139:$I$159,3,0)),0,VLOOKUP(A43,'Données projet'!$A$139:$I$159,3,0))</f>
        <v>1</v>
      </c>
      <c r="DB43" s="15">
        <f>IF(ISNA(VLOOKUP(A43,'Données projet'!$A$139:$I$159,4,0)),0,VLOOKUP(A43,'Données projet'!$A$139:$I$159,4,0))</f>
        <v>65.969230769230776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0.28350000000000003</v>
      </c>
      <c r="DE43" s="16">
        <f>IF(ISNA(VLOOKUP(A43,'Données projet'!$A$139:$I$159,7,0)),0%,VLOOKUP(A43,'Données projet'!$A$139:$I$159,7,0))</f>
        <v>0.37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14.777829976283158</v>
      </c>
      <c r="DH43" s="21">
        <f>EXP(-LN(2)/2)*DH42+(1-EXP(-LN(2)/2))/(LN(2)/2)*DB43*DE43*VLOOKUP('Données projet'!$B$13,Paramètres!$A$1:$I$89,3,0)*0.475*44/12</f>
        <v>16.526461160465029</v>
      </c>
      <c r="DI43" s="22">
        <f t="shared" si="15"/>
        <v>31.304291136748187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11">
        <f t="shared" si="32"/>
        <v>6.2695607721610704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67">
        <f t="shared" si="1"/>
        <v>337.6719183448472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243.5</v>
      </c>
      <c r="O44" s="13">
        <f>N44*VLOOKUP('Données projet'!$B$9,Paramètres!$A$1:$I$89,3,0)*VLOOKUP('Données projet'!$B$9,Paramètres!$A$1:$I$89,5,0)</f>
        <v>151.94399999999999</v>
      </c>
      <c r="P44" s="13">
        <f t="shared" si="33"/>
        <v>39.02003496976517</v>
      </c>
      <c r="Q44" s="20">
        <f t="shared" si="53"/>
        <v>332.59569423900763</v>
      </c>
      <c r="R44" s="59">
        <f t="shared" si="0"/>
        <v>625.92902757234094</v>
      </c>
      <c r="S44" s="59">
        <f ca="1">AVERAGE(OFFSET($R$3,0,0,'Données projet'!$E$9+1,1))-AVERAGE(OFFSET($H$3,0,0,'Données projet'!$E$9+1,1))</f>
        <v>180.31844548479722</v>
      </c>
      <c r="T44" s="59">
        <f t="shared" si="34"/>
        <v>273.83237400307223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8.3670594666088967</v>
      </c>
      <c r="AA44" s="21">
        <f>EXP(-LN(2)/25)*AA43+(1-EXP(-LN(2)/25))/(LN(2)/25)*Calculateur!V44*Calculateur!X44*VLOOKUP('Données projet'!$B$9,Paramètres!$A$1:$I$89,3,0)*0.475*44/12</f>
        <v>48.217031539050595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56.584091005659488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</v>
      </c>
      <c r="AI44" s="13">
        <f>IF('Données projet'!$A$62&gt;35,AI43+AH44-AQ43,IF(A44&lt;'Données projet'!$A$62,$AF$205^A44,IF(A44='Données projet'!$A$62,'Données projet'!$B$62,AI43+AH44-AQ43)))</f>
        <v>263.99999999999994</v>
      </c>
      <c r="AJ44" s="13">
        <f>AI44*VLOOKUP('Données projet'!$B$10,Paramètres!$A$1:$I$89,3,0)*VLOOKUP('Données projet'!$B$10,Paramètres!$A$1:$I$89,5,0)</f>
        <v>144.14399999999995</v>
      </c>
      <c r="AK44" s="13">
        <f t="shared" si="35"/>
        <v>37.244720006976216</v>
      </c>
      <c r="AL44" s="20">
        <f t="shared" si="4"/>
        <v>315.91868734548348</v>
      </c>
      <c r="AM44" s="59">
        <f t="shared" si="5"/>
        <v>609.25202067881673</v>
      </c>
      <c r="AN44" s="59">
        <f ca="1">AVERAGE(OFFSET($AM$3,0,0,'Données projet'!$E$10+1,1))-AVERAGE(OFFSET($H$3,0,0,'Données projet'!$E$10+1,1))</f>
        <v>160.54301845388551</v>
      </c>
      <c r="AO44" s="59">
        <f t="shared" si="36"/>
        <v>272.6634844951584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16.825149555112784</v>
      </c>
      <c r="AV44" s="21">
        <f>EXP(-LN(2)/25)*AV43+(1-EXP(-LN(2)/25))/(LN(2)/25)*Calculateur!AQ44*Calculateur!AS44*VLOOKUP('Données projet'!$B$10,Paramètres!$A$1:$I$89,3,0)*0.475*44/12</f>
        <v>71.591564942277159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88.416714497389947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16.131410256410259</v>
      </c>
      <c r="BD44" s="12">
        <f>IF('Données projet'!$A$88&gt;35,BD43+BC44-BL43,IF(A44&lt;'Données projet'!$A$88,$BA$205^A44,IF(A44='Données projet'!$A$88,'Données projet'!$B$88,BD43+BC44-BL43)))</f>
        <v>394.23782051282063</v>
      </c>
      <c r="BE44" s="13">
        <f>BD44*VLOOKUP('Données projet'!$B$11,Paramètres!$A$1:$I$89,3,0)*VLOOKUP('Données projet'!$B$11,Paramètres!$A$1:$I$89,5,0)</f>
        <v>184.50330000000005</v>
      </c>
      <c r="BF44" s="13">
        <f t="shared" si="37"/>
        <v>46.32264201774467</v>
      </c>
      <c r="BG44" s="20">
        <f t="shared" si="7"/>
        <v>402.02184901423874</v>
      </c>
      <c r="BH44" s="59">
        <f t="shared" si="8"/>
        <v>695.35518234757205</v>
      </c>
      <c r="BI44" s="59">
        <f ca="1">AVERAGE(OFFSET($BH$3,0,0,'Données projet'!$E$11+1,1))-AVERAGE(OFFSET($H$3,0,0,'Données projet'!$E$11+1,1))</f>
        <v>207.25176714718668</v>
      </c>
      <c r="BJ44" s="59">
        <f t="shared" si="38"/>
        <v>191.53228014642559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68.620424404221751</v>
      </c>
      <c r="CE44" s="59">
        <f t="shared" si="40"/>
        <v>203.12945099478918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31.214238489407443</v>
      </c>
      <c r="CL44" s="21">
        <f>EXP(-LN(2)/25)*CL43+(1-EXP(-LN(2)/25))/(LN(2)/25)*Calculateur!CG44*Calculateur!CI44*VLOOKUP('Données projet'!$B$12,Paramètres!$A$1:$I$89,3,0)*0.475*44/12</f>
        <v>5.6413806708676955</v>
      </c>
      <c r="CM44" s="21">
        <f>EXP(-LN(2)/2)*CM43+(1-EXP(-LN(2)/2))/(LN(2)/2)*CG44*CJ44*VLOOKUP('Données projet'!$B$12,Paramètres!$A$1:$I$89,3,0)*0.475*44/12</f>
        <v>9.958752486050786E-3</v>
      </c>
      <c r="CN44" s="22">
        <f t="shared" si="12"/>
        <v>36.865577912761189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8.2005128205128202</v>
      </c>
      <c r="CT44" s="12">
        <f>IF('Données projet'!$A$140&gt;35,CT43+CS44-DB43,IF(A44&lt;'Données projet'!$A$140,$CQ$205^A44,IF(A44='Données projet'!$A$140,'Données projet'!$B$140,CT43+CS44-DB43)))</f>
        <v>174.33897435897433</v>
      </c>
      <c r="CU44" s="17">
        <f>CT44*VLOOKUP('Données projet'!$B$13,Paramètres!$A$1:$I$89,3,0)*VLOOKUP('Données projet'!$B$13,Paramètres!$A$1:$I$89,5,0)</f>
        <v>104.25470666666666</v>
      </c>
      <c r="CV44" s="13">
        <f t="shared" si="41"/>
        <v>27.973151631562207</v>
      </c>
      <c r="CW44" s="20">
        <f t="shared" si="13"/>
        <v>230.29685320274862</v>
      </c>
      <c r="CX44" s="59">
        <f t="shared" si="14"/>
        <v>523.63018653608196</v>
      </c>
      <c r="CY44" s="59">
        <f ca="1">AVERAGE(OFFSET($CX$3,0,0,'Données projet'!$E$13+1,1))-AVERAGE(OFFSET($H$3,0,0,'Données projet'!$E$13+1,1))</f>
        <v>196.25918971690442</v>
      </c>
      <c r="CZ44" s="59">
        <f t="shared" si="42"/>
        <v>148.35701313170205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14.373729438449391</v>
      </c>
      <c r="DH44" s="21">
        <f>EXP(-LN(2)/2)*DH43+(1-EXP(-LN(2)/2))/(LN(2)/2)*DB44*DE44*VLOOKUP('Données projet'!$B$13,Paramètres!$A$1:$I$89,3,0)*0.475*44/12</f>
        <v>11.685972755580922</v>
      </c>
      <c r="DI44" s="22">
        <f t="shared" si="15"/>
        <v>26.059702194030315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11">
        <f t="shared" si="32"/>
        <v>6.4044873715575275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67">
        <f t="shared" si="1"/>
        <v>338.72201550546265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255</v>
      </c>
      <c r="L45" s="12">
        <f>VLOOKUP(A45,'Données projet'!$A$35:$I$55,9,0)</f>
        <v>11.5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255</v>
      </c>
      <c r="O45" s="13">
        <f>N45*VLOOKUP('Données projet'!$B$9,Paramètres!$A$1:$I$89,3,0)*VLOOKUP('Données projet'!$B$9,Paramètres!$A$1:$I$89,5,0)</f>
        <v>159.12</v>
      </c>
      <c r="P45" s="13">
        <f t="shared" si="33"/>
        <v>40.643965284387697</v>
      </c>
      <c r="Q45" s="20">
        <f t="shared" si="53"/>
        <v>347.92223953697521</v>
      </c>
      <c r="R45" s="59">
        <f t="shared" si="0"/>
        <v>641.25557287030847</v>
      </c>
      <c r="S45" s="59">
        <f ca="1">AVERAGE(OFFSET($R$3,0,0,'Données projet'!$E$9+1,1))-AVERAGE(OFFSET($H$3,0,0,'Données projet'!$E$9+1,1))</f>
        <v>180.31844548479722</v>
      </c>
      <c r="T45" s="59">
        <f t="shared" si="34"/>
        <v>273.83237400307223</v>
      </c>
      <c r="U45" s="15">
        <f>IF(ISNA(VLOOKUP(A45,'Données projet'!$A$35:$I$55,3,0)),0,VLOOKUP(A45,'Données projet'!$A$35:$I$55,3,0))</f>
        <v>6</v>
      </c>
      <c r="V45" s="15">
        <f>IF(ISNA(VLOOKUP(A45,'Données projet'!$A$35:$I$55,4,0)),0,VLOOKUP(A45,'Données projet'!$A$35:$I$55,4,0))</f>
        <v>67</v>
      </c>
      <c r="W45" s="16">
        <f>IF(ISNA(VLOOKUP(A45,'Données projet'!$A$35:$I$55,5,0)),0%,VLOOKUP(A45,'Données projet'!$A$35:$I$55,5,0)*VLOOKUP('Données projet'!$B$9,Paramètres!$A$1:$I$89,7,0))</f>
        <v>0.18</v>
      </c>
      <c r="X45" s="16">
        <f>IF(ISNA(VLOOKUP(A45,'Données projet'!$A$35:$I$55,6,0)),0%,VLOOKUP(A45,'Données projet'!$A$35:$I$55,6,0)*VLOOKUP('Données projet'!$B$9,Paramètres!$A$1:$I$89,7,0))</f>
        <v>0.36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18.185967749413983</v>
      </c>
      <c r="AA45" s="21">
        <f>EXP(-LN(2)/25)*AA44+(1-EXP(-LN(2)/25))/(LN(2)/25)*Calculateur!V45*Calculateur!X45*VLOOKUP('Données projet'!$B$9,Paramètres!$A$1:$I$89,3,0)*0.475*44/12</f>
        <v>66.785883105358337</v>
      </c>
      <c r="AB45" s="21">
        <f>EXP(-LN(2)/2)*AB44+(1-EXP(-LN(2)/2))/(LN(2)/2)*V45*Y45*VLOOKUP('Données projet'!$B$9,Paramètres!$A$1:$I$89,3,0)*0.475*44/12</f>
        <v>0</v>
      </c>
      <c r="AC45" s="22">
        <f t="shared" si="3"/>
        <v>84.971850854772327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278</v>
      </c>
      <c r="AG45" s="12">
        <f>VLOOKUP(A45,'Données projet'!$A$61:$I$81,9,0)</f>
        <v>14</v>
      </c>
      <c r="AH45" s="12">
        <f t="array" ref="AH45">INDEX(AG:AG,MIN(IF(ISNUMBER(AG45:AG241),ROW(AG45:AG241),"")))</f>
        <v>14</v>
      </c>
      <c r="AI45" s="13">
        <f>IF('Données projet'!$A$62&gt;35,AI44+AH45-AQ44,IF(A45&lt;'Données projet'!$A$62,$AF$205^A45,IF(A45='Données projet'!$A$62,'Données projet'!$B$62,AI44+AH45-AQ44)))</f>
        <v>277.99999999999994</v>
      </c>
      <c r="AJ45" s="13">
        <f>AI45*VLOOKUP('Données projet'!$B$10,Paramètres!$A$1:$I$89,3,0)*VLOOKUP('Données projet'!$B$10,Paramètres!$A$1:$I$89,5,0)</f>
        <v>151.78799999999998</v>
      </c>
      <c r="AK45" s="13">
        <f t="shared" si="35"/>
        <v>38.984634390835623</v>
      </c>
      <c r="AL45" s="20">
        <f t="shared" si="4"/>
        <v>332.26233823070532</v>
      </c>
      <c r="AM45" s="59">
        <f t="shared" si="5"/>
        <v>625.59567156403864</v>
      </c>
      <c r="AN45" s="59">
        <f ca="1">AVERAGE(OFFSET($AM$3,0,0,'Données projet'!$E$10+1,1))-AVERAGE(OFFSET($H$3,0,0,'Données projet'!$E$10+1,1))</f>
        <v>160.54301845388551</v>
      </c>
      <c r="AO45" s="59">
        <f t="shared" si="36"/>
        <v>272.6634844951584</v>
      </c>
      <c r="AP45" s="15" t="str">
        <f>IF(ISNA(VLOOKUP(A45,'Données projet'!$A$61:$I$81,3,0)),0,VLOOKUP(A45,'Données projet'!$A$61:$I$81,3,0))</f>
        <v>CR</v>
      </c>
      <c r="AQ45" s="15">
        <f>IF(ISNA(VLOOKUP(A45,'Données projet'!$A$61:$I$81,4,0)),0,VLOOKUP(A45,'Données projet'!$A$61:$I$81,4,0))</f>
        <v>278</v>
      </c>
      <c r="AR45" s="16">
        <f>IF(ISNA(VLOOKUP(A45,'Données projet'!$A$61:$I$81,5,0)),0%,VLOOKUP(A45,'Données projet'!$A$61:$I$81,5,0)*VLOOKUP('Données projet'!$B$10,Paramètres!$A$1:$I$89,7,0))</f>
        <v>0.24</v>
      </c>
      <c r="AS45" s="16">
        <f>IF(ISNA(VLOOKUP(A45,'Données projet'!$A$61:$I$81,6,0)),0%,VLOOKUP(A45,'Données projet'!$A$61:$I$81,6,0)*VLOOKUP('Données projet'!$B$10,Paramètres!$A$1:$I$89,7,0))</f>
        <v>0.36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64.820794369606588</v>
      </c>
      <c r="AV45" s="21">
        <f>EXP(-LN(2)/25)*AV44+(1-EXP(-LN(2)/25))/(LN(2)/25)*Calculateur!AQ45*Calculateur!AS45*VLOOKUP('Données projet'!$B$10,Paramètres!$A$1:$I$89,3,0)*0.475*44/12</f>
        <v>141.83683912877169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206.65763349837829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410.3692307692308</v>
      </c>
      <c r="BB45" s="12">
        <f>VLOOKUP(A45,'Données projet'!$A$87:$I$107,9,0)</f>
        <v>16.131410256410259</v>
      </c>
      <c r="BC45" s="12">
        <f t="array" ref="BC45">INDEX(BB:BB,MIN(IF(ISNUMBER(BB45:BB241),ROW(BB45:BB241),"")))</f>
        <v>16.131410256410259</v>
      </c>
      <c r="BD45" s="12">
        <f>IF('Données projet'!$A$88&gt;35,BD44+BC45-BL44,IF(A45&lt;'Données projet'!$A$88,$BA$205^A45,IF(A45='Données projet'!$A$88,'Données projet'!$B$88,BD44+BC45-BL44)))</f>
        <v>410.36923076923091</v>
      </c>
      <c r="BE45" s="13">
        <f>BD45*VLOOKUP('Données projet'!$B$11,Paramètres!$A$1:$I$89,3,0)*VLOOKUP('Données projet'!$B$11,Paramètres!$A$1:$I$89,5,0)</f>
        <v>192.05280000000008</v>
      </c>
      <c r="BF45" s="13">
        <f t="shared" si="37"/>
        <v>47.993513546032311</v>
      </c>
      <c r="BG45" s="20">
        <f t="shared" si="7"/>
        <v>418.08066275933976</v>
      </c>
      <c r="BH45" s="59">
        <f t="shared" si="8"/>
        <v>711.41399609267307</v>
      </c>
      <c r="BI45" s="59">
        <f ca="1">AVERAGE(OFFSET($BH$3,0,0,'Données projet'!$E$11+1,1))-AVERAGE(OFFSET($H$3,0,0,'Données projet'!$E$11+1,1))</f>
        <v>207.25176714718668</v>
      </c>
      <c r="BJ45" s="59">
        <f t="shared" si="38"/>
        <v>191.53228014642559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179.84615384615384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0.30800000000000005</v>
      </c>
      <c r="BO45" s="16">
        <f>IF(ISNA(VLOOKUP(A45,'Données projet'!$A$87:$I$107,7,0)),0%,VLOOKUP(A45,'Données projet'!$A$87:$I$107,7,0))</f>
        <v>0.44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34.254112709103957</v>
      </c>
      <c r="BR45" s="21">
        <f>EXP(-LN(2)/2)*BR44+(1-EXP(-LN(2)/2))/(LN(2)/2)*BL45*BO45*VLOOKUP('Données projet'!$B$11,Paramètres!$A$1:$I$89,3,0)*0.475*44/12</f>
        <v>41.931000328011329</v>
      </c>
      <c r="BS45" s="22">
        <f t="shared" si="9"/>
        <v>76.185113037115286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68.620424404221751</v>
      </c>
      <c r="CE45" s="59">
        <f t="shared" si="40"/>
        <v>203.12945099478918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30.602146311435714</v>
      </c>
      <c r="CL45" s="21">
        <f>EXP(-LN(2)/25)*CL44+(1-EXP(-LN(2)/25))/(LN(2)/25)*Calculateur!CG45*Calculateur!CI45*VLOOKUP('Données projet'!$B$12,Paramètres!$A$1:$I$89,3,0)*0.475*44/12</f>
        <v>5.487116819755502</v>
      </c>
      <c r="CM45" s="21">
        <f>EXP(-LN(2)/2)*CM44+(1-EXP(-LN(2)/2))/(LN(2)/2)*CG45*CJ45*VLOOKUP('Données projet'!$B$12,Paramètres!$A$1:$I$89,3,0)*0.475*44/12</f>
        <v>7.0419014150449001E-3</v>
      </c>
      <c r="CN45" s="22">
        <f t="shared" si="12"/>
        <v>36.09630503260626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8.2005128205128202</v>
      </c>
      <c r="CT45" s="12">
        <f>IF('Données projet'!$A$140&gt;35,CT44+CS45-DB44,IF(A45&lt;'Données projet'!$A$140,$CQ$205^A45,IF(A45='Données projet'!$A$140,'Données projet'!$B$140,CT44+CS45-DB44)))</f>
        <v>182.53948717948714</v>
      </c>
      <c r="CU45" s="17">
        <f>CT45*VLOOKUP('Données projet'!$B$13,Paramètres!$A$1:$I$89,3,0)*VLOOKUP('Données projet'!$B$13,Paramètres!$A$1:$I$89,5,0)</f>
        <v>109.15861333333332</v>
      </c>
      <c r="CV45" s="13">
        <f t="shared" si="41"/>
        <v>29.132658809812469</v>
      </c>
      <c r="CW45" s="20">
        <f t="shared" si="13"/>
        <v>240.85729898264557</v>
      </c>
      <c r="CX45" s="59">
        <f t="shared" si="14"/>
        <v>534.19063231597886</v>
      </c>
      <c r="CY45" s="59">
        <f ca="1">AVERAGE(OFFSET($CX$3,0,0,'Données projet'!$E$13+1,1))-AVERAGE(OFFSET($H$3,0,0,'Données projet'!$E$13+1,1))</f>
        <v>196.25918971690442</v>
      </c>
      <c r="CZ45" s="59">
        <f t="shared" si="42"/>
        <v>148.35701313170205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13.980679051073412</v>
      </c>
      <c r="DH45" s="21">
        <f>EXP(-LN(2)/2)*DH44+(1-EXP(-LN(2)/2))/(LN(2)/2)*DB45*DE45*VLOOKUP('Données projet'!$B$13,Paramètres!$A$1:$I$89,3,0)*0.475*44/12</f>
        <v>8.2632305802325146</v>
      </c>
      <c r="DI45" s="22">
        <f t="shared" si="15"/>
        <v>22.243909631305925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11">
        <f t="shared" si="32"/>
        <v>6.539040511923969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67">
        <f t="shared" si="1"/>
        <v>339.77146222493423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10.666666666666666</v>
      </c>
      <c r="N46" s="13">
        <f>IF('Données projet'!$A$36&gt;35,N45+M46-V45,IF(A46&lt;'Données projet'!$A$36,$K$205^A46,IF(A46='Données projet'!$A$36,'Données projet'!$B$36,N45+M46-V45)))</f>
        <v>198.66666666666669</v>
      </c>
      <c r="O46" s="13">
        <f>N46*VLOOKUP('Données projet'!$B$9,Paramètres!$A$1:$I$89,3,0)*VLOOKUP('Données projet'!$B$9,Paramètres!$A$1:$I$89,5,0)</f>
        <v>123.968</v>
      </c>
      <c r="P46" s="13">
        <f t="shared" si="33"/>
        <v>32.598710622532096</v>
      </c>
      <c r="Q46" s="20">
        <f t="shared" si="53"/>
        <v>272.68702100091008</v>
      </c>
      <c r="R46" s="59">
        <f t="shared" si="0"/>
        <v>566.02035433424339</v>
      </c>
      <c r="S46" s="59">
        <f ca="1">AVERAGE(OFFSET($R$3,0,0,'Données projet'!$E$9+1,1))-AVERAGE(OFFSET($H$3,0,0,'Données projet'!$E$9+1,1))</f>
        <v>180.31844548479722</v>
      </c>
      <c r="T46" s="59">
        <f t="shared" si="34"/>
        <v>273.83237400307223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17.829352014193024</v>
      </c>
      <c r="AA46" s="21">
        <f>EXP(-LN(2)/25)*AA45+(1-EXP(-LN(2)/25))/(LN(2)/25)*Calculateur!V46*Calculateur!X46*VLOOKUP('Données projet'!$B$9,Paramètres!$A$1:$I$89,3,0)*0.475*44/12</f>
        <v>64.959619619725359</v>
      </c>
      <c r="AB46" s="21">
        <f>EXP(-LN(2)/2)*AB45+(1-EXP(-LN(2)/2))/(LN(2)/2)*V46*Y46*VLOOKUP('Données projet'!$B$9,Paramètres!$A$1:$I$89,3,0)*0.475*44/12</f>
        <v>0</v>
      </c>
      <c r="AC46" s="22">
        <f t="shared" si="3"/>
        <v>82.788971633918379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-5.6843418860808015E-14</v>
      </c>
      <c r="AJ46" s="13">
        <f>AI46*VLOOKUP('Données projet'!$B$10,Paramètres!$A$1:$I$89,3,0)*VLOOKUP('Données projet'!$B$10,Paramètres!$A$1:$I$89,5,0)</f>
        <v>-3.1036506698001178E-14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160.54301845388551</v>
      </c>
      <c r="AO46" s="59">
        <f t="shared" si="36"/>
        <v>272.6634844951584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63.549698128799236</v>
      </c>
      <c r="AV46" s="21">
        <f>EXP(-LN(2)/25)*AV45+(1-EXP(-LN(2)/25))/(LN(2)/25)*Calculateur!AQ46*Calculateur!AS46*VLOOKUP('Données projet'!$B$10,Paramètres!$A$1:$I$89,3,0)*0.475*44/12</f>
        <v>137.95830330392022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201.50800143271945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15.618681318681309</v>
      </c>
      <c r="BD46" s="12">
        <f>IF('Données projet'!$A$88&gt;35,BD45+BC46-BL45,IF(A46&lt;'Données projet'!$A$88,$BA$205^A46,IF(A46='Données projet'!$A$88,'Données projet'!$B$88,BD45+BC46-BL45)))</f>
        <v>246.14175824175837</v>
      </c>
      <c r="BE46" s="13">
        <f>BD46*VLOOKUP('Données projet'!$B$11,Paramètres!$A$1:$I$89,3,0)*VLOOKUP('Données projet'!$B$11,Paramètres!$A$1:$I$89,5,0)</f>
        <v>115.19434285714291</v>
      </c>
      <c r="BF46" s="13">
        <f t="shared" si="37"/>
        <v>30.5515065129288</v>
      </c>
      <c r="BG46" s="20">
        <f t="shared" si="7"/>
        <v>253.84068765287489</v>
      </c>
      <c r="BH46" s="59">
        <f t="shared" si="8"/>
        <v>547.17402098620823</v>
      </c>
      <c r="BI46" s="59">
        <f ca="1">AVERAGE(OFFSET($BH$3,0,0,'Données projet'!$E$11+1,1))-AVERAGE(OFFSET($H$3,0,0,'Données projet'!$E$11+1,1))</f>
        <v>207.25176714718668</v>
      </c>
      <c r="BJ46" s="59">
        <f t="shared" si="38"/>
        <v>191.53228014642559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33.31743219572801</v>
      </c>
      <c r="BR46" s="21">
        <f>EXP(-LN(2)/2)*BR45+(1-EXP(-LN(2)/2))/(LN(2)/2)*BL46*BO46*VLOOKUP('Données projet'!$B$11,Paramètres!$A$1:$I$89,3,0)*0.475*44/12</f>
        <v>29.649694673872162</v>
      </c>
      <c r="BS46" s="22">
        <f t="shared" si="9"/>
        <v>62.967126869600172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68.620424404221751</v>
      </c>
      <c r="CE46" s="59">
        <f t="shared" si="40"/>
        <v>203.12945099478918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30.002056887734646</v>
      </c>
      <c r="CL46" s="21">
        <f>EXP(-LN(2)/25)*CL45+(1-EXP(-LN(2)/25))/(LN(2)/25)*Calculateur!CG46*Calculateur!CI46*VLOOKUP('Données projet'!$B$12,Paramètres!$A$1:$I$89,3,0)*0.475*44/12</f>
        <v>5.3370713217643555</v>
      </c>
      <c r="CM46" s="21">
        <f>EXP(-LN(2)/2)*CM45+(1-EXP(-LN(2)/2))/(LN(2)/2)*CG46*CJ46*VLOOKUP('Données projet'!$B$12,Paramètres!$A$1:$I$89,3,0)*0.475*44/12</f>
        <v>4.9793762430253938E-3</v>
      </c>
      <c r="CN46" s="22">
        <f t="shared" si="12"/>
        <v>35.34410758574203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8.2005128205128202</v>
      </c>
      <c r="CT46" s="12">
        <f>IF('Données projet'!$A$140&gt;35,CT45+CS46-DB45,IF(A46&lt;'Données projet'!$A$140,$CQ$205^A46,IF(A46='Données projet'!$A$140,'Données projet'!$B$140,CT45+CS46-DB45)))</f>
        <v>190.73999999999995</v>
      </c>
      <c r="CU46" s="17">
        <f>CT46*VLOOKUP('Données projet'!$B$13,Paramètres!$A$1:$I$89,3,0)*VLOOKUP('Données projet'!$B$13,Paramètres!$A$1:$I$89,5,0)</f>
        <v>114.06251999999998</v>
      </c>
      <c r="CV46" s="13">
        <f t="shared" si="41"/>
        <v>30.286116343266013</v>
      </c>
      <c r="CW46" s="20">
        <f t="shared" si="13"/>
        <v>251.40720829785491</v>
      </c>
      <c r="CX46" s="59">
        <f t="shared" si="14"/>
        <v>544.74054163118819</v>
      </c>
      <c r="CY46" s="59">
        <f ca="1">AVERAGE(OFFSET($CX$3,0,0,'Données projet'!$E$13+1,1))-AVERAGE(OFFSET($H$3,0,0,'Données projet'!$E$13+1,1))</f>
        <v>196.25918971690442</v>
      </c>
      <c r="CZ46" s="59">
        <f t="shared" si="42"/>
        <v>148.35701313170205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13.598376647209852</v>
      </c>
      <c r="DH46" s="21">
        <f>EXP(-LN(2)/2)*DH45+(1-EXP(-LN(2)/2))/(LN(2)/2)*DB46*DE46*VLOOKUP('Données projet'!$B$13,Paramètres!$A$1:$I$89,3,0)*0.475*44/12</f>
        <v>5.8429863777904609</v>
      </c>
      <c r="DI46" s="22">
        <f t="shared" si="15"/>
        <v>19.441363025000314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11">
        <f t="shared" si="32"/>
        <v>6.6732298779519512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67">
        <f t="shared" si="1"/>
        <v>340.8202753707663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10.666666666666666</v>
      </c>
      <c r="N47" s="13">
        <f>IF('Données projet'!$A$36&gt;35,N46+M47-V46,IF(A47&lt;'Données projet'!$A$36,$K$205^A47,IF(A47='Données projet'!$A$36,'Données projet'!$B$36,N46+M47-V46)))</f>
        <v>209.33333333333334</v>
      </c>
      <c r="O47" s="13">
        <f>N47*VLOOKUP('Données projet'!$B$9,Paramètres!$A$1:$I$89,3,0)*VLOOKUP('Données projet'!$B$9,Paramètres!$A$1:$I$89,5,0)</f>
        <v>130.62400000000002</v>
      </c>
      <c r="P47" s="13">
        <f t="shared" si="33"/>
        <v>34.140507202645395</v>
      </c>
      <c r="Q47" s="20">
        <f t="shared" si="53"/>
        <v>286.96485004460743</v>
      </c>
      <c r="R47" s="59">
        <f t="shared" si="0"/>
        <v>580.29818337794075</v>
      </c>
      <c r="S47" s="59">
        <f ca="1">AVERAGE(OFFSET($R$3,0,0,'Données projet'!$E$9+1,1))-AVERAGE(OFFSET($H$3,0,0,'Données projet'!$E$9+1,1))</f>
        <v>180.31844548479722</v>
      </c>
      <c r="T47" s="59">
        <f t="shared" si="34"/>
        <v>273.83237400307223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17.479729296025628</v>
      </c>
      <c r="AA47" s="21">
        <f>EXP(-LN(2)/25)*AA46+(1-EXP(-LN(2)/25))/(LN(2)/25)*Calculateur!V47*Calculateur!X47*VLOOKUP('Données projet'!$B$9,Paramètres!$A$1:$I$89,3,0)*0.475*44/12</f>
        <v>63.18329540514604</v>
      </c>
      <c r="AB47" s="21">
        <f>EXP(-LN(2)/2)*AB46+(1-EXP(-LN(2)/2))/(LN(2)/2)*V47*Y47*VLOOKUP('Données projet'!$B$9,Paramètres!$A$1:$I$89,3,0)*0.475*44/12</f>
        <v>0</v>
      </c>
      <c r="AC47" s="22">
        <f t="shared" si="3"/>
        <v>80.663024701171665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-5.6843418860808015E-14</v>
      </c>
      <c r="AJ47" s="13">
        <f>AI47*VLOOKUP('Données projet'!$B$10,Paramètres!$A$1:$I$89,3,0)*VLOOKUP('Données projet'!$B$10,Paramètres!$A$1:$I$89,5,0)</f>
        <v>-3.1036506698001178E-14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160.54301845388551</v>
      </c>
      <c r="AO47" s="59">
        <f t="shared" si="36"/>
        <v>272.6634844951584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62.303527309981959</v>
      </c>
      <c r="AV47" s="21">
        <f>EXP(-LN(2)/25)*AV46+(1-EXP(-LN(2)/25))/(LN(2)/25)*Calculateur!AQ47*Calculateur!AS47*VLOOKUP('Données projet'!$B$10,Paramètres!$A$1:$I$89,3,0)*0.475*44/12</f>
        <v>134.18582624516264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196.48935355514459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15.618681318681309</v>
      </c>
      <c r="BD47" s="12">
        <f>IF('Données projet'!$A$88&gt;35,BD46+BC47-BL46,IF(A47&lt;'Données projet'!$A$88,$BA$205^A47,IF(A47='Données projet'!$A$88,'Données projet'!$B$88,BD46+BC47-BL46)))</f>
        <v>261.76043956043969</v>
      </c>
      <c r="BE47" s="13">
        <f>BD47*VLOOKUP('Données projet'!$B$11,Paramètres!$A$1:$I$89,3,0)*VLOOKUP('Données projet'!$B$11,Paramètres!$A$1:$I$89,5,0)</f>
        <v>122.50388571428577</v>
      </c>
      <c r="BF47" s="13">
        <f t="shared" si="37"/>
        <v>32.258285776503719</v>
      </c>
      <c r="BG47" s="20">
        <f t="shared" si="7"/>
        <v>269.54411534645834</v>
      </c>
      <c r="BH47" s="59">
        <f t="shared" si="8"/>
        <v>562.87744867979166</v>
      </c>
      <c r="BI47" s="59">
        <f ca="1">AVERAGE(OFFSET($BH$3,0,0,'Données projet'!$E$11+1,1))-AVERAGE(OFFSET($H$3,0,0,'Données projet'!$E$11+1,1))</f>
        <v>207.25176714718668</v>
      </c>
      <c r="BJ47" s="59">
        <f t="shared" si="38"/>
        <v>191.53228014642559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32.406365260248215</v>
      </c>
      <c r="BR47" s="21">
        <f>EXP(-LN(2)/2)*BR46+(1-EXP(-LN(2)/2))/(LN(2)/2)*BL47*BO47*VLOOKUP('Données projet'!$B$11,Paramètres!$A$1:$I$89,3,0)*0.475*44/12</f>
        <v>20.965500164005668</v>
      </c>
      <c r="BS47" s="22">
        <f t="shared" si="9"/>
        <v>53.371865424253883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68.620424404221751</v>
      </c>
      <c r="CE47" s="59">
        <f t="shared" si="40"/>
        <v>203.12945099478918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29.413734851613953</v>
      </c>
      <c r="CL47" s="21">
        <f>EXP(-LN(2)/25)*CL46+(1-EXP(-LN(2)/25))/(LN(2)/25)*Calculateur!CG47*Calculateur!CI47*VLOOKUP('Données projet'!$B$12,Paramètres!$A$1:$I$89,3,0)*0.475*44/12</f>
        <v>5.1911288258063264</v>
      </c>
      <c r="CM47" s="21">
        <f>EXP(-LN(2)/2)*CM46+(1-EXP(-LN(2)/2))/(LN(2)/2)*CG47*CJ47*VLOOKUP('Données projet'!$B$12,Paramètres!$A$1:$I$89,3,0)*0.475*44/12</f>
        <v>3.5209507075224505E-3</v>
      </c>
      <c r="CN47" s="22">
        <f t="shared" si="12"/>
        <v>34.608384628127801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8.2005128205128202</v>
      </c>
      <c r="CT47" s="12">
        <f>IF('Données projet'!$A$140&gt;35,CT46+CS47-DB46,IF(A47&lt;'Données projet'!$A$140,$CQ$205^A47,IF(A47='Données projet'!$A$140,'Données projet'!$B$140,CT46+CS47-DB46)))</f>
        <v>198.94051282051277</v>
      </c>
      <c r="CU47" s="17">
        <f>CT47*VLOOKUP('Données projet'!$B$13,Paramètres!$A$1:$I$89,3,0)*VLOOKUP('Données projet'!$B$13,Paramètres!$A$1:$I$89,5,0)</f>
        <v>118.96642666666664</v>
      </c>
      <c r="CV47" s="13">
        <f t="shared" si="41"/>
        <v>31.433814056921133</v>
      </c>
      <c r="CW47" s="20">
        <f t="shared" si="13"/>
        <v>261.94708592691535</v>
      </c>
      <c r="CX47" s="59">
        <f t="shared" si="14"/>
        <v>555.28041926024866</v>
      </c>
      <c r="CY47" s="59">
        <f ca="1">AVERAGE(OFFSET($CX$3,0,0,'Données projet'!$E$13+1,1))-AVERAGE(OFFSET($H$3,0,0,'Données projet'!$E$13+1,1))</f>
        <v>196.25918971690442</v>
      </c>
      <c r="CZ47" s="59">
        <f t="shared" si="42"/>
        <v>148.35701313170205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13.22652832268435</v>
      </c>
      <c r="DH47" s="21">
        <f>EXP(-LN(2)/2)*DH46+(1-EXP(-LN(2)/2))/(LN(2)/2)*DB47*DE47*VLOOKUP('Données projet'!$B$13,Paramètres!$A$1:$I$89,3,0)*0.475*44/12</f>
        <v>4.1316152901162573</v>
      </c>
      <c r="DI47" s="22">
        <f t="shared" si="15"/>
        <v>17.358143612800607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11">
        <f t="shared" si="32"/>
        <v>6.8070646889944983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67">
        <f t="shared" si="1"/>
        <v>341.86847099999875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10.666666666666666</v>
      </c>
      <c r="N48" s="13">
        <f>IF('Données projet'!$A$36&gt;35,N47+M48-V47,IF(A48&lt;'Données projet'!$A$36,$K$205^A48,IF(A48='Données projet'!$A$36,'Données projet'!$B$36,N47+M48-V47)))</f>
        <v>220</v>
      </c>
      <c r="O48" s="13">
        <f>N48*VLOOKUP('Données projet'!$B$9,Paramètres!$A$1:$I$89,3,0)*VLOOKUP('Données projet'!$B$9,Paramètres!$A$1:$I$89,5,0)</f>
        <v>137.28</v>
      </c>
      <c r="P48" s="13">
        <f t="shared" si="33"/>
        <v>35.673181961873446</v>
      </c>
      <c r="Q48" s="20">
        <f t="shared" si="53"/>
        <v>301.22679191692959</v>
      </c>
      <c r="R48" s="59">
        <f t="shared" si="0"/>
        <v>594.5601252502629</v>
      </c>
      <c r="S48" s="59">
        <f ca="1">AVERAGE(OFFSET($R$3,0,0,'Données projet'!$E$9+1,1))-AVERAGE(OFFSET($H$3,0,0,'Données projet'!$E$9+1,1))</f>
        <v>180.31844548479722</v>
      </c>
      <c r="T48" s="59">
        <f t="shared" si="34"/>
        <v>273.83237400307223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17.136962466112692</v>
      </c>
      <c r="AA48" s="21">
        <f>EXP(-LN(2)/25)*AA47+(1-EXP(-LN(2)/25))/(LN(2)/25)*Calculateur!V48*Calculateur!X48*VLOOKUP('Données projet'!$B$9,Paramètres!$A$1:$I$89,3,0)*0.475*44/12</f>
        <v>61.455544869627225</v>
      </c>
      <c r="AB48" s="21">
        <f>EXP(-LN(2)/2)*AB47+(1-EXP(-LN(2)/2))/(LN(2)/2)*V48*Y48*VLOOKUP('Données projet'!$B$9,Paramètres!$A$1:$I$89,3,0)*0.475*44/12</f>
        <v>0</v>
      </c>
      <c r="AC48" s="22">
        <f t="shared" si="3"/>
        <v>78.592507335739924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-5.6843418860808015E-14</v>
      </c>
      <c r="AJ48" s="13">
        <f>AI48*VLOOKUP('Données projet'!$B$10,Paramètres!$A$1:$I$89,3,0)*VLOOKUP('Données projet'!$B$10,Paramètres!$A$1:$I$89,5,0)</f>
        <v>-3.1036506698001178E-14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160.54301845388551</v>
      </c>
      <c r="AO48" s="59">
        <f t="shared" si="36"/>
        <v>272.6634844951584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61.081793140832545</v>
      </c>
      <c r="AV48" s="21">
        <f>EXP(-LN(2)/25)*AV47+(1-EXP(-LN(2)/25))/(LN(2)/25)*Calculateur!AQ48*Calculateur!AS48*VLOOKUP('Données projet'!$B$10,Paramètres!$A$1:$I$89,3,0)*0.475*44/12</f>
        <v>130.51650776996274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191.59830091079527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15.618681318681309</v>
      </c>
      <c r="BD48" s="12">
        <f>IF('Données projet'!$A$88&gt;35,BD47+BC48-BL47,IF(A48&lt;'Données projet'!$A$88,$BA$205^A48,IF(A48='Données projet'!$A$88,'Données projet'!$B$88,BD47+BC48-BL47)))</f>
        <v>277.37912087912099</v>
      </c>
      <c r="BE48" s="13">
        <f>BD48*VLOOKUP('Données projet'!$B$11,Paramètres!$A$1:$I$89,3,0)*VLOOKUP('Données projet'!$B$11,Paramètres!$A$1:$I$89,5,0)</f>
        <v>129.81342857142863</v>
      </c>
      <c r="BF48" s="13">
        <f t="shared" si="37"/>
        <v>33.953244550224326</v>
      </c>
      <c r="BG48" s="20">
        <f t="shared" si="7"/>
        <v>285.22695568687891</v>
      </c>
      <c r="BH48" s="59">
        <f t="shared" si="8"/>
        <v>578.56028902021217</v>
      </c>
      <c r="BI48" s="59">
        <f ca="1">AVERAGE(OFFSET($BH$3,0,0,'Données projet'!$E$11+1,1))-AVERAGE(OFFSET($H$3,0,0,'Données projet'!$E$11+1,1))</f>
        <v>207.25176714718668</v>
      </c>
      <c r="BJ48" s="59">
        <f t="shared" si="38"/>
        <v>191.53228014642559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31.520211498030044</v>
      </c>
      <c r="BR48" s="21">
        <f>EXP(-LN(2)/2)*BR47+(1-EXP(-LN(2)/2))/(LN(2)/2)*BL48*BO48*VLOOKUP('Données projet'!$B$11,Paramètres!$A$1:$I$89,3,0)*0.475*44/12</f>
        <v>14.824847336936083</v>
      </c>
      <c r="BS48" s="22">
        <f t="shared" si="9"/>
        <v>46.345058834966125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68.620424404221751</v>
      </c>
      <c r="CE48" s="59">
        <f t="shared" si="40"/>
        <v>203.12945099478918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28.836949451780576</v>
      </c>
      <c r="CL48" s="21">
        <f>EXP(-LN(2)/25)*CL47+(1-EXP(-LN(2)/25))/(LN(2)/25)*Calculateur!CG48*Calculateur!CI48*VLOOKUP('Données projet'!$B$12,Paramètres!$A$1:$I$89,3,0)*0.475*44/12</f>
        <v>5.0491771350750518</v>
      </c>
      <c r="CM48" s="21">
        <f>EXP(-LN(2)/2)*CM47+(1-EXP(-LN(2)/2))/(LN(2)/2)*CG48*CJ48*VLOOKUP('Données projet'!$B$12,Paramètres!$A$1:$I$89,3,0)*0.475*44/12</f>
        <v>2.4896881215126974E-3</v>
      </c>
      <c r="CN48" s="22">
        <f t="shared" si="12"/>
        <v>33.888616274977139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8.2005128205128202</v>
      </c>
      <c r="CT48" s="12">
        <f>IF('Données projet'!$A$140&gt;35,CT47+CS48-DB47,IF(A48&lt;'Données projet'!$A$140,$CQ$205^A48,IF(A48='Données projet'!$A$140,'Données projet'!$B$140,CT47+CS48-DB47)))</f>
        <v>207.14102564102558</v>
      </c>
      <c r="CU48" s="17">
        <f>CT48*VLOOKUP('Données projet'!$B$13,Paramètres!$A$1:$I$89,3,0)*VLOOKUP('Données projet'!$B$13,Paramètres!$A$1:$I$89,5,0)</f>
        <v>123.87033333333331</v>
      </c>
      <c r="CV48" s="13">
        <f t="shared" si="41"/>
        <v>32.576016530089092</v>
      </c>
      <c r="CW48" s="20">
        <f t="shared" si="13"/>
        <v>272.47739267879405</v>
      </c>
      <c r="CX48" s="59">
        <f t="shared" si="14"/>
        <v>565.81072601212736</v>
      </c>
      <c r="CY48" s="59">
        <f ca="1">AVERAGE(OFFSET($CX$3,0,0,'Données projet'!$E$13+1,1))-AVERAGE(OFFSET($H$3,0,0,'Données projet'!$E$13+1,1))</f>
        <v>196.25918971690442</v>
      </c>
      <c r="CZ48" s="59">
        <f t="shared" si="42"/>
        <v>148.35701313170205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12.864848210147652</v>
      </c>
      <c r="DH48" s="21">
        <f>EXP(-LN(2)/2)*DH47+(1-EXP(-LN(2)/2))/(LN(2)/2)*DB48*DE48*VLOOKUP('Données projet'!$B$13,Paramètres!$A$1:$I$89,3,0)*0.475*44/12</f>
        <v>2.9214931888952305</v>
      </c>
      <c r="DI48" s="22">
        <f t="shared" si="15"/>
        <v>15.786341399042882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11">
        <f t="shared" si="32"/>
        <v>6.9405537312613585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67">
        <f t="shared" si="1"/>
        <v>342.91606441528018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10.666666666666666</v>
      </c>
      <c r="N49" s="13">
        <f>IF('Données projet'!$A$36&gt;35,N48+M49-V48,IF(A49&lt;'Données projet'!$A$36,$K$205^A49,IF(A49='Données projet'!$A$36,'Données projet'!$B$36,N48+M49-V48)))</f>
        <v>230.66666666666666</v>
      </c>
      <c r="O49" s="13">
        <f>N49*VLOOKUP('Données projet'!$B$9,Paramètres!$A$1:$I$89,3,0)*VLOOKUP('Données projet'!$B$9,Paramètres!$A$1:$I$89,5,0)</f>
        <v>143.93599999999998</v>
      </c>
      <c r="P49" s="13">
        <f t="shared" si="33"/>
        <v>37.197227655019397</v>
      </c>
      <c r="Q49" s="20">
        <f t="shared" si="53"/>
        <v>315.47370483249205</v>
      </c>
      <c r="R49" s="59">
        <f t="shared" si="0"/>
        <v>608.80703816582536</v>
      </c>
      <c r="S49" s="59">
        <f ca="1">AVERAGE(OFFSET($R$3,0,0,'Données projet'!$E$9+1,1))-AVERAGE(OFFSET($H$3,0,0,'Données projet'!$E$9+1,1))</f>
        <v>180.31844548479722</v>
      </c>
      <c r="T49" s="59">
        <f t="shared" si="34"/>
        <v>273.83237400307223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16.800917084667226</v>
      </c>
      <c r="AA49" s="21">
        <f>EXP(-LN(2)/25)*AA48+(1-EXP(-LN(2)/25))/(LN(2)/25)*Calculateur!V49*Calculateur!X49*VLOOKUP('Données projet'!$B$9,Paramètres!$A$1:$I$89,3,0)*0.475*44/12</f>
        <v>59.775039763360624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76.575956848027857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-5.6843418860808015E-14</v>
      </c>
      <c r="AJ49" s="13">
        <f>AI49*VLOOKUP('Données projet'!$B$10,Paramètres!$A$1:$I$89,3,0)*VLOOKUP('Données projet'!$B$10,Paramètres!$A$1:$I$89,5,0)</f>
        <v>-3.1036506698001178E-14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160.54301845388551</v>
      </c>
      <c r="AO49" s="59">
        <f t="shared" si="36"/>
        <v>272.6634844951584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59.884016433555892</v>
      </c>
      <c r="AV49" s="21">
        <f>EXP(-LN(2)/25)*AV48+(1-EXP(-LN(2)/25))/(LN(2)/25)*Calculateur!AQ49*Calculateur!AS49*VLOOKUP('Données projet'!$B$10,Paramètres!$A$1:$I$89,3,0)*0.475*44/12</f>
        <v>126.94752700142827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186.83154343498416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15.618681318681309</v>
      </c>
      <c r="BD49" s="12">
        <f>IF('Données projet'!$A$88&gt;35,BD48+BC49-BL48,IF(A49&lt;'Données projet'!$A$88,$BA$205^A49,IF(A49='Données projet'!$A$88,'Données projet'!$B$88,BD48+BC49-BL48)))</f>
        <v>292.99780219780229</v>
      </c>
      <c r="BE49" s="13">
        <f>BD49*VLOOKUP('Données projet'!$B$11,Paramètres!$A$1:$I$89,3,0)*VLOOKUP('Données projet'!$B$11,Paramètres!$A$1:$I$89,5,0)</f>
        <v>137.12297142857147</v>
      </c>
      <c r="BF49" s="13">
        <f t="shared" si="37"/>
        <v>35.63712427284996</v>
      </c>
      <c r="BG49" s="20">
        <f t="shared" si="7"/>
        <v>300.89050001330901</v>
      </c>
      <c r="BH49" s="59">
        <f t="shared" si="8"/>
        <v>594.22383334664232</v>
      </c>
      <c r="BI49" s="59">
        <f ca="1">AVERAGE(OFFSET($BH$3,0,0,'Données projet'!$E$11+1,1))-AVERAGE(OFFSET($H$3,0,0,'Données projet'!$E$11+1,1))</f>
        <v>207.25176714718668</v>
      </c>
      <c r="BJ49" s="59">
        <f t="shared" si="38"/>
        <v>191.53228014642559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30.65828965704053</v>
      </c>
      <c r="BR49" s="21">
        <f>EXP(-LN(2)/2)*BR48+(1-EXP(-LN(2)/2))/(LN(2)/2)*BL49*BO49*VLOOKUP('Données projet'!$B$11,Paramètres!$A$1:$I$89,3,0)*0.475*44/12</f>
        <v>10.482750082002836</v>
      </c>
      <c r="BS49" s="22">
        <f t="shared" si="9"/>
        <v>41.141039739043364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68.620424404221751</v>
      </c>
      <c r="CE49" s="59">
        <f t="shared" si="40"/>
        <v>203.12945099478918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28.271474461833574</v>
      </c>
      <c r="CL49" s="21">
        <f>EXP(-LN(2)/25)*CL48+(1-EXP(-LN(2)/25))/(LN(2)/25)*Calculateur!CG49*Calculateur!CI49*VLOOKUP('Données projet'!$B$12,Paramètres!$A$1:$I$89,3,0)*0.475*44/12</f>
        <v>4.9111071207917387</v>
      </c>
      <c r="CM49" s="21">
        <f>EXP(-LN(2)/2)*CM48+(1-EXP(-LN(2)/2))/(LN(2)/2)*CG49*CJ49*VLOOKUP('Données projet'!$B$12,Paramètres!$A$1:$I$89,3,0)*0.475*44/12</f>
        <v>1.7604753537612255E-3</v>
      </c>
      <c r="CN49" s="22">
        <f t="shared" si="12"/>
        <v>33.184342057979073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8.2005128205128202</v>
      </c>
      <c r="CT49" s="12">
        <f>IF('Données projet'!$A$140&gt;35,CT48+CS49-DB48,IF(A49&lt;'Données projet'!$A$140,$CQ$205^A49,IF(A49='Données projet'!$A$140,'Données projet'!$B$140,CT48+CS49-DB48)))</f>
        <v>215.34153846153839</v>
      </c>
      <c r="CU49" s="17">
        <f>CT49*VLOOKUP('Données projet'!$B$13,Paramètres!$A$1:$I$89,3,0)*VLOOKUP('Données projet'!$B$13,Paramètres!$A$1:$I$89,5,0)</f>
        <v>128.77423999999996</v>
      </c>
      <c r="CV49" s="13">
        <f t="shared" si="41"/>
        <v>33.712966207278377</v>
      </c>
      <c r="CW49" s="20">
        <f t="shared" si="13"/>
        <v>282.99855081100981</v>
      </c>
      <c r="CX49" s="59">
        <f t="shared" si="14"/>
        <v>576.33188414434312</v>
      </c>
      <c r="CY49" s="59">
        <f ca="1">AVERAGE(OFFSET($CX$3,0,0,'Données projet'!$E$13+1,1))-AVERAGE(OFFSET($H$3,0,0,'Données projet'!$E$13+1,1))</f>
        <v>196.25918971690442</v>
      </c>
      <c r="CZ49" s="59">
        <f t="shared" si="42"/>
        <v>148.35701313170205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12.513058259308201</v>
      </c>
      <c r="DH49" s="21">
        <f>EXP(-LN(2)/2)*DH48+(1-EXP(-LN(2)/2))/(LN(2)/2)*DB49*DE49*VLOOKUP('Données projet'!$B$13,Paramètres!$A$1:$I$89,3,0)*0.475*44/12</f>
        <v>2.0658076450581286</v>
      </c>
      <c r="DI49" s="22">
        <f t="shared" si="15"/>
        <v>14.57886590436633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11">
        <f t="shared" si="32"/>
        <v>7.0737053871356732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67">
        <f t="shared" si="1"/>
        <v>343.96307021592793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10.666666666666666</v>
      </c>
      <c r="N50" s="13">
        <f>IF('Données projet'!$A$36&gt;35,N49+M50-V49,IF(A50&lt;'Données projet'!$A$36,$K$205^A50,IF(A50='Données projet'!$A$36,'Données projet'!$B$36,N49+M50-V49)))</f>
        <v>241.33333333333331</v>
      </c>
      <c r="O50" s="13">
        <f>N50*VLOOKUP('Données projet'!$B$9,Paramètres!$A$1:$I$89,3,0)*VLOOKUP('Données projet'!$B$9,Paramètres!$A$1:$I$89,5,0)</f>
        <v>150.59199999999998</v>
      </c>
      <c r="P50" s="13">
        <f t="shared" si="33"/>
        <v>38.713088888505631</v>
      </c>
      <c r="Q50" s="20">
        <f t="shared" si="53"/>
        <v>329.70636314748066</v>
      </c>
      <c r="R50" s="59">
        <f t="shared" si="0"/>
        <v>623.03969648081397</v>
      </c>
      <c r="S50" s="59">
        <f ca="1">AVERAGE(OFFSET($R$3,0,0,'Données projet'!$E$9+1,1))-AVERAGE(OFFSET($H$3,0,0,'Données projet'!$E$9+1,1))</f>
        <v>180.31844548479722</v>
      </c>
      <c r="T50" s="59">
        <f t="shared" si="34"/>
        <v>273.83237400307223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16.471461348184462</v>
      </c>
      <c r="AA50" s="21">
        <f>EXP(-LN(2)/25)*AA49+(1-EXP(-LN(2)/25))/(LN(2)/25)*Calculateur!V50*Calculateur!X50*VLOOKUP('Données projet'!$B$9,Paramètres!$A$1:$I$89,3,0)*0.475*44/12</f>
        <v>58.140488157598803</v>
      </c>
      <c r="AB50" s="21">
        <f>EXP(-LN(2)/2)*AB49+(1-EXP(-LN(2)/2))/(LN(2)/2)*V50*Y50*VLOOKUP('Données projet'!$B$9,Paramètres!$A$1:$I$89,3,0)*0.475*44/12</f>
        <v>0</v>
      </c>
      <c r="AC50" s="22">
        <f t="shared" si="3"/>
        <v>74.611949505783258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-5.6843418860808015E-14</v>
      </c>
      <c r="AJ50" s="13">
        <f>AI50*VLOOKUP('Données projet'!$B$10,Paramètres!$A$1:$I$89,3,0)*VLOOKUP('Données projet'!$B$10,Paramètres!$A$1:$I$89,5,0)</f>
        <v>-3.1036506698001178E-14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160.54301845388551</v>
      </c>
      <c r="AO50" s="59">
        <f t="shared" si="36"/>
        <v>272.6634844951584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58.709727396937275</v>
      </c>
      <c r="AV50" s="21">
        <f>EXP(-LN(2)/25)*AV49+(1-EXP(-LN(2)/25))/(LN(2)/25)*Calculateur!AQ50*Calculateur!AS50*VLOOKUP('Données projet'!$B$10,Paramètres!$A$1:$I$89,3,0)*0.475*44/12</f>
        <v>123.47614019969392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182.1858675966312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15.618681318681309</v>
      </c>
      <c r="BD50" s="12">
        <f>IF('Données projet'!$A$88&gt;35,BD49+BC50-BL49,IF(A50&lt;'Données projet'!$A$88,$BA$205^A50,IF(A50='Données projet'!$A$88,'Données projet'!$B$88,BD49+BC50-BL49)))</f>
        <v>308.61648351648358</v>
      </c>
      <c r="BE50" s="13">
        <f>BD50*VLOOKUP('Données projet'!$B$11,Paramètres!$A$1:$I$89,3,0)*VLOOKUP('Données projet'!$B$11,Paramètres!$A$1:$I$89,5,0)</f>
        <v>144.43251428571432</v>
      </c>
      <c r="BF50" s="13">
        <f t="shared" si="37"/>
        <v>37.310582871696397</v>
      </c>
      <c r="BG50" s="20">
        <f t="shared" si="7"/>
        <v>316.5358942158237</v>
      </c>
      <c r="BH50" s="59">
        <f t="shared" si="8"/>
        <v>609.86922754915702</v>
      </c>
      <c r="BI50" s="59">
        <f ca="1">AVERAGE(OFFSET($BH$3,0,0,'Données projet'!$E$11+1,1))-AVERAGE(OFFSET($H$3,0,0,'Données projet'!$E$11+1,1))</f>
        <v>207.25176714718668</v>
      </c>
      <c r="BJ50" s="59">
        <f t="shared" si="38"/>
        <v>191.53228014642559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29.819937114119373</v>
      </c>
      <c r="BR50" s="21">
        <f>EXP(-LN(2)/2)*BR49+(1-EXP(-LN(2)/2))/(LN(2)/2)*BL50*BO50*VLOOKUP('Données projet'!$B$11,Paramètres!$A$1:$I$89,3,0)*0.475*44/12</f>
        <v>7.4124236684680431</v>
      </c>
      <c r="BS50" s="22">
        <f t="shared" si="9"/>
        <v>37.232360782587413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68.620424404221751</v>
      </c>
      <c r="CE50" s="59">
        <f t="shared" si="40"/>
        <v>203.12945099478918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27.717088091533746</v>
      </c>
      <c r="CL50" s="21">
        <f>EXP(-LN(2)/25)*CL49+(1-EXP(-LN(2)/25))/(LN(2)/25)*Calculateur!CG50*Calculateur!CI50*VLOOKUP('Données projet'!$B$12,Paramètres!$A$1:$I$89,3,0)*0.475*44/12</f>
        <v>4.7768126383097895</v>
      </c>
      <c r="CM50" s="21">
        <f>EXP(-LN(2)/2)*CM49+(1-EXP(-LN(2)/2))/(LN(2)/2)*CG50*CJ50*VLOOKUP('Données projet'!$B$12,Paramètres!$A$1:$I$89,3,0)*0.475*44/12</f>
        <v>1.2448440607563487E-3</v>
      </c>
      <c r="CN50" s="22">
        <f t="shared" si="12"/>
        <v>32.495145573904296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8.2005128205128202</v>
      </c>
      <c r="CT50" s="12">
        <f>IF('Données projet'!$A$140&gt;35,CT49+CS50-DB49,IF(A50&lt;'Données projet'!$A$140,$CQ$205^A50,IF(A50='Données projet'!$A$140,'Données projet'!$B$140,CT49+CS50-DB49)))</f>
        <v>223.5420512820512</v>
      </c>
      <c r="CU50" s="17">
        <f>CT50*VLOOKUP('Données projet'!$B$13,Paramètres!$A$1:$I$89,3,0)*VLOOKUP('Données projet'!$B$13,Paramètres!$A$1:$I$89,5,0)</f>
        <v>133.67814666666663</v>
      </c>
      <c r="CV50" s="13">
        <f t="shared" si="41"/>
        <v>34.844886021885031</v>
      </c>
      <c r="CW50" s="20">
        <f t="shared" si="13"/>
        <v>293.5109485992275</v>
      </c>
      <c r="CX50" s="59">
        <f t="shared" si="14"/>
        <v>586.84428193256076</v>
      </c>
      <c r="CY50" s="59">
        <f ca="1">AVERAGE(OFFSET($CX$3,0,0,'Données projet'!$E$13+1,1))-AVERAGE(OFFSET($H$3,0,0,'Données projet'!$E$13+1,1))</f>
        <v>196.25918971690442</v>
      </c>
      <c r="CZ50" s="59">
        <f t="shared" si="42"/>
        <v>148.35701313170205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12.170888023174284</v>
      </c>
      <c r="DH50" s="21">
        <f>EXP(-LN(2)/2)*DH49+(1-EXP(-LN(2)/2))/(LN(2)/2)*DB50*DE50*VLOOKUP('Données projet'!$B$13,Paramètres!$A$1:$I$89,3,0)*0.475*44/12</f>
        <v>1.4607465944476152</v>
      </c>
      <c r="DI50" s="22">
        <f t="shared" si="15"/>
        <v>13.631634617621899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11">
        <f t="shared" si="32"/>
        <v>7.2065276619252296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67">
        <f t="shared" si="1"/>
        <v>345.00950234451977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252</v>
      </c>
      <c r="L51" s="12">
        <f>VLOOKUP(A51,'Données projet'!$A$35:$I$55,9,0)</f>
        <v>10.666666666666666</v>
      </c>
      <c r="M51" s="12">
        <f t="array" ref="M51">INDEX(L:L,MIN(IF(ISNUMBER(L51:L247),ROW(L51:L247),"")))</f>
        <v>10.666666666666666</v>
      </c>
      <c r="N51" s="13">
        <f>IF('Données projet'!$A$36&gt;35,N50+M51-V50,IF(A51&lt;'Données projet'!$A$36,$K$205^A51,IF(A51='Données projet'!$A$36,'Données projet'!$B$36,N50+M51-V50)))</f>
        <v>251.99999999999997</v>
      </c>
      <c r="O51" s="13">
        <f>N51*VLOOKUP('Données projet'!$B$9,Paramètres!$A$1:$I$89,3,0)*VLOOKUP('Données projet'!$B$9,Paramètres!$A$1:$I$89,5,0)</f>
        <v>157.24799999999999</v>
      </c>
      <c r="P51" s="13">
        <f t="shared" si="33"/>
        <v>40.22116874434861</v>
      </c>
      <c r="Q51" s="20">
        <f t="shared" si="53"/>
        <v>343.92546889640715</v>
      </c>
      <c r="R51" s="59">
        <f t="shared" si="0"/>
        <v>637.25880222974047</v>
      </c>
      <c r="S51" s="59">
        <f ca="1">AVERAGE(OFFSET($R$3,0,0,'Données projet'!$E$9+1,1))-AVERAGE(OFFSET($H$3,0,0,'Données projet'!$E$9+1,1))</f>
        <v>180.31844548479722</v>
      </c>
      <c r="T51" s="59">
        <f t="shared" si="34"/>
        <v>273.83237400307223</v>
      </c>
      <c r="U51" s="15">
        <f>IF(ISNA(VLOOKUP(A51,'Données projet'!$A$35:$I$55,3,0)),0,VLOOKUP(A51,'Données projet'!$A$35:$I$55,3,0))</f>
        <v>7</v>
      </c>
      <c r="V51" s="15">
        <f>IF(ISNA(VLOOKUP(A51,'Données projet'!$A$35:$I$55,4,0)),0,VLOOKUP(A51,'Données projet'!$A$35:$I$55,4,0))</f>
        <v>65</v>
      </c>
      <c r="W51" s="16">
        <f>IF(ISNA(VLOOKUP(A51,'Données projet'!$A$35:$I$55,5,0)),0%,VLOOKUP(A51,'Données projet'!$A$35:$I$55,5,0)*VLOOKUP('Données projet'!$B$9,Paramètres!$A$1:$I$89,7,0))</f>
        <v>0.24</v>
      </c>
      <c r="X51" s="16">
        <f>IF(ISNA(VLOOKUP(A51,'Données projet'!$A$35:$I$55,6,0)),0%,VLOOKUP(A51,'Données projet'!$A$35:$I$55,6,0)*VLOOKUP('Données projet'!$B$9,Paramètres!$A$1:$I$89,7,0))</f>
        <v>0.36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29.061775072776626</v>
      </c>
      <c r="AA51" s="21">
        <f>EXP(-LN(2)/25)*AA50+(1-EXP(-LN(2)/25))/(LN(2)/25)*Calculateur!V51*Calculateur!X51*VLOOKUP('Données projet'!$B$9,Paramètres!$A$1:$I$89,3,0)*0.475*44/12</f>
        <v>75.844330076958755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104.90610514973538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-5.6843418860808015E-14</v>
      </c>
      <c r="AJ51" s="13">
        <f>AI51*VLOOKUP('Données projet'!$B$10,Paramètres!$A$1:$I$89,3,0)*VLOOKUP('Données projet'!$B$10,Paramètres!$A$1:$I$89,5,0)</f>
        <v>-3.1036506698001178E-14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160.54301845388551</v>
      </c>
      <c r="AO51" s="59">
        <f t="shared" si="36"/>
        <v>272.6634844951584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57.558465452081165</v>
      </c>
      <c r="AV51" s="21">
        <f>EXP(-LN(2)/25)*AV50+(1-EXP(-LN(2)/25))/(LN(2)/25)*Calculateur!AQ51*Calculateur!AS51*VLOOKUP('Données projet'!$B$10,Paramètres!$A$1:$I$89,3,0)*0.475*44/12</f>
        <v>120.09967865260528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177.65814410468644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15.618681318681309</v>
      </c>
      <c r="BD51" s="12">
        <f>IF('Données projet'!$A$88&gt;35,BD50+BC51-BL50,IF(A51&lt;'Données projet'!$A$88,$BA$205^A51,IF(A51='Données projet'!$A$88,'Données projet'!$B$88,BD50+BC51-BL50)))</f>
        <v>324.23516483516488</v>
      </c>
      <c r="BE51" s="13">
        <f>BD51*VLOOKUP('Données projet'!$B$11,Paramètres!$A$1:$I$89,3,0)*VLOOKUP('Données projet'!$B$11,Paramètres!$A$1:$I$89,5,0)</f>
        <v>151.74205714285716</v>
      </c>
      <c r="BF51" s="13">
        <f t="shared" si="37"/>
        <v>38.974207918733512</v>
      </c>
      <c r="BG51" s="20">
        <f t="shared" si="7"/>
        <v>332.16416164893707</v>
      </c>
      <c r="BH51" s="59">
        <f t="shared" si="8"/>
        <v>625.49749498227038</v>
      </c>
      <c r="BI51" s="59">
        <f ca="1">AVERAGE(OFFSET($BH$3,0,0,'Données projet'!$E$11+1,1))-AVERAGE(OFFSET($H$3,0,0,'Données projet'!$E$11+1,1))</f>
        <v>207.25176714718668</v>
      </c>
      <c r="BJ51" s="59">
        <f t="shared" si="38"/>
        <v>191.53228014642559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29.00450936557144</v>
      </c>
      <c r="BR51" s="21">
        <f>EXP(-LN(2)/2)*BR50+(1-EXP(-LN(2)/2))/(LN(2)/2)*BL51*BO51*VLOOKUP('Données projet'!$B$11,Paramètres!$A$1:$I$89,3,0)*0.475*44/12</f>
        <v>5.2413750410014188</v>
      </c>
      <c r="BS51" s="22">
        <f t="shared" si="9"/>
        <v>34.245884406572856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68.620424404221751</v>
      </c>
      <c r="CE51" s="59">
        <f t="shared" si="40"/>
        <v>203.12945099478918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27.173572899813202</v>
      </c>
      <c r="CL51" s="21">
        <f>EXP(-LN(2)/25)*CL50+(1-EXP(-LN(2)/25))/(LN(2)/25)*Calculateur!CG51*Calculateur!CI51*VLOOKUP('Données projet'!$B$12,Paramètres!$A$1:$I$89,3,0)*0.475*44/12</f>
        <v>4.6461904455135494</v>
      </c>
      <c r="CM51" s="21">
        <f>EXP(-LN(2)/2)*CM50+(1-EXP(-LN(2)/2))/(LN(2)/2)*CG51*CJ51*VLOOKUP('Données projet'!$B$12,Paramètres!$A$1:$I$89,3,0)*0.475*44/12</f>
        <v>8.8023767688061273E-4</v>
      </c>
      <c r="CN51" s="22">
        <f t="shared" si="12"/>
        <v>31.820643583003633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8.2005128205128202</v>
      </c>
      <c r="CT51" s="12">
        <f>IF('Données projet'!$A$140&gt;35,CT50+CS51-DB50,IF(A51&lt;'Données projet'!$A$140,$CQ$205^A51,IF(A51='Données projet'!$A$140,'Données projet'!$B$140,CT50+CS51-DB50)))</f>
        <v>231.74256410256402</v>
      </c>
      <c r="CU51" s="17">
        <f>CT51*VLOOKUP('Données projet'!$B$13,Paramètres!$A$1:$I$89,3,0)*VLOOKUP('Données projet'!$B$13,Paramètres!$A$1:$I$89,5,0)</f>
        <v>138.58205333333328</v>
      </c>
      <c r="CV51" s="13">
        <f t="shared" si="41"/>
        <v>35.971981624067027</v>
      </c>
      <c r="CW51" s="20">
        <f t="shared" si="13"/>
        <v>304.01494421747219</v>
      </c>
      <c r="CX51" s="59">
        <f t="shared" si="14"/>
        <v>597.34827755080551</v>
      </c>
      <c r="CY51" s="59">
        <f ca="1">AVERAGE(OFFSET($CX$3,0,0,'Données projet'!$E$13+1,1))-AVERAGE(OFFSET($H$3,0,0,'Données projet'!$E$13+1,1))</f>
        <v>196.25918971690442</v>
      </c>
      <c r="CZ51" s="59">
        <f t="shared" si="42"/>
        <v>148.35701313170205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11.838074450141399</v>
      </c>
      <c r="DH51" s="21">
        <f>EXP(-LN(2)/2)*DH50+(1-EXP(-LN(2)/2))/(LN(2)/2)*DB51*DE51*VLOOKUP('Données projet'!$B$13,Paramètres!$A$1:$I$89,3,0)*0.475*44/12</f>
        <v>1.0329038225290643</v>
      </c>
      <c r="DI51" s="22">
        <f t="shared" si="15"/>
        <v>12.870978272670463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11">
        <f t="shared" si="32"/>
        <v>7.3390282083215084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67">
        <f t="shared" si="1"/>
        <v>346.05537412949326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9.75</v>
      </c>
      <c r="N52" s="13">
        <f>IF('Données projet'!$A$36&gt;35,N51+M52-V51,IF(A52&lt;'Données projet'!$A$36,$K$205^A52,IF(A52='Données projet'!$A$36,'Données projet'!$B$36,N51+M52-V51)))</f>
        <v>196.75</v>
      </c>
      <c r="O52" s="13">
        <f>N52*VLOOKUP('Données projet'!$B$9,Paramètres!$A$1:$I$89,3,0)*VLOOKUP('Données projet'!$B$9,Paramètres!$A$1:$I$89,5,0)</f>
        <v>122.77200000000001</v>
      </c>
      <c r="P52" s="13">
        <f t="shared" si="33"/>
        <v>32.320660955470466</v>
      </c>
      <c r="Q52" s="20">
        <f t="shared" si="53"/>
        <v>270.11971783077774</v>
      </c>
      <c r="R52" s="59">
        <f t="shared" si="0"/>
        <v>563.453051164111</v>
      </c>
      <c r="S52" s="59">
        <f ca="1">AVERAGE(OFFSET($R$3,0,0,'Données projet'!$E$9+1,1))-AVERAGE(OFFSET($H$3,0,0,'Données projet'!$E$9+1,1))</f>
        <v>180.31844548479722</v>
      </c>
      <c r="T52" s="59">
        <f t="shared" si="34"/>
        <v>273.83237400307223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28.491891389531979</v>
      </c>
      <c r="AA52" s="21">
        <f>EXP(-LN(2)/25)*AA51+(1-EXP(-LN(2)/25))/(LN(2)/25)*Calculateur!V52*Calculateur!X52*VLOOKUP('Données projet'!$B$9,Paramètres!$A$1:$I$89,3,0)*0.475*44/12</f>
        <v>73.770362882524338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102.26225427205631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-5.6843418860808015E-14</v>
      </c>
      <c r="AJ52" s="13">
        <f>AI52*VLOOKUP('Données projet'!$B$10,Paramètres!$A$1:$I$89,3,0)*VLOOKUP('Données projet'!$B$10,Paramètres!$A$1:$I$89,5,0)</f>
        <v>-3.1036506698001178E-14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160.54301845388551</v>
      </c>
      <c r="AO52" s="59">
        <f t="shared" si="36"/>
        <v>272.6634844951584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56.429779051763234</v>
      </c>
      <c r="AV52" s="21">
        <f>EXP(-LN(2)/25)*AV51+(1-EXP(-LN(2)/25))/(LN(2)/25)*Calculateur!AQ52*Calculateur!AS52*VLOOKUP('Données projet'!$B$10,Paramètres!$A$1:$I$89,3,0)*0.475*44/12</f>
        <v>116.81554662408217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173.24532567584541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>
        <f>VLOOKUP(A52,'Données projet'!$A$87:$I$107,2,0)</f>
        <v>339.85384615384612</v>
      </c>
      <c r="BB52" s="12">
        <f>VLOOKUP(A52,'Données projet'!$A$87:$I$107,9,0)</f>
        <v>15.618681318681309</v>
      </c>
      <c r="BC52" s="12">
        <f t="array" ref="BC52">INDEX(BB:BB,MIN(IF(ISNUMBER(BB52:BB248),ROW(BB52:BB248),"")))</f>
        <v>15.618681318681309</v>
      </c>
      <c r="BD52" s="12">
        <f>IF('Données projet'!$A$88&gt;35,BD51+BC52-BL51,IF(A52&lt;'Données projet'!$A$88,$BA$205^A52,IF(A52='Données projet'!$A$88,'Données projet'!$B$88,BD51+BC52-BL51)))</f>
        <v>339.85384615384618</v>
      </c>
      <c r="BE52" s="13">
        <f>BD52*VLOOKUP('Données projet'!$B$11,Paramètres!$A$1:$I$89,3,0)*VLOOKUP('Données projet'!$B$11,Paramètres!$A$1:$I$89,5,0)</f>
        <v>159.05160000000001</v>
      </c>
      <c r="BF52" s="13">
        <f t="shared" si="37"/>
        <v>40.628527179850586</v>
      </c>
      <c r="BG52" s="20">
        <f t="shared" si="7"/>
        <v>347.77622150490646</v>
      </c>
      <c r="BH52" s="59">
        <f t="shared" si="8"/>
        <v>641.10955483823977</v>
      </c>
      <c r="BI52" s="59">
        <f ca="1">AVERAGE(OFFSET($BH$3,0,0,'Données projet'!$E$11+1,1))-AVERAGE(OFFSET($H$3,0,0,'Données projet'!$E$11+1,1))</f>
        <v>207.25176714718668</v>
      </c>
      <c r="BJ52" s="59">
        <f t="shared" si="38"/>
        <v>191.53228014642559</v>
      </c>
      <c r="BK52" s="15">
        <f>IF(ISNA(VLOOKUP(A52,'Données projet'!$A$87:$I$107,3,0)),0,VLOOKUP(A52,'Données projet'!$A$87:$I$107,3,0))</f>
        <v>2</v>
      </c>
      <c r="BL52" s="15">
        <f>IF(ISNA(VLOOKUP(A52,'Données projet'!$A$87:$I$107,4,0)),0,VLOOKUP(A52,'Données projet'!$A$87:$I$107,4,0))</f>
        <v>94.476923076923072</v>
      </c>
      <c r="BM52" s="16">
        <f>IF(ISNA(VLOOKUP(A52,'Données projet'!$A$87:$I$107,5,0)),0%,VLOOKUP(A52,'Données projet'!$A$87:$I$107,5,0)*VLOOKUP('Données projet'!$B$11,Paramètres!$A$1:$I$89,7,0))</f>
        <v>0.38500000000000001</v>
      </c>
      <c r="BN52" s="16">
        <f>IF(ISNA(VLOOKUP(A52,'Données projet'!$A$87:$I$107,6,0)),0%,VLOOKUP(A52,'Données projet'!$A$87:$I$107,6,0)*VLOOKUP('Données projet'!$B$11,Paramètres!$A$1:$I$89,7,0))</f>
        <v>9.240000000000001E-2</v>
      </c>
      <c r="BO52" s="16">
        <f>IF(ISNA(VLOOKUP(A52,'Données projet'!$A$87:$I$107,7,0)),0%,VLOOKUP(A52,'Données projet'!$A$87:$I$107,7,0))</f>
        <v>0.13200000000000001</v>
      </c>
      <c r="BP52" s="21">
        <f>EXP(-LN(2)/35)*BP51+(1-EXP(-LN(2)/35))/(LN(2)/35)*BL52*BM52*VLOOKUP('Données projet'!$B$11,Paramètres!$A$1:$I$89,3,0)*0.475*44/12</f>
        <v>22.581910393407885</v>
      </c>
      <c r="BQ52" s="21">
        <f>EXP(-LN(2)/25)*BQ51+(1-EXP(-LN(2)/25))/(LN(2)/25)*Calculateur!BL52*Calculateur!BN52*VLOOKUP('Données projet'!$B$11,Paramètres!$A$1:$I$89,3,0)*0.475*44/12</f>
        <v>33.609698765562619</v>
      </c>
      <c r="BR52" s="21">
        <f>EXP(-LN(2)/2)*BR51+(1-EXP(-LN(2)/2))/(LN(2)/2)*BL52*BO52*VLOOKUP('Données projet'!$B$11,Paramètres!$A$1:$I$89,3,0)*0.475*44/12</f>
        <v>10.314379661804189</v>
      </c>
      <c r="BS52" s="22">
        <f t="shared" si="9"/>
        <v>66.505988820774689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68.620424404221751</v>
      </c>
      <c r="CE52" s="59">
        <f t="shared" si="40"/>
        <v>203.12945099478918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26.640715709490763</v>
      </c>
      <c r="CL52" s="21">
        <f>EXP(-LN(2)/25)*CL51+(1-EXP(-LN(2)/25))/(LN(2)/25)*Calculateur!CG52*Calculateur!CI52*VLOOKUP('Données projet'!$B$12,Paramètres!$A$1:$I$89,3,0)*0.475*44/12</f>
        <v>4.5191401234484445</v>
      </c>
      <c r="CM52" s="21">
        <f>EXP(-LN(2)/2)*CM51+(1-EXP(-LN(2)/2))/(LN(2)/2)*CG52*CJ52*VLOOKUP('Données projet'!$B$12,Paramètres!$A$1:$I$89,3,0)*0.475*44/12</f>
        <v>6.2242203037817434E-4</v>
      </c>
      <c r="CN52" s="22">
        <f t="shared" si="12"/>
        <v>31.160478254969586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8.2005128205128202</v>
      </c>
      <c r="CT52" s="12">
        <f>IF('Données projet'!$A$140&gt;35,CT51+CS52-DB51,IF(A52&lt;'Données projet'!$A$140,$CQ$205^A52,IF(A52='Données projet'!$A$140,'Données projet'!$B$140,CT51+CS52-DB51)))</f>
        <v>239.94307692307683</v>
      </c>
      <c r="CU52" s="17">
        <f>CT52*VLOOKUP('Données projet'!$B$13,Paramètres!$A$1:$I$89,3,0)*VLOOKUP('Données projet'!$B$13,Paramètres!$A$1:$I$89,5,0)</f>
        <v>143.48595999999995</v>
      </c>
      <c r="CV52" s="13">
        <f t="shared" si="41"/>
        <v>37.094443284412861</v>
      </c>
      <c r="CW52" s="20">
        <f t="shared" si="13"/>
        <v>314.51086905368561</v>
      </c>
      <c r="CX52" s="59">
        <f t="shared" si="14"/>
        <v>607.84420238701887</v>
      </c>
      <c r="CY52" s="59">
        <f ca="1">AVERAGE(OFFSET($CX$3,0,0,'Données projet'!$E$13+1,1))-AVERAGE(OFFSET($H$3,0,0,'Données projet'!$E$13+1,1))</f>
        <v>196.25918971690442</v>
      </c>
      <c r="CZ52" s="59">
        <f t="shared" si="42"/>
        <v>148.35701313170205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11.514361681765003</v>
      </c>
      <c r="DH52" s="21">
        <f>EXP(-LN(2)/2)*DH51+(1-EXP(-LN(2)/2))/(LN(2)/2)*DB52*DE52*VLOOKUP('Données projet'!$B$13,Paramètres!$A$1:$I$89,3,0)*0.475*44/12</f>
        <v>0.73037329722380762</v>
      </c>
      <c r="DI52" s="22">
        <f t="shared" si="15"/>
        <v>12.244734978988811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11">
        <f t="shared" si="32"/>
        <v>7.4712143488056828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67">
        <f t="shared" si="1"/>
        <v>347.10069832416985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9.75</v>
      </c>
      <c r="N53" s="13">
        <f>IF('Données projet'!$A$36&gt;35,N52+M53-V52,IF(A53&lt;'Données projet'!$A$36,$K$205^A53,IF(A53='Données projet'!$A$36,'Données projet'!$B$36,N52+M53-V52)))</f>
        <v>206.5</v>
      </c>
      <c r="O53" s="13">
        <f>N53*VLOOKUP('Données projet'!$B$9,Paramètres!$A$1:$I$89,3,0)*VLOOKUP('Données projet'!$B$9,Paramètres!$A$1:$I$89,5,0)</f>
        <v>128.85599999999999</v>
      </c>
      <c r="P53" s="13">
        <f t="shared" si="33"/>
        <v>33.731878688740906</v>
      </c>
      <c r="Q53" s="20">
        <f t="shared" si="53"/>
        <v>283.1738887162237</v>
      </c>
      <c r="R53" s="59">
        <f t="shared" si="0"/>
        <v>576.50722204955696</v>
      </c>
      <c r="S53" s="59">
        <f ca="1">AVERAGE(OFFSET($R$3,0,0,'Données projet'!$E$9+1,1))-AVERAGE(OFFSET($H$3,0,0,'Données projet'!$E$9+1,1))</f>
        <v>180.31844548479722</v>
      </c>
      <c r="T53" s="59">
        <f t="shared" si="34"/>
        <v>273.83237400307223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27.933182777721036</v>
      </c>
      <c r="AA53" s="21">
        <f>EXP(-LN(2)/25)*AA52+(1-EXP(-LN(2)/25))/(LN(2)/25)*Calculateur!V53*Calculateur!X53*VLOOKUP('Données projet'!$B$9,Paramètres!$A$1:$I$89,3,0)*0.475*44/12</f>
        <v>71.753108430086925</v>
      </c>
      <c r="AB53" s="21">
        <f>EXP(-LN(2)/2)*AB52+(1-EXP(-LN(2)/2))/(LN(2)/2)*V53*Y53*VLOOKUP('Données projet'!$B$9,Paramètres!$A$1:$I$89,3,0)*0.475*44/12</f>
        <v>0</v>
      </c>
      <c r="AC53" s="22">
        <f t="shared" si="3"/>
        <v>99.686291207807955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-5.6843418860808015E-14</v>
      </c>
      <c r="AJ53" s="13">
        <f>AI53*VLOOKUP('Données projet'!$B$10,Paramètres!$A$1:$I$89,3,0)*VLOOKUP('Données projet'!$B$10,Paramètres!$A$1:$I$89,5,0)</f>
        <v>-3.1036506698001178E-14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160.54301845388551</v>
      </c>
      <c r="AO53" s="59">
        <f t="shared" si="36"/>
        <v>272.6634844951584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55.323225503324807</v>
      </c>
      <c r="AV53" s="21">
        <f>EXP(-LN(2)/25)*AV52+(1-EXP(-LN(2)/25))/(LN(2)/25)*Calculateur!AQ53*Calculateur!AS53*VLOOKUP('Données projet'!$B$10,Paramètres!$A$1:$I$89,3,0)*0.475*44/12</f>
        <v>113.62121935858404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168.94444486190883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14.668131868131875</v>
      </c>
      <c r="BD53" s="12">
        <f>IF('Données projet'!$A$88&gt;35,BD52+BC53-BL52,IF(A53&lt;'Données projet'!$A$88,$BA$205^A53,IF(A53='Données projet'!$A$88,'Données projet'!$B$88,BD52+BC53-BL52)))</f>
        <v>260.04505494505497</v>
      </c>
      <c r="BE53" s="13">
        <f>BD53*VLOOKUP('Données projet'!$B$11,Paramètres!$A$1:$I$89,3,0)*VLOOKUP('Données projet'!$B$11,Paramètres!$A$1:$I$89,5,0)</f>
        <v>121.70108571428571</v>
      </c>
      <c r="BF53" s="13">
        <f t="shared" si="37"/>
        <v>32.071423986344442</v>
      </c>
      <c r="BG53" s="20">
        <f t="shared" si="7"/>
        <v>267.82045439526422</v>
      </c>
      <c r="BH53" s="59">
        <f t="shared" si="8"/>
        <v>561.15378772859754</v>
      </c>
      <c r="BI53" s="59">
        <f ca="1">AVERAGE(OFFSET($BH$3,0,0,'Données projet'!$E$11+1,1))-AVERAGE(OFFSET($H$3,0,0,'Données projet'!$E$11+1,1))</f>
        <v>207.25176714718668</v>
      </c>
      <c r="BJ53" s="59">
        <f t="shared" si="38"/>
        <v>191.53228014642559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22.139092904198467</v>
      </c>
      <c r="BQ53" s="21">
        <f>EXP(-LN(2)/25)*BQ52+(1-EXP(-LN(2)/25))/(LN(2)/25)*Calculateur!BL53*Calculateur!BN53*VLOOKUP('Données projet'!$B$11,Paramètres!$A$1:$I$89,3,0)*0.475*44/12</f>
        <v>32.690639785361064</v>
      </c>
      <c r="BR53" s="21">
        <f>EXP(-LN(2)/2)*BR52+(1-EXP(-LN(2)/2))/(LN(2)/2)*BL53*BO53*VLOOKUP('Données projet'!$B$11,Paramètres!$A$1:$I$89,3,0)*0.475*44/12</f>
        <v>7.2933678025943509</v>
      </c>
      <c r="BS53" s="22">
        <f t="shared" si="9"/>
        <v>62.123100492153888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68.620424404221751</v>
      </c>
      <c r="CE53" s="59">
        <f t="shared" si="40"/>
        <v>203.12945099478918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26.118307523659755</v>
      </c>
      <c r="CL53" s="21">
        <f>EXP(-LN(2)/25)*CL52+(1-EXP(-LN(2)/25))/(LN(2)/25)*Calculateur!CG53*Calculateur!CI53*VLOOKUP('Données projet'!$B$12,Paramètres!$A$1:$I$89,3,0)*0.475*44/12</f>
        <v>4.3955639991214968</v>
      </c>
      <c r="CM53" s="21">
        <f>EXP(-LN(2)/2)*CM52+(1-EXP(-LN(2)/2))/(LN(2)/2)*CG53*CJ53*VLOOKUP('Données projet'!$B$12,Paramètres!$A$1:$I$89,3,0)*0.475*44/12</f>
        <v>4.4011883844030636E-4</v>
      </c>
      <c r="CN53" s="22">
        <f t="shared" si="12"/>
        <v>30.514311641619692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8.2005128205128202</v>
      </c>
      <c r="CT53" s="12">
        <f>IF('Données projet'!$A$140&gt;35,CT52+CS53-DB52,IF(A53&lt;'Données projet'!$A$140,$CQ$205^A53,IF(A53='Données projet'!$A$140,'Données projet'!$B$140,CT52+CS53-DB52)))</f>
        <v>248.14358974358964</v>
      </c>
      <c r="CU53" s="17">
        <f>CT53*VLOOKUP('Données projet'!$B$13,Paramètres!$A$1:$I$89,3,0)*VLOOKUP('Données projet'!$B$13,Paramètres!$A$1:$I$89,5,0)</f>
        <v>148.38986666666662</v>
      </c>
      <c r="CV53" s="13">
        <f t="shared" si="41"/>
        <v>38.212447530052536</v>
      </c>
      <c r="CW53" s="20">
        <f t="shared" si="13"/>
        <v>324.99903055928581</v>
      </c>
      <c r="CX53" s="59">
        <f t="shared" si="14"/>
        <v>618.33236389261913</v>
      </c>
      <c r="CY53" s="59">
        <f ca="1">AVERAGE(OFFSET($CX$3,0,0,'Données projet'!$E$13+1,1))-AVERAGE(OFFSET($H$3,0,0,'Données projet'!$E$13+1,1))</f>
        <v>196.25918971690442</v>
      </c>
      <c r="CZ53" s="59">
        <f t="shared" si="42"/>
        <v>148.35701313170205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11.199500856063175</v>
      </c>
      <c r="DH53" s="21">
        <f>EXP(-LN(2)/2)*DH52+(1-EXP(-LN(2)/2))/(LN(2)/2)*DB53*DE53*VLOOKUP('Données projet'!$B$13,Paramètres!$A$1:$I$89,3,0)*0.475*44/12</f>
        <v>0.51645191126453216</v>
      </c>
      <c r="DI53" s="22">
        <f t="shared" si="15"/>
        <v>11.715952767327707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11">
        <f t="shared" si="32"/>
        <v>7.6030930962115368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67">
        <f t="shared" si="1"/>
        <v>348.14548714256841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9.75</v>
      </c>
      <c r="N54" s="13">
        <f>IF('Données projet'!$A$36&gt;35,N53+M54-V53,IF(A54&lt;'Données projet'!$A$36,$K$205^A54,IF(A54='Données projet'!$A$36,'Données projet'!$B$36,N53+M54-V53)))</f>
        <v>216.25</v>
      </c>
      <c r="O54" s="13">
        <f>N54*VLOOKUP('Données projet'!$B$9,Paramètres!$A$1:$I$89,3,0)*VLOOKUP('Données projet'!$B$9,Paramètres!$A$1:$I$89,5,0)</f>
        <v>134.94</v>
      </c>
      <c r="P54" s="13">
        <f t="shared" si="33"/>
        <v>35.135358771568036</v>
      </c>
      <c r="Q54" s="20">
        <f t="shared" si="53"/>
        <v>296.21458319381429</v>
      </c>
      <c r="R54" s="59">
        <f t="shared" si="0"/>
        <v>589.54791652714766</v>
      </c>
      <c r="S54" s="59">
        <f ca="1">AVERAGE(OFFSET($R$3,0,0,'Données projet'!$E$9+1,1))-AVERAGE(OFFSET($H$3,0,0,'Données projet'!$E$9+1,1))</f>
        <v>180.31844548479722</v>
      </c>
      <c r="T54" s="59">
        <f t="shared" si="34"/>
        <v>273.83237400307223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27.385430101009103</v>
      </c>
      <c r="AA54" s="21">
        <f>EXP(-LN(2)/25)*AA53+(1-EXP(-LN(2)/25))/(LN(2)/25)*Calculateur!V54*Calculateur!X54*VLOOKUP('Données projet'!$B$9,Paramètres!$A$1:$I$89,3,0)*0.475*44/12</f>
        <v>69.791015906734216</v>
      </c>
      <c r="AB54" s="21">
        <f>EXP(-LN(2)/2)*AB53+(1-EXP(-LN(2)/2))/(LN(2)/2)*V54*Y54*VLOOKUP('Données projet'!$B$9,Paramètres!$A$1:$I$89,3,0)*0.475*44/12</f>
        <v>0</v>
      </c>
      <c r="AC54" s="22">
        <f t="shared" si="3"/>
        <v>97.176446007743323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-5.6843418860808015E-14</v>
      </c>
      <c r="AJ54" s="13">
        <f>AI54*VLOOKUP('Données projet'!$B$10,Paramètres!$A$1:$I$89,3,0)*VLOOKUP('Données projet'!$B$10,Paramètres!$A$1:$I$89,5,0)</f>
        <v>-3.1036506698001178E-14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160.54301845388551</v>
      </c>
      <c r="AO54" s="59">
        <f t="shared" si="36"/>
        <v>272.6634844951584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54.23837079504024</v>
      </c>
      <c r="AV54" s="21">
        <f>EXP(-LN(2)/25)*AV53+(1-EXP(-LN(2)/25))/(LN(2)/25)*Calculateur!AQ54*Calculateur!AS54*VLOOKUP('Données projet'!$B$10,Paramètres!$A$1:$I$89,3,0)*0.475*44/12</f>
        <v>110.51424114014333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164.75261193518355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14.668131868131875</v>
      </c>
      <c r="BD54" s="12">
        <f>IF('Données projet'!$A$88&gt;35,BD53+BC54-BL53,IF(A54&lt;'Données projet'!$A$88,$BA$205^A54,IF(A54='Données projet'!$A$88,'Données projet'!$B$88,BD53+BC54-BL53)))</f>
        <v>274.71318681318684</v>
      </c>
      <c r="BE54" s="13">
        <f>BD54*VLOOKUP('Données projet'!$B$11,Paramètres!$A$1:$I$89,3,0)*VLOOKUP('Données projet'!$B$11,Paramètres!$A$1:$I$89,5,0)</f>
        <v>128.56577142857145</v>
      </c>
      <c r="BF54" s="13">
        <f t="shared" si="37"/>
        <v>33.664737545838108</v>
      </c>
      <c r="BG54" s="20">
        <f t="shared" si="7"/>
        <v>282.55146979709662</v>
      </c>
      <c r="BH54" s="59">
        <f t="shared" si="8"/>
        <v>575.88480313042987</v>
      </c>
      <c r="BI54" s="59">
        <f ca="1">AVERAGE(OFFSET($BH$3,0,0,'Données projet'!$E$11+1,1))-AVERAGE(OFFSET($H$3,0,0,'Données projet'!$E$11+1,1))</f>
        <v>207.25176714718668</v>
      </c>
      <c r="BJ54" s="59">
        <f t="shared" si="38"/>
        <v>191.53228014642559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21.704958795860446</v>
      </c>
      <c r="BQ54" s="21">
        <f>EXP(-LN(2)/25)*BQ53+(1-EXP(-LN(2)/25))/(LN(2)/25)*Calculateur!BL54*Calculateur!BN54*VLOOKUP('Données projet'!$B$11,Paramètres!$A$1:$I$89,3,0)*0.475*44/12</f>
        <v>31.796712521304336</v>
      </c>
      <c r="BR54" s="21">
        <f>EXP(-LN(2)/2)*BR53+(1-EXP(-LN(2)/2))/(LN(2)/2)*BL54*BO54*VLOOKUP('Données projet'!$B$11,Paramètres!$A$1:$I$89,3,0)*0.475*44/12</f>
        <v>5.1571898309020954</v>
      </c>
      <c r="BS54" s="22">
        <f t="shared" si="9"/>
        <v>58.658861148066876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68.620424404221751</v>
      </c>
      <c r="CE54" s="59">
        <f t="shared" si="40"/>
        <v>203.12945099478918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25.606143443715361</v>
      </c>
      <c r="CL54" s="21">
        <f>EXP(-LN(2)/25)*CL53+(1-EXP(-LN(2)/25))/(LN(2)/25)*Calculateur!CG54*Calculateur!CI54*VLOOKUP('Données projet'!$B$12,Paramètres!$A$1:$I$89,3,0)*0.475*44/12</f>
        <v>4.2753670704128552</v>
      </c>
      <c r="CM54" s="21">
        <f>EXP(-LN(2)/2)*CM53+(1-EXP(-LN(2)/2))/(LN(2)/2)*CG54*CJ54*VLOOKUP('Données projet'!$B$12,Paramètres!$A$1:$I$89,3,0)*0.475*44/12</f>
        <v>3.1121101518908717E-4</v>
      </c>
      <c r="CN54" s="22">
        <f t="shared" si="12"/>
        <v>29.881821725143404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8.2005128205128202</v>
      </c>
      <c r="CT54" s="12">
        <f>IF('Données projet'!$A$140&gt;35,CT53+CS54-DB53,IF(A54&lt;'Données projet'!$A$140,$CQ$205^A54,IF(A54='Données projet'!$A$140,'Données projet'!$B$140,CT53+CS54-DB53)))</f>
        <v>256.34410256410246</v>
      </c>
      <c r="CU54" s="17">
        <f>CT54*VLOOKUP('Données projet'!$B$13,Paramètres!$A$1:$I$89,3,0)*VLOOKUP('Données projet'!$B$13,Paramètres!$A$1:$I$89,5,0)</f>
        <v>153.29377333333329</v>
      </c>
      <c r="CV54" s="13">
        <f t="shared" si="41"/>
        <v>39.326158558416402</v>
      </c>
      <c r="CW54" s="20">
        <f t="shared" si="13"/>
        <v>335.47971471146406</v>
      </c>
      <c r="CX54" s="59">
        <f t="shared" si="14"/>
        <v>628.81304804479737</v>
      </c>
      <c r="CY54" s="59">
        <f ca="1">AVERAGE(OFFSET($CX$3,0,0,'Données projet'!$E$13+1,1))-AVERAGE(OFFSET($H$3,0,0,'Données projet'!$E$13+1,1))</f>
        <v>196.25918971690442</v>
      </c>
      <c r="CZ54" s="59">
        <f t="shared" si="42"/>
        <v>148.35701313170205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10.893249916197973</v>
      </c>
      <c r="DH54" s="21">
        <f>EXP(-LN(2)/2)*DH53+(1-EXP(-LN(2)/2))/(LN(2)/2)*DB54*DE54*VLOOKUP('Données projet'!$B$13,Paramètres!$A$1:$I$89,3,0)*0.475*44/12</f>
        <v>0.36518664861190381</v>
      </c>
      <c r="DI54" s="22">
        <f t="shared" si="15"/>
        <v>11.258436564809877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11">
        <f t="shared" si="32"/>
        <v>7.7346711726299766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67">
        <f t="shared" si="1"/>
        <v>349.18975229233052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9.75</v>
      </c>
      <c r="N55" s="13">
        <f>IF('Données projet'!$A$36&gt;35,N54+M55-V54,IF(A55&lt;'Données projet'!$A$36,$K$205^A55,IF(A55='Données projet'!$A$36,'Données projet'!$B$36,N54+M55-V54)))</f>
        <v>226</v>
      </c>
      <c r="O55" s="13">
        <f>N55*VLOOKUP('Données projet'!$B$9,Paramètres!$A$1:$I$89,3,0)*VLOOKUP('Données projet'!$B$9,Paramètres!$A$1:$I$89,5,0)</f>
        <v>141.024</v>
      </c>
      <c r="P55" s="13">
        <f t="shared" si="33"/>
        <v>36.531489925882461</v>
      </c>
      <c r="Q55" s="20">
        <f t="shared" si="53"/>
        <v>309.24247828757859</v>
      </c>
      <c r="R55" s="59">
        <f t="shared" si="0"/>
        <v>602.57581162091196</v>
      </c>
      <c r="S55" s="59">
        <f ca="1">AVERAGE(OFFSET($R$3,0,0,'Données projet'!$E$9+1,1))-AVERAGE(OFFSET($H$3,0,0,'Données projet'!$E$9+1,1))</f>
        <v>180.31844548479722</v>
      </c>
      <c r="T55" s="59">
        <f t="shared" si="34"/>
        <v>273.83237400307223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26.848418520191345</v>
      </c>
      <c r="AA55" s="21">
        <f>EXP(-LN(2)/25)*AA54+(1-EXP(-LN(2)/25))/(LN(2)/25)*Calculateur!V55*Calculateur!X55*VLOOKUP('Données projet'!$B$9,Paramètres!$A$1:$I$89,3,0)*0.475*44/12</f>
        <v>67.882576906614545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94.73099542680589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-5.6843418860808015E-14</v>
      </c>
      <c r="AJ55" s="13">
        <f>AI55*VLOOKUP('Données projet'!$B$10,Paramètres!$A$1:$I$89,3,0)*VLOOKUP('Données projet'!$B$10,Paramètres!$A$1:$I$89,5,0)</f>
        <v>-3.1036506698001178E-14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160.54301845388551</v>
      </c>
      <c r="AO55" s="59">
        <f t="shared" si="36"/>
        <v>272.6634844951584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53.174789425889095</v>
      </c>
      <c r="AV55" s="21">
        <f>EXP(-LN(2)/25)*AV54+(1-EXP(-LN(2)/25))/(LN(2)/25)*Calculateur!AQ55*Calculateur!AS55*VLOOKUP('Données projet'!$B$10,Paramètres!$A$1:$I$89,3,0)*0.475*44/12</f>
        <v>107.49222340447474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160.66701283036383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14.668131868131875</v>
      </c>
      <c r="BD55" s="12">
        <f>IF('Données projet'!$A$88&gt;35,BD54+BC55-BL54,IF(A55&lt;'Données projet'!$A$88,$BA$205^A55,IF(A55='Données projet'!$A$88,'Données projet'!$B$88,BD54+BC55-BL54)))</f>
        <v>289.3813186813187</v>
      </c>
      <c r="BE55" s="13">
        <f>BD55*VLOOKUP('Données projet'!$B$11,Paramètres!$A$1:$I$89,3,0)*VLOOKUP('Données projet'!$B$11,Paramètres!$A$1:$I$89,5,0)</f>
        <v>135.43045714285716</v>
      </c>
      <c r="BF55" s="13">
        <f t="shared" si="37"/>
        <v>35.248174253598229</v>
      </c>
      <c r="BG55" s="20">
        <f t="shared" si="7"/>
        <v>297.26528301549314</v>
      </c>
      <c r="BH55" s="59">
        <f t="shared" si="8"/>
        <v>590.59861634882645</v>
      </c>
      <c r="BI55" s="59">
        <f ca="1">AVERAGE(OFFSET($BH$3,0,0,'Données projet'!$E$11+1,1))-AVERAGE(OFFSET($H$3,0,0,'Données projet'!$E$11+1,1))</f>
        <v>207.25176714718668</v>
      </c>
      <c r="BJ55" s="59">
        <f t="shared" si="38"/>
        <v>191.53228014642559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21.279337792591274</v>
      </c>
      <c r="BQ55" s="21">
        <f>EXP(-LN(2)/25)*BQ54+(1-EXP(-LN(2)/25))/(LN(2)/25)*Calculateur!BL55*Calculateur!BN55*VLOOKUP('Données projet'!$B$11,Paramètres!$A$1:$I$89,3,0)*0.475*44/12</f>
        <v>30.927229745292831</v>
      </c>
      <c r="BR55" s="21">
        <f>EXP(-LN(2)/2)*BR54+(1-EXP(-LN(2)/2))/(LN(2)/2)*BL55*BO55*VLOOKUP('Données projet'!$B$11,Paramètres!$A$1:$I$89,3,0)*0.475*44/12</f>
        <v>3.6466839012971763</v>
      </c>
      <c r="BS55" s="22">
        <f t="shared" si="9"/>
        <v>55.853251439181278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68.620424404221751</v>
      </c>
      <c r="CE55" s="59">
        <f t="shared" si="40"/>
        <v>203.12945099478918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25.104022588989434</v>
      </c>
      <c r="CL55" s="21">
        <f>EXP(-LN(2)/25)*CL54+(1-EXP(-LN(2)/25))/(LN(2)/25)*Calculateur!CG55*Calculateur!CI55*VLOOKUP('Données projet'!$B$12,Paramètres!$A$1:$I$89,3,0)*0.475*44/12</f>
        <v>4.1584569330406334</v>
      </c>
      <c r="CM55" s="21">
        <f>EXP(-LN(2)/2)*CM54+(1-EXP(-LN(2)/2))/(LN(2)/2)*CG55*CJ55*VLOOKUP('Données projet'!$B$12,Paramètres!$A$1:$I$89,3,0)*0.475*44/12</f>
        <v>2.2005941922015318E-4</v>
      </c>
      <c r="CN55" s="22">
        <f t="shared" si="12"/>
        <v>29.262699581449287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8.2005128205128202</v>
      </c>
      <c r="CT55" s="12">
        <f>IF('Données projet'!$A$140&gt;35,CT54+CS55-DB54,IF(A55&lt;'Données projet'!$A$140,$CQ$205^A55,IF(A55='Données projet'!$A$140,'Données projet'!$B$140,CT54+CS55-DB54)))</f>
        <v>264.54461538461527</v>
      </c>
      <c r="CU55" s="17">
        <f>CT55*VLOOKUP('Données projet'!$B$13,Paramètres!$A$1:$I$89,3,0)*VLOOKUP('Données projet'!$B$13,Paramètres!$A$1:$I$89,5,0)</f>
        <v>158.19767999999993</v>
      </c>
      <c r="CV55" s="13">
        <f t="shared" si="41"/>
        <v>40.435729465005785</v>
      </c>
      <c r="CW55" s="20">
        <f t="shared" si="13"/>
        <v>345.95318815155156</v>
      </c>
      <c r="CX55" s="59">
        <f t="shared" si="14"/>
        <v>639.28652148488482</v>
      </c>
      <c r="CY55" s="59">
        <f ca="1">AVERAGE(OFFSET($CX$3,0,0,'Données projet'!$E$13+1,1))-AVERAGE(OFFSET($H$3,0,0,'Données projet'!$E$13+1,1))</f>
        <v>196.25918971690442</v>
      </c>
      <c r="CZ55" s="59">
        <f t="shared" si="42"/>
        <v>148.35701313170205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10.595373424388423</v>
      </c>
      <c r="DH55" s="21">
        <f>EXP(-LN(2)/2)*DH54+(1-EXP(-LN(2)/2))/(LN(2)/2)*DB55*DE55*VLOOKUP('Données projet'!$B$13,Paramètres!$A$1:$I$89,3,0)*0.475*44/12</f>
        <v>0.25822595563226608</v>
      </c>
      <c r="DI55" s="22">
        <f t="shared" si="15"/>
        <v>10.85359938002069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11">
        <f t="shared" si="32"/>
        <v>7.8659550268183116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67">
        <f t="shared" si="1"/>
        <v>350.23350500504188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9.75</v>
      </c>
      <c r="N56" s="13">
        <f>IF('Données projet'!$A$36&gt;35,N55+M56-V55,IF(A56&lt;'Données projet'!$A$36,$K$205^A56,IF(A56='Données projet'!$A$36,'Données projet'!$B$36,N55+M56-V55)))</f>
        <v>235.75</v>
      </c>
      <c r="O56" s="13">
        <f>N56*VLOOKUP('Données projet'!$B$9,Paramètres!$A$1:$I$89,3,0)*VLOOKUP('Données projet'!$B$9,Paramètres!$A$1:$I$89,5,0)</f>
        <v>147.108</v>
      </c>
      <c r="P56" s="13">
        <f t="shared" si="33"/>
        <v>37.920625436598897</v>
      </c>
      <c r="Q56" s="20">
        <f t="shared" si="53"/>
        <v>322.25818930207646</v>
      </c>
      <c r="R56" s="59">
        <f t="shared" si="0"/>
        <v>615.59152263540977</v>
      </c>
      <c r="S56" s="59">
        <f ca="1">AVERAGE(OFFSET($R$3,0,0,'Données projet'!$E$9+1,1))-AVERAGE(OFFSET($H$3,0,0,'Données projet'!$E$9+1,1))</f>
        <v>180.31844548479722</v>
      </c>
      <c r="T56" s="59">
        <f t="shared" si="34"/>
        <v>273.83237400307223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26.321937408928701</v>
      </c>
      <c r="AA56" s="21">
        <f>EXP(-LN(2)/25)*AA55+(1-EXP(-LN(2)/25))/(LN(2)/25)*Calculateur!V56*Calculateur!X56*VLOOKUP('Données projet'!$B$9,Paramètres!$A$1:$I$89,3,0)*0.475*44/12</f>
        <v>66.026324271313598</v>
      </c>
      <c r="AB56" s="21">
        <f>EXP(-LN(2)/2)*AB55+(1-EXP(-LN(2)/2))/(LN(2)/2)*V56*Y56*VLOOKUP('Données projet'!$B$9,Paramètres!$A$1:$I$89,3,0)*0.475*44/12</f>
        <v>0</v>
      </c>
      <c r="AC56" s="22">
        <f t="shared" si="3"/>
        <v>92.348261680242302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-5.6843418860808015E-14</v>
      </c>
      <c r="AJ56" s="13">
        <f>AI56*VLOOKUP('Données projet'!$B$10,Paramètres!$A$1:$I$89,3,0)*VLOOKUP('Données projet'!$B$10,Paramètres!$A$1:$I$89,5,0)</f>
        <v>-3.1036506698001178E-14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160.54301845388551</v>
      </c>
      <c r="AO56" s="59">
        <f t="shared" si="36"/>
        <v>272.6634844951584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52.132064238666423</v>
      </c>
      <c r="AV56" s="21">
        <f>EXP(-LN(2)/25)*AV55+(1-EXP(-LN(2)/25))/(LN(2)/25)*Calculateur!AQ56*Calculateur!AS56*VLOOKUP('Données projet'!$B$10,Paramètres!$A$1:$I$89,3,0)*0.475*44/12</f>
        <v>104.55284290270903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156.68490714137545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14.668131868131875</v>
      </c>
      <c r="BD56" s="12">
        <f>IF('Données projet'!$A$88&gt;35,BD55+BC56-BL55,IF(A56&lt;'Données projet'!$A$88,$BA$205^A56,IF(A56='Données projet'!$A$88,'Données projet'!$B$88,BD55+BC56-BL55)))</f>
        <v>304.04945054945057</v>
      </c>
      <c r="BE56" s="13">
        <f>BD56*VLOOKUP('Données projet'!$B$11,Paramètres!$A$1:$I$89,3,0)*VLOOKUP('Données projet'!$B$11,Paramètres!$A$1:$I$89,5,0)</f>
        <v>142.29514285714285</v>
      </c>
      <c r="BF56" s="13">
        <f t="shared" si="37"/>
        <v>36.822291864436032</v>
      </c>
      <c r="BG56" s="20">
        <f t="shared" si="7"/>
        <v>311.96286547341651</v>
      </c>
      <c r="BH56" s="59">
        <f t="shared" si="8"/>
        <v>605.29619880674977</v>
      </c>
      <c r="BI56" s="59">
        <f ca="1">AVERAGE(OFFSET($BH$3,0,0,'Données projet'!$E$11+1,1))-AVERAGE(OFFSET($H$3,0,0,'Données projet'!$E$11+1,1))</f>
        <v>207.25176714718668</v>
      </c>
      <c r="BJ56" s="59">
        <f t="shared" si="38"/>
        <v>191.53228014642559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20.862062957593032</v>
      </c>
      <c r="BQ56" s="21">
        <f>EXP(-LN(2)/25)*BQ55+(1-EXP(-LN(2)/25))/(LN(2)/25)*Calculateur!BL56*Calculateur!BN56*VLOOKUP('Données projet'!$B$11,Paramètres!$A$1:$I$89,3,0)*0.475*44/12</f>
        <v>30.081523021515473</v>
      </c>
      <c r="BR56" s="21">
        <f>EXP(-LN(2)/2)*BR55+(1-EXP(-LN(2)/2))/(LN(2)/2)*BL56*BO56*VLOOKUP('Données projet'!$B$11,Paramètres!$A$1:$I$89,3,0)*0.475*44/12</f>
        <v>2.5785949154510481</v>
      </c>
      <c r="BS56" s="22">
        <f t="shared" si="9"/>
        <v>53.522180894559554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68.620424404221751</v>
      </c>
      <c r="CE56" s="59">
        <f t="shared" si="40"/>
        <v>203.12945099478918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24.611748017961201</v>
      </c>
      <c r="CL56" s="21">
        <f>EXP(-LN(2)/25)*CL55+(1-EXP(-LN(2)/25))/(LN(2)/25)*Calculateur!CG56*Calculateur!CI56*VLOOKUP('Données projet'!$B$12,Paramètres!$A$1:$I$89,3,0)*0.475*44/12</f>
        <v>4.0447437095228915</v>
      </c>
      <c r="CM56" s="21">
        <f>EXP(-LN(2)/2)*CM55+(1-EXP(-LN(2)/2))/(LN(2)/2)*CG56*CJ56*VLOOKUP('Données projet'!$B$12,Paramètres!$A$1:$I$89,3,0)*0.475*44/12</f>
        <v>1.5560550759454358E-4</v>
      </c>
      <c r="CN56" s="22">
        <f t="shared" si="12"/>
        <v>28.656647332991685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8.2005128205128202</v>
      </c>
      <c r="CT56" s="12">
        <f>IF('Données projet'!$A$140&gt;35,CT55+CS56-DB55,IF(A56&lt;'Données projet'!$A$140,$CQ$205^A56,IF(A56='Données projet'!$A$140,'Données projet'!$B$140,CT55+CS56-DB55)))</f>
        <v>272.74512820512808</v>
      </c>
      <c r="CU56" s="17">
        <f>CT56*VLOOKUP('Données projet'!$B$13,Paramètres!$A$1:$I$89,3,0)*VLOOKUP('Données projet'!$B$13,Paramètres!$A$1:$I$89,5,0)</f>
        <v>163.10158666666661</v>
      </c>
      <c r="CV56" s="13">
        <f t="shared" si="41"/>
        <v>41.5413033146503</v>
      </c>
      <c r="CW56" s="20">
        <f t="shared" si="13"/>
        <v>356.41970005079355</v>
      </c>
      <c r="CX56" s="59">
        <f t="shared" si="14"/>
        <v>649.75303338412687</v>
      </c>
      <c r="CY56" s="59">
        <f ca="1">AVERAGE(OFFSET($CX$3,0,0,'Données projet'!$E$13+1,1))-AVERAGE(OFFSET($H$3,0,0,'Données projet'!$E$13+1,1))</f>
        <v>196.25918971690442</v>
      </c>
      <c r="CZ56" s="59">
        <f t="shared" si="42"/>
        <v>148.35701313170205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10.305642380912049</v>
      </c>
      <c r="DH56" s="21">
        <f>EXP(-LN(2)/2)*DH55+(1-EXP(-LN(2)/2))/(LN(2)/2)*DB56*DE56*VLOOKUP('Données projet'!$B$13,Paramètres!$A$1:$I$89,3,0)*0.475*44/12</f>
        <v>0.1825933243059519</v>
      </c>
      <c r="DI56" s="22">
        <f t="shared" si="15"/>
        <v>10.488235705218001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11">
        <f t="shared" si="32"/>
        <v>7.996950850258413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67">
        <f t="shared" si="1"/>
        <v>351.27675606420007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9.75</v>
      </c>
      <c r="N57" s="13">
        <f>IF('Données projet'!$A$36&gt;35,N56+M57-V56,IF(A57&lt;'Données projet'!$A$36,$K$205^A57,IF(A57='Données projet'!$A$36,'Données projet'!$B$36,N56+M57-V56)))</f>
        <v>245.5</v>
      </c>
      <c r="O57" s="13">
        <f>N57*VLOOKUP('Données projet'!$B$9,Paramètres!$A$1:$I$89,3,0)*VLOOKUP('Données projet'!$B$9,Paramètres!$A$1:$I$89,5,0)</f>
        <v>153.19199999999998</v>
      </c>
      <c r="P57" s="13">
        <f t="shared" si="33"/>
        <v>39.303087713366921</v>
      </c>
      <c r="Q57" s="20">
        <f t="shared" si="53"/>
        <v>335.2622777674473</v>
      </c>
      <c r="R57" s="59">
        <f t="shared" si="0"/>
        <v>628.59561110078062</v>
      </c>
      <c r="S57" s="59">
        <f ca="1">AVERAGE(OFFSET($R$3,0,0,'Données projet'!$E$9+1,1))-AVERAGE(OFFSET($H$3,0,0,'Données projet'!$E$9+1,1))</f>
        <v>180.31844548479722</v>
      </c>
      <c r="T57" s="59">
        <f t="shared" si="34"/>
        <v>273.83237400307223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25.80578027113615</v>
      </c>
      <c r="AA57" s="21">
        <f>EXP(-LN(2)/25)*AA56+(1-EXP(-LN(2)/25))/(LN(2)/25)*Calculateur!V57*Calculateur!X57*VLOOKUP('Données projet'!$B$9,Paramètres!$A$1:$I$89,3,0)*0.475*44/12</f>
        <v>64.220830961941033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90.026611233077176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-5.6843418860808015E-14</v>
      </c>
      <c r="AJ57" s="13">
        <f>AI57*VLOOKUP('Données projet'!$B$10,Paramètres!$A$1:$I$89,3,0)*VLOOKUP('Données projet'!$B$10,Paramètres!$A$1:$I$89,5,0)</f>
        <v>-3.1036506698001178E-14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160.54301845388551</v>
      </c>
      <c r="AO57" s="59">
        <f t="shared" si="36"/>
        <v>272.6634844951584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51.109786256365624</v>
      </c>
      <c r="AV57" s="21">
        <f>EXP(-LN(2)/25)*AV56+(1-EXP(-LN(2)/25))/(LN(2)/25)*Calculateur!AQ57*Calculateur!AS57*VLOOKUP('Données projet'!$B$10,Paramètres!$A$1:$I$89,3,0)*0.475*44/12</f>
        <v>101.69383991533941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152.80362617170505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14.668131868131875</v>
      </c>
      <c r="BD57" s="12">
        <f>IF('Données projet'!$A$88&gt;35,BD56+BC57-BL56,IF(A57&lt;'Données projet'!$A$88,$BA$205^A57,IF(A57='Données projet'!$A$88,'Données projet'!$B$88,BD56+BC57-BL56)))</f>
        <v>318.71758241758243</v>
      </c>
      <c r="BE57" s="13">
        <f>BD57*VLOOKUP('Données projet'!$B$11,Paramètres!$A$1:$I$89,3,0)*VLOOKUP('Données projet'!$B$11,Paramètres!$A$1:$I$89,5,0)</f>
        <v>149.15982857142859</v>
      </c>
      <c r="BF57" s="13">
        <f t="shared" si="37"/>
        <v>38.387591277502224</v>
      </c>
      <c r="BG57" s="20">
        <f t="shared" si="7"/>
        <v>326.64508957022116</v>
      </c>
      <c r="BH57" s="59">
        <f t="shared" si="8"/>
        <v>619.97842290355447</v>
      </c>
      <c r="BI57" s="59">
        <f ca="1">AVERAGE(OFFSET($BH$3,0,0,'Données projet'!$E$11+1,1))-AVERAGE(OFFSET($H$3,0,0,'Données projet'!$E$11+1,1))</f>
        <v>207.25176714718668</v>
      </c>
      <c r="BJ57" s="59">
        <f t="shared" si="38"/>
        <v>191.53228014642559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20.452970627596589</v>
      </c>
      <c r="BQ57" s="21">
        <f>EXP(-LN(2)/25)*BQ56+(1-EXP(-LN(2)/25))/(LN(2)/25)*Calculateur!BL57*Calculateur!BN57*VLOOKUP('Données projet'!$B$11,Paramètres!$A$1:$I$89,3,0)*0.475*44/12</f>
        <v>29.258942192573588</v>
      </c>
      <c r="BR57" s="21">
        <f>EXP(-LN(2)/2)*BR56+(1-EXP(-LN(2)/2))/(LN(2)/2)*BL57*BO57*VLOOKUP('Données projet'!$B$11,Paramètres!$A$1:$I$89,3,0)*0.475*44/12</f>
        <v>1.8233419506485884</v>
      </c>
      <c r="BS57" s="22">
        <f t="shared" si="9"/>
        <v>51.535254770818767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68.620424404221751</v>
      </c>
      <c r="CE57" s="59">
        <f t="shared" si="40"/>
        <v>203.12945099478918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24.129126651012992</v>
      </c>
      <c r="CL57" s="21">
        <f>EXP(-LN(2)/25)*CL56+(1-EXP(-LN(2)/25))/(LN(2)/25)*Calculateur!CG57*Calculateur!CI57*VLOOKUP('Données projet'!$B$12,Paramètres!$A$1:$I$89,3,0)*0.475*44/12</f>
        <v>3.9341399800821608</v>
      </c>
      <c r="CM57" s="21">
        <f>EXP(-LN(2)/2)*CM56+(1-EXP(-LN(2)/2))/(LN(2)/2)*CG57*CJ57*VLOOKUP('Données projet'!$B$12,Paramètres!$A$1:$I$89,3,0)*0.475*44/12</f>
        <v>1.1002970961007659E-4</v>
      </c>
      <c r="CN57" s="22">
        <f t="shared" si="12"/>
        <v>28.063376660804764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8.2005128205128202</v>
      </c>
      <c r="CT57" s="12">
        <f>IF('Données projet'!$A$140&gt;35,CT56+CS57-DB56,IF(A57&lt;'Données projet'!$A$140,$CQ$205^A57,IF(A57='Données projet'!$A$140,'Données projet'!$B$140,CT56+CS57-DB56)))</f>
        <v>280.9456410256409</v>
      </c>
      <c r="CU57" s="17">
        <f>CT57*VLOOKUP('Données projet'!$B$13,Paramètres!$A$1:$I$89,3,0)*VLOOKUP('Données projet'!$B$13,Paramètres!$A$1:$I$89,5,0)</f>
        <v>168.00549333333325</v>
      </c>
      <c r="CV57" s="13">
        <f t="shared" si="41"/>
        <v>42.643014080308937</v>
      </c>
      <c r="CW57" s="20">
        <f t="shared" si="13"/>
        <v>366.8794837454268</v>
      </c>
      <c r="CX57" s="59">
        <f t="shared" si="14"/>
        <v>660.21281707876005</v>
      </c>
      <c r="CY57" s="59">
        <f ca="1">AVERAGE(OFFSET($CX$3,0,0,'Données projet'!$E$13+1,1))-AVERAGE(OFFSET($H$3,0,0,'Données projet'!$E$13+1,1))</f>
        <v>196.25918971690442</v>
      </c>
      <c r="CZ57" s="59">
        <f t="shared" si="42"/>
        <v>148.35701313170205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10.02383404805583</v>
      </c>
      <c r="DH57" s="21">
        <f>EXP(-LN(2)/2)*DH56+(1-EXP(-LN(2)/2))/(LN(2)/2)*DB57*DE57*VLOOKUP('Données projet'!$B$13,Paramètres!$A$1:$I$89,3,0)*0.475*44/12</f>
        <v>0.12911297781613304</v>
      </c>
      <c r="DI57" s="22">
        <f t="shared" si="15"/>
        <v>10.152947025871963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11">
        <f t="shared" si="32"/>
        <v>8.1276645919917723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67">
        <f t="shared" si="1"/>
        <v>352.31951583105229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9.75</v>
      </c>
      <c r="N58" s="13">
        <f>IF('Données projet'!$A$36&gt;35,N57+M58-V57,IF(A58&lt;'Données projet'!$A$36,$K$205^A58,IF(A58='Données projet'!$A$36,'Données projet'!$B$36,N57+M58-V57)))</f>
        <v>255.25</v>
      </c>
      <c r="O58" s="13">
        <f>N58*VLOOKUP('Données projet'!$B$9,Paramètres!$A$1:$I$89,3,0)*VLOOKUP('Données projet'!$B$9,Paramètres!$A$1:$I$89,5,0)</f>
        <v>159.27600000000001</v>
      </c>
      <c r="P58" s="13">
        <f t="shared" si="33"/>
        <v>40.679172107249002</v>
      </c>
      <c r="Q58" s="20">
        <f t="shared" si="53"/>
        <v>348.25525808679203</v>
      </c>
      <c r="R58" s="59">
        <f t="shared" si="0"/>
        <v>641.58859142012534</v>
      </c>
      <c r="S58" s="59">
        <f ca="1">AVERAGE(OFFSET($R$3,0,0,'Données projet'!$E$9+1,1))-AVERAGE(OFFSET($H$3,0,0,'Données projet'!$E$9+1,1))</f>
        <v>180.31844548479722</v>
      </c>
      <c r="T58" s="59">
        <f t="shared" si="34"/>
        <v>273.83237400307223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25.299744659990942</v>
      </c>
      <c r="AA58" s="21">
        <f>EXP(-LN(2)/25)*AA57+(1-EXP(-LN(2)/25))/(LN(2)/25)*Calculateur!V58*Calculateur!X58*VLOOKUP('Données projet'!$B$9,Paramètres!$A$1:$I$89,3,0)*0.475*44/12</f>
        <v>62.464708962060037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87.764453622050979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-5.6843418860808015E-14</v>
      </c>
      <c r="AJ58" s="13">
        <f>AI58*VLOOKUP('Données projet'!$B$10,Paramètres!$A$1:$I$89,3,0)*VLOOKUP('Données projet'!$B$10,Paramètres!$A$1:$I$89,5,0)</f>
        <v>-3.1036506698001178E-14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160.54301845388551</v>
      </c>
      <c r="AO58" s="59">
        <f t="shared" si="36"/>
        <v>272.6634844951584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50.107554521769742</v>
      </c>
      <c r="AV58" s="21">
        <f>EXP(-LN(2)/25)*AV57+(1-EXP(-LN(2)/25))/(LN(2)/25)*Calculateur!AQ58*Calculateur!AS58*VLOOKUP('Données projet'!$B$10,Paramètres!$A$1:$I$89,3,0)*0.475*44/12</f>
        <v>98.91301651500784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149.0205710367776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14.668131868131875</v>
      </c>
      <c r="BD58" s="12">
        <f>IF('Données projet'!$A$88&gt;35,BD57+BC58-BL57,IF(A58&lt;'Données projet'!$A$88,$BA$205^A58,IF(A58='Données projet'!$A$88,'Données projet'!$B$88,BD57+BC58-BL57)))</f>
        <v>333.3857142857143</v>
      </c>
      <c r="BE58" s="13">
        <f>BD58*VLOOKUP('Données projet'!$B$11,Paramètres!$A$1:$I$89,3,0)*VLOOKUP('Données projet'!$B$11,Paramètres!$A$1:$I$89,5,0)</f>
        <v>156.0245142857143</v>
      </c>
      <c r="BF58" s="13">
        <f t="shared" si="37"/>
        <v>39.944524680961258</v>
      </c>
      <c r="BG58" s="20">
        <f t="shared" si="7"/>
        <v>341.31274286695992</v>
      </c>
      <c r="BH58" s="59">
        <f t="shared" si="8"/>
        <v>634.64607620029324</v>
      </c>
      <c r="BI58" s="59">
        <f ca="1">AVERAGE(OFFSET($BH$3,0,0,'Données projet'!$E$11+1,1))-AVERAGE(OFFSET($H$3,0,0,'Données projet'!$E$11+1,1))</f>
        <v>207.25176714718668</v>
      </c>
      <c r="BJ58" s="59">
        <f t="shared" si="38"/>
        <v>191.53228014642559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20.05190034866969</v>
      </c>
      <c r="BQ58" s="21">
        <f>EXP(-LN(2)/25)*BQ57+(1-EXP(-LN(2)/25))/(LN(2)/25)*Calculateur!BL58*Calculateur!BN58*VLOOKUP('Données projet'!$B$11,Paramètres!$A$1:$I$89,3,0)*0.475*44/12</f>
        <v>28.458854879656766</v>
      </c>
      <c r="BR58" s="21">
        <f>EXP(-LN(2)/2)*BR57+(1-EXP(-LN(2)/2))/(LN(2)/2)*BL58*BO58*VLOOKUP('Données projet'!$B$11,Paramètres!$A$1:$I$89,3,0)*0.475*44/12</f>
        <v>1.2892974577255243</v>
      </c>
      <c r="BS58" s="22">
        <f t="shared" si="9"/>
        <v>49.800052686051984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68.620424404221751</v>
      </c>
      <c r="CE58" s="59">
        <f t="shared" si="40"/>
        <v>203.12945099478918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23.65596919470067</v>
      </c>
      <c r="CL58" s="21">
        <f>EXP(-LN(2)/25)*CL57+(1-EXP(-LN(2)/25))/(LN(2)/25)*Calculateur!CG58*Calculateur!CI58*VLOOKUP('Données projet'!$B$12,Paramètres!$A$1:$I$89,3,0)*0.475*44/12</f>
        <v>3.8265607154393844</v>
      </c>
      <c r="CM58" s="21">
        <f>EXP(-LN(2)/2)*CM57+(1-EXP(-LN(2)/2))/(LN(2)/2)*CG58*CJ58*VLOOKUP('Données projet'!$B$12,Paramètres!$A$1:$I$89,3,0)*0.475*44/12</f>
        <v>7.7802753797271792E-5</v>
      </c>
      <c r="CN58" s="22">
        <f t="shared" si="12"/>
        <v>27.482607712893852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289.14615384615382</v>
      </c>
      <c r="CR58" s="12">
        <f>VLOOKUP(A58,'Données projet'!$A$139:$I$159,9,0)</f>
        <v>8.2005128205128202</v>
      </c>
      <c r="CS58" s="12">
        <f t="array" ref="CS58">INDEX(CR:CR,MIN(IF(ISNUMBER(CR58:CR254),ROW(CR58:CR254),"")))</f>
        <v>8.2005128205128202</v>
      </c>
      <c r="CT58" s="12">
        <f>IF('Données projet'!$A$140&gt;35,CT57+CS58-DB57,IF(A58&lt;'Données projet'!$A$140,$CQ$205^A58,IF(A58='Données projet'!$A$140,'Données projet'!$B$140,CT57+CS58-DB57)))</f>
        <v>289.14615384615371</v>
      </c>
      <c r="CU58" s="17">
        <f>CT58*VLOOKUP('Données projet'!$B$13,Paramètres!$A$1:$I$89,3,0)*VLOOKUP('Données projet'!$B$13,Paramètres!$A$1:$I$89,5,0)</f>
        <v>172.90939999999995</v>
      </c>
      <c r="CV58" s="13">
        <f t="shared" si="41"/>
        <v>43.740987469180624</v>
      </c>
      <c r="CW58" s="20">
        <f t="shared" si="13"/>
        <v>377.33275817548952</v>
      </c>
      <c r="CX58" s="59">
        <f t="shared" si="14"/>
        <v>670.66609150882277</v>
      </c>
      <c r="CY58" s="59">
        <f ca="1">AVERAGE(OFFSET($CX$3,0,0,'Données projet'!$E$13+1,1))-AVERAGE(OFFSET($H$3,0,0,'Données projet'!$E$13+1,1))</f>
        <v>196.25918971690442</v>
      </c>
      <c r="CZ58" s="59">
        <f t="shared" si="42"/>
        <v>148.35701313170205</v>
      </c>
      <c r="DA58" s="15">
        <f>IF(ISNA(VLOOKUP(A58,'Données projet'!$A$139:$I$159,3,0)),0,VLOOKUP(A58,'Données projet'!$A$139:$I$159,3,0))</f>
        <v>2</v>
      </c>
      <c r="DB58" s="15">
        <f>IF(ISNA(VLOOKUP(A58,'Données projet'!$A$139:$I$159,4,0)),0,VLOOKUP(A58,'Données projet'!$A$139:$I$159,4,0))</f>
        <v>65.053846153846152</v>
      </c>
      <c r="DC58" s="16">
        <f>IF(ISNA(VLOOKUP(A58,'Données projet'!$A$139:$I$159,5,0)),0%,VLOOKUP(A58,'Données projet'!$A$139:$I$159,5,0)*VLOOKUP('Données projet'!$B$13,Paramètres!$A$1:$I$89,7,0))</f>
        <v>4.9500000000000002E-2</v>
      </c>
      <c r="DD58" s="16">
        <f>IF(ISNA(VLOOKUP(A58,'Données projet'!$A$139:$I$159,6,0)),0%,VLOOKUP(A58,'Données projet'!$A$139:$I$159,6,0)*VLOOKUP('Données projet'!$B$13,Paramètres!$A$1:$I$89,7,0))</f>
        <v>0.27900000000000003</v>
      </c>
      <c r="DE58" s="16">
        <f>IF(ISNA(VLOOKUP(A58,'Données projet'!$A$139:$I$159,7,0)),0%,VLOOKUP(A58,'Données projet'!$A$139:$I$159,7,0))</f>
        <v>0.27</v>
      </c>
      <c r="DF58" s="21">
        <f>EXP(-LN(2)/35)*DF57+(1-EXP(-LN(2)/35))/(LN(2)/35)*DB58*DC58*VLOOKUP('Données projet'!$B$13,Paramètres!$A$1:$I$89,3,0)*0.475*44/12</f>
        <v>2.5545106500408039</v>
      </c>
      <c r="DG58" s="21">
        <f>EXP(-LN(2)/25)*DG57+(1-EXP(-LN(2)/25))/(LN(2)/25)*Calculateur!DB58*Calculateur!DD58*VLOOKUP('Données projet'!$B$13,Paramètres!$A$1:$I$89,3,0)*0.475*44/12</f>
        <v>24.091191709111865</v>
      </c>
      <c r="DH58" s="21">
        <f>EXP(-LN(2)/2)*DH57+(1-EXP(-LN(2)/2))/(LN(2)/2)*DB58*DE58*VLOOKUP('Données projet'!$B$13,Paramètres!$A$1:$I$89,3,0)*0.475*44/12</f>
        <v>11.983805029058178</v>
      </c>
      <c r="DI58" s="22">
        <f t="shared" si="15"/>
        <v>38.629507388210847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11">
        <f t="shared" si="32"/>
        <v>8.2581019723450986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67">
        <f t="shared" si="1"/>
        <v>353.361794268501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9.75</v>
      </c>
      <c r="N59" s="13">
        <f>IF('Données projet'!$A$36&gt;35,N58+M59-V58,IF(A59&lt;'Données projet'!$A$36,$K$205^A59,IF(A59='Données projet'!$A$36,'Données projet'!$B$36,N58+M59-V58)))</f>
        <v>265</v>
      </c>
      <c r="O59" s="13">
        <f>N59*VLOOKUP('Données projet'!$B$9,Paramètres!$A$1:$I$89,3,0)*VLOOKUP('Données projet'!$B$9,Paramètres!$A$1:$I$89,5,0)</f>
        <v>165.35999999999999</v>
      </c>
      <c r="P59" s="13">
        <f t="shared" si="33"/>
        <v>42.04915012784209</v>
      </c>
      <c r="Q59" s="20">
        <f t="shared" si="53"/>
        <v>361.2376031393249</v>
      </c>
      <c r="R59" s="59">
        <f t="shared" si="0"/>
        <v>654.57093647265822</v>
      </c>
      <c r="S59" s="59">
        <f ca="1">AVERAGE(OFFSET($R$3,0,0,'Données projet'!$E$9+1,1))-AVERAGE(OFFSET($H$3,0,0,'Données projet'!$E$9+1,1))</f>
        <v>180.31844548479722</v>
      </c>
      <c r="T59" s="59">
        <f t="shared" si="34"/>
        <v>273.83237400307223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24.803632098529047</v>
      </c>
      <c r="AA59" s="21">
        <f>EXP(-LN(2)/25)*AA58+(1-EXP(-LN(2)/25))/(LN(2)/25)*Calculateur!V59*Calculateur!X59*VLOOKUP('Données projet'!$B$9,Paramètres!$A$1:$I$89,3,0)*0.475*44/12</f>
        <v>60.756608210616228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85.560240309145271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-5.6843418860808015E-14</v>
      </c>
      <c r="AJ59" s="13">
        <f>AI59*VLOOKUP('Données projet'!$B$10,Paramètres!$A$1:$I$89,3,0)*VLOOKUP('Données projet'!$B$10,Paramètres!$A$1:$I$89,5,0)</f>
        <v>-3.1036506698001178E-14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160.54301845388551</v>
      </c>
      <c r="AO59" s="59">
        <f t="shared" si="36"/>
        <v>272.6634844951584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49.124975940188293</v>
      </c>
      <c r="AV59" s="21">
        <f>EXP(-LN(2)/25)*AV58+(1-EXP(-LN(2)/25))/(LN(2)/25)*Calculateur!AQ59*Calculateur!AS59*VLOOKUP('Données projet'!$B$10,Paramètres!$A$1:$I$89,3,0)*0.475*44/12</f>
        <v>96.208234876795487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145.33321081698378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348.05384615384617</v>
      </c>
      <c r="BB59" s="12">
        <f>VLOOKUP(A59,'Données projet'!$A$87:$I$107,9,0)</f>
        <v>14.668131868131875</v>
      </c>
      <c r="BC59" s="12">
        <f t="array" ref="BC59">INDEX(BB:BB,MIN(IF(ISNUMBER(BB59:BB255),ROW(BB59:BB255),"")))</f>
        <v>14.668131868131875</v>
      </c>
      <c r="BD59" s="12">
        <f>IF('Données projet'!$A$88&gt;35,BD58+BC59-BL58,IF(A59&lt;'Données projet'!$A$88,$BA$205^A59,IF(A59='Données projet'!$A$88,'Données projet'!$B$88,BD58+BC59-BL58)))</f>
        <v>348.05384615384617</v>
      </c>
      <c r="BE59" s="13">
        <f>BD59*VLOOKUP('Données projet'!$B$11,Paramètres!$A$1:$I$89,3,0)*VLOOKUP('Données projet'!$B$11,Paramètres!$A$1:$I$89,5,0)</f>
        <v>162.88919999999999</v>
      </c>
      <c r="BF59" s="13">
        <f t="shared" si="37"/>
        <v>41.493502222820894</v>
      </c>
      <c r="BG59" s="20">
        <f t="shared" si="7"/>
        <v>355.96653970474637</v>
      </c>
      <c r="BH59" s="59">
        <f t="shared" si="8"/>
        <v>649.29987303807968</v>
      </c>
      <c r="BI59" s="59">
        <f ca="1">AVERAGE(OFFSET($BH$3,0,0,'Données projet'!$E$11+1,1))-AVERAGE(OFFSET($H$3,0,0,'Données projet'!$E$11+1,1))</f>
        <v>207.25176714718668</v>
      </c>
      <c r="BJ59" s="59">
        <f t="shared" si="38"/>
        <v>191.53228014642559</v>
      </c>
      <c r="BK59" s="15">
        <f>IF(ISNA(VLOOKUP(A59,'Données projet'!$A$87:$I$107,3,0)),0,VLOOKUP(A59,'Données projet'!$A$87:$I$107,3,0))</f>
        <v>3</v>
      </c>
      <c r="BL59" s="15">
        <f>IF(ISNA(VLOOKUP(A59,'Données projet'!$A$87:$I$107,4,0)),0,VLOOKUP(A59,'Données projet'!$A$87:$I$107,4,0))</f>
        <v>72.769230769230759</v>
      </c>
      <c r="BM59" s="16">
        <f>IF(ISNA(VLOOKUP(A59,'Données projet'!$A$87:$I$107,5,0)),0%,VLOOKUP(A59,'Données projet'!$A$87:$I$107,5,0)*VLOOKUP('Données projet'!$B$11,Paramètres!$A$1:$I$89,7,0))</f>
        <v>0.38500000000000001</v>
      </c>
      <c r="BN59" s="16">
        <f>IF(ISNA(VLOOKUP(A59,'Données projet'!$A$87:$I$107,6,0)),0%,VLOOKUP(A59,'Données projet'!$A$87:$I$107,6,0)*VLOOKUP('Données projet'!$B$11,Paramètres!$A$1:$I$89,7,0))</f>
        <v>9.240000000000001E-2</v>
      </c>
      <c r="BO59" s="16">
        <f>IF(ISNA(VLOOKUP(A59,'Données projet'!$A$87:$I$107,7,0)),0%,VLOOKUP(A59,'Données projet'!$A$87:$I$107,7,0))</f>
        <v>0.13200000000000001</v>
      </c>
      <c r="BP59" s="21">
        <f>EXP(-LN(2)/35)*BP58+(1-EXP(-LN(2)/35))/(LN(2)/35)*BL59*BM59*VLOOKUP('Données projet'!$B$11,Paramètres!$A$1:$I$89,3,0)*0.475*44/12</f>
        <v>37.05202426464669</v>
      </c>
      <c r="BQ59" s="21">
        <f>EXP(-LN(2)/25)*BQ58+(1-EXP(-LN(2)/25))/(LN(2)/25)*Calculateur!BL59*Calculateur!BN59*VLOOKUP('Données projet'!$B$11,Paramètres!$A$1:$I$89,3,0)*0.475*44/12</f>
        <v>31.838608865010755</v>
      </c>
      <c r="BR59" s="21">
        <f>EXP(-LN(2)/2)*BR58+(1-EXP(-LN(2)/2))/(LN(2)/2)*BL59*BO59*VLOOKUP('Données projet'!$B$11,Paramètres!$A$1:$I$89,3,0)*0.475*44/12</f>
        <v>6.0014989877663876</v>
      </c>
      <c r="BS59" s="22">
        <f t="shared" si="9"/>
        <v>74.892132117423827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68.620424404221751</v>
      </c>
      <c r="CE59" s="59">
        <f t="shared" si="40"/>
        <v>203.12945099478918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23.192090067509081</v>
      </c>
      <c r="CL59" s="21">
        <f>EXP(-LN(2)/25)*CL58+(1-EXP(-LN(2)/25))/(LN(2)/25)*Calculateur!CG59*Calculateur!CI59*VLOOKUP('Données projet'!$B$12,Paramètres!$A$1:$I$89,3,0)*0.475*44/12</f>
        <v>3.721923211445612</v>
      </c>
      <c r="CM59" s="21">
        <f>EXP(-LN(2)/2)*CM58+(1-EXP(-LN(2)/2))/(LN(2)/2)*CG59*CJ59*VLOOKUP('Données projet'!$B$12,Paramètres!$A$1:$I$89,3,0)*0.475*44/12</f>
        <v>5.5014854805038295E-5</v>
      </c>
      <c r="CN59" s="22">
        <f t="shared" si="12"/>
        <v>26.9140682938095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7.2728205128205143</v>
      </c>
      <c r="CT59" s="12">
        <f>IF('Données projet'!$A$140&gt;35,CT58+CS59-DB58,IF(A59&lt;'Données projet'!$A$140,$CQ$205^A59,IF(A59='Données projet'!$A$140,'Données projet'!$B$140,CT58+CS59-DB58)))</f>
        <v>231.36512820512803</v>
      </c>
      <c r="CU59" s="17">
        <f>CT59*VLOOKUP('Données projet'!$B$13,Paramètres!$A$1:$I$89,3,0)*VLOOKUP('Données projet'!$B$13,Paramètres!$A$1:$I$89,5,0)</f>
        <v>138.35634666666658</v>
      </c>
      <c r="CV59" s="13">
        <f t="shared" si="41"/>
        <v>35.92020918152793</v>
      </c>
      <c r="CW59" s="20">
        <f t="shared" si="13"/>
        <v>303.53166810227208</v>
      </c>
      <c r="CX59" s="59">
        <f t="shared" si="14"/>
        <v>596.86500143560534</v>
      </c>
      <c r="CY59" s="59">
        <f ca="1">AVERAGE(OFFSET($CX$3,0,0,'Données projet'!$E$13+1,1))-AVERAGE(OFFSET($H$3,0,0,'Données projet'!$E$13+1,1))</f>
        <v>196.25918971690442</v>
      </c>
      <c r="CZ59" s="59">
        <f t="shared" si="42"/>
        <v>148.35701313170205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2.5044182542911511</v>
      </c>
      <c r="DG59" s="21">
        <f>EXP(-LN(2)/25)*DG58+(1-EXP(-LN(2)/25))/(LN(2)/25)*Calculateur!DB59*Calculateur!DD59*VLOOKUP('Données projet'!$B$13,Paramètres!$A$1:$I$89,3,0)*0.475*44/12</f>
        <v>23.432416804925492</v>
      </c>
      <c r="DH59" s="21">
        <f>EXP(-LN(2)/2)*DH58+(1-EXP(-LN(2)/2))/(LN(2)/2)*DB59*DE59*VLOOKUP('Données projet'!$B$13,Paramètres!$A$1:$I$89,3,0)*0.475*44/12</f>
        <v>8.4738298004644896</v>
      </c>
      <c r="DI59" s="22">
        <f t="shared" si="15"/>
        <v>34.410664859681134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11">
        <f t="shared" si="32"/>
        <v>8.388268495647786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67">
        <f t="shared" si="1"/>
        <v>354.40360096325321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9.75</v>
      </c>
      <c r="N60" s="13">
        <f>IF('Données projet'!$A$36&gt;35,N59+M60-V59,IF(A60&lt;'Données projet'!$A$36,$K$205^A60,IF(A60='Données projet'!$A$36,'Données projet'!$B$36,N59+M60-V59)))</f>
        <v>274.75</v>
      </c>
      <c r="O60" s="13">
        <f>N60*VLOOKUP('Données projet'!$B$9,Paramètres!$A$1:$I$89,3,0)*VLOOKUP('Données projet'!$B$9,Paramètres!$A$1:$I$89,5,0)</f>
        <v>171.44399999999999</v>
      </c>
      <c r="P60" s="13">
        <f t="shared" si="33"/>
        <v>43.413272173627242</v>
      </c>
      <c r="Q60" s="20">
        <f t="shared" si="53"/>
        <v>374.20974903573409</v>
      </c>
      <c r="R60" s="59">
        <f t="shared" si="0"/>
        <v>667.54308236906741</v>
      </c>
      <c r="S60" s="59">
        <f ca="1">AVERAGE(OFFSET($R$3,0,0,'Données projet'!$E$9+1,1))-AVERAGE(OFFSET($H$3,0,0,'Données projet'!$E$9+1,1))</f>
        <v>180.31844548479722</v>
      </c>
      <c r="T60" s="59">
        <f t="shared" si="34"/>
        <v>273.83237400307223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24.317248001798635</v>
      </c>
      <c r="AA60" s="21">
        <f>EXP(-LN(2)/25)*AA59+(1-EXP(-LN(2)/25))/(LN(2)/25)*Calculateur!V60*Calculateur!X60*VLOOKUP('Données projet'!$B$9,Paramètres!$A$1:$I$89,3,0)*0.475*44/12</f>
        <v>59.095215564045766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83.412463565844405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-5.6843418860808015E-14</v>
      </c>
      <c r="AJ60" s="13">
        <f>AI60*VLOOKUP('Données projet'!$B$10,Paramètres!$A$1:$I$89,3,0)*VLOOKUP('Données projet'!$B$10,Paramètres!$A$1:$I$89,5,0)</f>
        <v>-3.1036506698001178E-14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160.54301845388551</v>
      </c>
      <c r="AO60" s="59">
        <f t="shared" si="36"/>
        <v>272.6634844951584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48.161665125277899</v>
      </c>
      <c r="AV60" s="21">
        <f>EXP(-LN(2)/25)*AV59+(1-EXP(-LN(2)/25))/(LN(2)/25)*Calculateur!AQ60*Calculateur!AS60*VLOOKUP('Données projet'!$B$10,Paramètres!$A$1:$I$89,3,0)*0.475*44/12</f>
        <v>93.577415634718335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141.73908075999623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14.270329670329668</v>
      </c>
      <c r="BD60" s="12">
        <f>IF('Données projet'!$A$88&gt;35,BD59+BC60-BL59,IF(A60&lt;'Données projet'!$A$88,$BA$205^A60,IF(A60='Données projet'!$A$88,'Données projet'!$B$88,BD59+BC60-BL59)))</f>
        <v>289.55494505494505</v>
      </c>
      <c r="BE60" s="13">
        <f>BD60*VLOOKUP('Données projet'!$B$11,Paramètres!$A$1:$I$89,3,0)*VLOOKUP('Données projet'!$B$11,Paramètres!$A$1:$I$89,5,0)</f>
        <v>135.51171428571428</v>
      </c>
      <c r="BF60" s="13">
        <f t="shared" si="37"/>
        <v>35.26686051307076</v>
      </c>
      <c r="BG60" s="20">
        <f t="shared" si="7"/>
        <v>297.43935110788397</v>
      </c>
      <c r="BH60" s="59">
        <f t="shared" si="8"/>
        <v>590.77268444121728</v>
      </c>
      <c r="BI60" s="59">
        <f ca="1">AVERAGE(OFFSET($BH$3,0,0,'Données projet'!$E$11+1,1))-AVERAGE(OFFSET($H$3,0,0,'Données projet'!$E$11+1,1))</f>
        <v>207.25176714718668</v>
      </c>
      <c r="BJ60" s="59">
        <f t="shared" si="38"/>
        <v>191.53228014642559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36.325456668320257</v>
      </c>
      <c r="BQ60" s="21">
        <f>EXP(-LN(2)/25)*BQ59+(1-EXP(-LN(2)/25))/(LN(2)/25)*Calculateur!BL60*Calculateur!BN60*VLOOKUP('Données projet'!$B$11,Paramètres!$A$1:$I$89,3,0)*0.475*44/12</f>
        <v>30.967980431277365</v>
      </c>
      <c r="BR60" s="21">
        <f>EXP(-LN(2)/2)*BR59+(1-EXP(-LN(2)/2))/(LN(2)/2)*BL60*BO60*VLOOKUP('Données projet'!$B$11,Paramètres!$A$1:$I$89,3,0)*0.475*44/12</f>
        <v>4.2437006315338142</v>
      </c>
      <c r="BS60" s="22">
        <f t="shared" si="9"/>
        <v>71.537137731131438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68.620424404221751</v>
      </c>
      <c r="CE60" s="59">
        <f t="shared" si="40"/>
        <v>203.12945099478918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22.737307327063391</v>
      </c>
      <c r="CL60" s="21">
        <f>EXP(-LN(2)/25)*CL59+(1-EXP(-LN(2)/25))/(LN(2)/25)*Calculateur!CG60*Calculateur!CI60*VLOOKUP('Données projet'!$B$12,Paramètres!$A$1:$I$89,3,0)*0.475*44/12</f>
        <v>3.6201470255011965</v>
      </c>
      <c r="CM60" s="21">
        <f>EXP(-LN(2)/2)*CM59+(1-EXP(-LN(2)/2))/(LN(2)/2)*CG60*CJ60*VLOOKUP('Données projet'!$B$12,Paramètres!$A$1:$I$89,3,0)*0.475*44/12</f>
        <v>3.8901376898635896E-5</v>
      </c>
      <c r="CN60" s="22">
        <f t="shared" si="12"/>
        <v>26.357493253941488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7.2728205128205143</v>
      </c>
      <c r="CT60" s="12">
        <f>IF('Données projet'!$A$140&gt;35,CT59+CS60-DB59,IF(A60&lt;'Données projet'!$A$140,$CQ$205^A60,IF(A60='Données projet'!$A$140,'Données projet'!$B$140,CT59+CS60-DB59)))</f>
        <v>238.63794871794855</v>
      </c>
      <c r="CU60" s="17">
        <f>CT60*VLOOKUP('Données projet'!$B$13,Paramètres!$A$1:$I$89,3,0)*VLOOKUP('Données projet'!$B$13,Paramètres!$A$1:$I$89,5,0)</f>
        <v>142.70549333333324</v>
      </c>
      <c r="CV60" s="13">
        <f t="shared" si="41"/>
        <v>36.916103902316237</v>
      </c>
      <c r="CW60" s="20">
        <f t="shared" si="13"/>
        <v>312.84094851875608</v>
      </c>
      <c r="CX60" s="59">
        <f t="shared" si="14"/>
        <v>606.17428185208939</v>
      </c>
      <c r="CY60" s="59">
        <f ca="1">AVERAGE(OFFSET($CX$3,0,0,'Données projet'!$E$13+1,1))-AVERAGE(OFFSET($H$3,0,0,'Données projet'!$E$13+1,1))</f>
        <v>196.25918971690442</v>
      </c>
      <c r="CZ60" s="59">
        <f t="shared" si="42"/>
        <v>148.35701313170205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2.4553081398688041</v>
      </c>
      <c r="DG60" s="21">
        <f>EXP(-LN(2)/25)*DG59+(1-EXP(-LN(2)/25))/(LN(2)/25)*Calculateur!DB60*Calculateur!DD60*VLOOKUP('Données projet'!$B$13,Paramètres!$A$1:$I$89,3,0)*0.475*44/12</f>
        <v>22.791656135137561</v>
      </c>
      <c r="DH60" s="21">
        <f>EXP(-LN(2)/2)*DH59+(1-EXP(-LN(2)/2))/(LN(2)/2)*DB60*DE60*VLOOKUP('Données projet'!$B$13,Paramètres!$A$1:$I$89,3,0)*0.475*44/12</f>
        <v>5.9919025145290901</v>
      </c>
      <c r="DI60" s="22">
        <f t="shared" si="15"/>
        <v>31.238866789535457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11">
        <f t="shared" si="32"/>
        <v>8.5181694620316346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67">
        <f t="shared" si="1"/>
        <v>355.44494514637177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9.75</v>
      </c>
      <c r="N61" s="13">
        <f>IF('Données projet'!$A$36&gt;35,N60+M61-V60,IF(A61&lt;'Données projet'!$A$36,$K$205^A61,IF(A61='Données projet'!$A$36,'Données projet'!$B$36,N60+M61-V60)))</f>
        <v>284.5</v>
      </c>
      <c r="O61" s="13">
        <f>N61*VLOOKUP('Données projet'!$B$9,Paramètres!$A$1:$I$89,3,0)*VLOOKUP('Données projet'!$B$9,Paramètres!$A$1:$I$89,5,0)</f>
        <v>177.52800000000002</v>
      </c>
      <c r="P61" s="13">
        <f t="shared" si="33"/>
        <v>44.771769863863661</v>
      </c>
      <c r="Q61" s="20">
        <f t="shared" si="53"/>
        <v>387.17209917956257</v>
      </c>
      <c r="R61" s="59">
        <f t="shared" si="0"/>
        <v>680.50543251289582</v>
      </c>
      <c r="S61" s="59">
        <f ca="1">AVERAGE(OFFSET($R$3,0,0,'Données projet'!$E$9+1,1))-AVERAGE(OFFSET($H$3,0,0,'Données projet'!$E$9+1,1))</f>
        <v>180.31844548479722</v>
      </c>
      <c r="T61" s="59">
        <f t="shared" si="34"/>
        <v>273.83237400307223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23.840401600540101</v>
      </c>
      <c r="AA61" s="21">
        <f>EXP(-LN(2)/25)*AA60+(1-EXP(-LN(2)/25))/(LN(2)/25)*Calculateur!V61*Calculateur!X61*VLOOKUP('Données projet'!$B$9,Paramètres!$A$1:$I$89,3,0)*0.475*44/12</f>
        <v>57.479253786764609</v>
      </c>
      <c r="AB61" s="21">
        <f>EXP(-LN(2)/2)*AB60+(1-EXP(-LN(2)/2))/(LN(2)/2)*V61*Y61*VLOOKUP('Données projet'!$B$9,Paramètres!$A$1:$I$89,3,0)*0.475*44/12</f>
        <v>0</v>
      </c>
      <c r="AC61" s="22">
        <f t="shared" si="3"/>
        <v>81.319655387304707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-5.6843418860808015E-14</v>
      </c>
      <c r="AJ61" s="13">
        <f>AI61*VLOOKUP('Données projet'!$B$10,Paramètres!$A$1:$I$89,3,0)*VLOOKUP('Données projet'!$B$10,Paramètres!$A$1:$I$89,5,0)</f>
        <v>-3.1036506698001178E-14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160.54301845388551</v>
      </c>
      <c r="AO61" s="59">
        <f t="shared" si="36"/>
        <v>272.6634844951584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47.217244247886313</v>
      </c>
      <c r="AV61" s="21">
        <f>EXP(-LN(2)/25)*AV60+(1-EXP(-LN(2)/25))/(LN(2)/25)*Calculateur!AQ61*Calculateur!AS61*VLOOKUP('Données projet'!$B$10,Paramètres!$A$1:$I$89,3,0)*0.475*44/12</f>
        <v>91.018536283164551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138.23578053105086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14.270329670329668</v>
      </c>
      <c r="BD61" s="12">
        <f>IF('Données projet'!$A$88&gt;35,BD60+BC61-BL60,IF(A61&lt;'Données projet'!$A$88,$BA$205^A61,IF(A61='Données projet'!$A$88,'Données projet'!$B$88,BD60+BC61-BL60)))</f>
        <v>303.82527472527471</v>
      </c>
      <c r="BE61" s="13">
        <f>BD61*VLOOKUP('Données projet'!$B$11,Paramètres!$A$1:$I$89,3,0)*VLOOKUP('Données projet'!$B$11,Paramètres!$A$1:$I$89,5,0)</f>
        <v>142.19022857142855</v>
      </c>
      <c r="BF61" s="13">
        <f t="shared" si="37"/>
        <v>36.798301893816983</v>
      </c>
      <c r="BG61" s="20">
        <f t="shared" si="7"/>
        <v>311.7383572269693</v>
      </c>
      <c r="BH61" s="59">
        <f t="shared" si="8"/>
        <v>605.07169056030261</v>
      </c>
      <c r="BI61" s="59">
        <f ca="1">AVERAGE(OFFSET($BH$3,0,0,'Données projet'!$E$11+1,1))-AVERAGE(OFFSET($H$3,0,0,'Données projet'!$E$11+1,1))</f>
        <v>207.25176714718668</v>
      </c>
      <c r="BJ61" s="59">
        <f t="shared" si="38"/>
        <v>191.53228014642559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35.613136619395306</v>
      </c>
      <c r="BQ61" s="21">
        <f>EXP(-LN(2)/25)*BQ60+(1-EXP(-LN(2)/25))/(LN(2)/25)*Calculateur!BL61*Calculateur!BN61*VLOOKUP('Données projet'!$B$11,Paramètres!$A$1:$I$89,3,0)*0.475*44/12</f>
        <v>30.121159377848773</v>
      </c>
      <c r="BR61" s="21">
        <f>EXP(-LN(2)/2)*BR60+(1-EXP(-LN(2)/2))/(LN(2)/2)*BL61*BO61*VLOOKUP('Données projet'!$B$11,Paramètres!$A$1:$I$89,3,0)*0.475*44/12</f>
        <v>3.0007494938831947</v>
      </c>
      <c r="BS61" s="22">
        <f t="shared" si="9"/>
        <v>68.735045491127266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68.620424404221751</v>
      </c>
      <c r="CE61" s="59">
        <f t="shared" si="40"/>
        <v>203.12945099478918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22.291442598767759</v>
      </c>
      <c r="CL61" s="21">
        <f>EXP(-LN(2)/25)*CL60+(1-EXP(-LN(2)/25))/(LN(2)/25)*Calculateur!CG61*Calculateur!CI61*VLOOKUP('Données projet'!$B$12,Paramètres!$A$1:$I$89,3,0)*0.475*44/12</f>
        <v>3.5211539147136079</v>
      </c>
      <c r="CM61" s="21">
        <f>EXP(-LN(2)/2)*CM60+(1-EXP(-LN(2)/2))/(LN(2)/2)*CG61*CJ61*VLOOKUP('Données projet'!$B$12,Paramètres!$A$1:$I$89,3,0)*0.475*44/12</f>
        <v>2.7507427402519148E-5</v>
      </c>
      <c r="CN61" s="22">
        <f t="shared" si="12"/>
        <v>25.812624020908768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7.2728205128205143</v>
      </c>
      <c r="CT61" s="12">
        <f>IF('Données projet'!$A$140&gt;35,CT60+CS61-DB60,IF(A61&lt;'Données projet'!$A$140,$CQ$205^A61,IF(A61='Données projet'!$A$140,'Données projet'!$B$140,CT60+CS61-DB60)))</f>
        <v>245.91076923076906</v>
      </c>
      <c r="CU61" s="17">
        <f>CT61*VLOOKUP('Données projet'!$B$13,Paramètres!$A$1:$I$89,3,0)*VLOOKUP('Données projet'!$B$13,Paramètres!$A$1:$I$89,5,0)</f>
        <v>147.05463999999992</v>
      </c>
      <c r="CV61" s="13">
        <f t="shared" si="41"/>
        <v>37.90847141795814</v>
      </c>
      <c r="CW61" s="20">
        <f t="shared" si="13"/>
        <v>322.14408571961025</v>
      </c>
      <c r="CX61" s="59">
        <f t="shared" si="14"/>
        <v>615.47741905294356</v>
      </c>
      <c r="CY61" s="59">
        <f ca="1">AVERAGE(OFFSET($CX$3,0,0,'Données projet'!$E$13+1,1))-AVERAGE(OFFSET($H$3,0,0,'Données projet'!$E$13+1,1))</f>
        <v>196.25918971690442</v>
      </c>
      <c r="CZ61" s="59">
        <f t="shared" si="42"/>
        <v>148.35701313170205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2.4071610448360676</v>
      </c>
      <c r="DG61" s="21">
        <f>EXP(-LN(2)/25)*DG60+(1-EXP(-LN(2)/25))/(LN(2)/25)*Calculateur!DB61*Calculateur!DD61*VLOOKUP('Données projet'!$B$13,Paramètres!$A$1:$I$89,3,0)*0.475*44/12</f>
        <v>22.168417099561118</v>
      </c>
      <c r="DH61" s="21">
        <f>EXP(-LN(2)/2)*DH60+(1-EXP(-LN(2)/2))/(LN(2)/2)*DB61*DE61*VLOOKUP('Données projet'!$B$13,Paramètres!$A$1:$I$89,3,0)*0.475*44/12</f>
        <v>4.2369149002322457</v>
      </c>
      <c r="DI61" s="22">
        <f t="shared" si="15"/>
        <v>28.812493044629431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11">
        <f t="shared" si="32"/>
        <v>8.6478099783937541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67">
        <f t="shared" si="1"/>
        <v>356.48583571236912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9.75</v>
      </c>
      <c r="N62" s="13">
        <f>IF('Données projet'!$A$36&gt;35,N61+M62-V61,IF(A62&lt;'Données projet'!$A$36,$K$205^A62,IF(A62='Données projet'!$A$36,'Données projet'!$B$36,N61+M62-V61)))</f>
        <v>294.25</v>
      </c>
      <c r="O62" s="13">
        <f>N62*VLOOKUP('Données projet'!$B$9,Paramètres!$A$1:$I$89,3,0)*VLOOKUP('Données projet'!$B$9,Paramètres!$A$1:$I$89,5,0)</f>
        <v>183.61199999999999</v>
      </c>
      <c r="P62" s="13">
        <f t="shared" si="33"/>
        <v>46.124858041839339</v>
      </c>
      <c r="Q62" s="20">
        <f t="shared" si="53"/>
        <v>400.12502775620351</v>
      </c>
      <c r="R62" s="59">
        <f t="shared" si="0"/>
        <v>693.45836108953677</v>
      </c>
      <c r="S62" s="59">
        <f ca="1">AVERAGE(OFFSET($R$3,0,0,'Données projet'!$E$9+1,1))-AVERAGE(OFFSET($H$3,0,0,'Données projet'!$E$9+1,1))</f>
        <v>180.31844548479722</v>
      </c>
      <c r="T62" s="59">
        <f t="shared" si="34"/>
        <v>273.83237400307223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23.372905866362661</v>
      </c>
      <c r="AA62" s="21">
        <f>EXP(-LN(2)/25)*AA61+(1-EXP(-LN(2)/25))/(LN(2)/25)*Calculateur!V62*Calculateur!X62*VLOOKUP('Données projet'!$B$9,Paramètres!$A$1:$I$89,3,0)*0.475*44/12</f>
        <v>55.907480569262944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79.280386435625601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-5.6843418860808015E-14</v>
      </c>
      <c r="AJ62" s="13">
        <f>AI62*VLOOKUP('Données projet'!$B$10,Paramètres!$A$1:$I$89,3,0)*VLOOKUP('Données projet'!$B$10,Paramètres!$A$1:$I$89,5,0)</f>
        <v>-3.1036506698001178E-14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160.54301845388551</v>
      </c>
      <c r="AO62" s="59">
        <f t="shared" si="36"/>
        <v>272.6634844951584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46.291342887860523</v>
      </c>
      <c r="AV62" s="21">
        <f>EXP(-LN(2)/25)*AV61+(1-EXP(-LN(2)/25))/(LN(2)/25)*Calculateur!AQ62*Calculateur!AS62*VLOOKUP('Données projet'!$B$10,Paramètres!$A$1:$I$89,3,0)*0.475*44/12</f>
        <v>88.529629622044624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134.82097250990515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14.270329670329668</v>
      </c>
      <c r="BD62" s="12">
        <f>IF('Données projet'!$A$88&gt;35,BD61+BC62-BL61,IF(A62&lt;'Données projet'!$A$88,$BA$205^A62,IF(A62='Données projet'!$A$88,'Données projet'!$B$88,BD61+BC62-BL61)))</f>
        <v>318.09560439560437</v>
      </c>
      <c r="BE62" s="13">
        <f>BD62*VLOOKUP('Données projet'!$B$11,Paramètres!$A$1:$I$89,3,0)*VLOOKUP('Données projet'!$B$11,Paramètres!$A$1:$I$89,5,0)</f>
        <v>148.86874285714285</v>
      </c>
      <c r="BF62" s="13">
        <f t="shared" si="37"/>
        <v>38.321390217280914</v>
      </c>
      <c r="BG62" s="20">
        <f t="shared" si="7"/>
        <v>326.02281510462137</v>
      </c>
      <c r="BH62" s="59">
        <f t="shared" si="8"/>
        <v>619.35614843795474</v>
      </c>
      <c r="BI62" s="59">
        <f ca="1">AVERAGE(OFFSET($BH$3,0,0,'Données projet'!$E$11+1,1))-AVERAGE(OFFSET($H$3,0,0,'Données projet'!$E$11+1,1))</f>
        <v>207.25176714718668</v>
      </c>
      <c r="BJ62" s="59">
        <f t="shared" si="38"/>
        <v>191.53228014642559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34.914784732157443</v>
      </c>
      <c r="BQ62" s="21">
        <f>EXP(-LN(2)/25)*BQ61+(1-EXP(-LN(2)/25))/(LN(2)/25)*Calculateur!BL62*Calculateur!BN62*VLOOKUP('Données projet'!$B$11,Paramètres!$A$1:$I$89,3,0)*0.475*44/12</f>
        <v>29.297494690658571</v>
      </c>
      <c r="BR62" s="21">
        <f>EXP(-LN(2)/2)*BR61+(1-EXP(-LN(2)/2))/(LN(2)/2)*BL62*BO62*VLOOKUP('Données projet'!$B$11,Paramètres!$A$1:$I$89,3,0)*0.475*44/12</f>
        <v>2.1218503157669075</v>
      </c>
      <c r="BS62" s="22">
        <f t="shared" si="9"/>
        <v>66.334129738582917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68.620424404221751</v>
      </c>
      <c r="CE62" s="59">
        <f t="shared" si="40"/>
        <v>203.12945099478918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21.854321005843371</v>
      </c>
      <c r="CL62" s="21">
        <f>EXP(-LN(2)/25)*CL61+(1-EXP(-LN(2)/25))/(LN(2)/25)*Calculateur!CG62*Calculateur!CI62*VLOOKUP('Données projet'!$B$12,Paramètres!$A$1:$I$89,3,0)*0.475*44/12</f>
        <v>3.4248677757463275</v>
      </c>
      <c r="CM62" s="21">
        <f>EXP(-LN(2)/2)*CM61+(1-EXP(-LN(2)/2))/(LN(2)/2)*CG62*CJ62*VLOOKUP('Données projet'!$B$12,Paramètres!$A$1:$I$89,3,0)*0.475*44/12</f>
        <v>1.9450688449317948E-5</v>
      </c>
      <c r="CN62" s="22">
        <f t="shared" si="12"/>
        <v>25.279208232278148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7.2728205128205143</v>
      </c>
      <c r="CT62" s="12">
        <f>IF('Données projet'!$A$140&gt;35,CT61+CS62-DB61,IF(A62&lt;'Données projet'!$A$140,$CQ$205^A62,IF(A62='Données projet'!$A$140,'Données projet'!$B$140,CT61+CS62-DB61)))</f>
        <v>253.18358974358958</v>
      </c>
      <c r="CU62" s="17">
        <f>CT62*VLOOKUP('Données projet'!$B$13,Paramètres!$A$1:$I$89,3,0)*VLOOKUP('Données projet'!$B$13,Paramètres!$A$1:$I$89,5,0)</f>
        <v>151.40378666666658</v>
      </c>
      <c r="CV62" s="13">
        <f t="shared" si="41"/>
        <v>38.897428022351328</v>
      </c>
      <c r="CW62" s="20">
        <f t="shared" si="13"/>
        <v>331.44128225003948</v>
      </c>
      <c r="CX62" s="59">
        <f t="shared" si="14"/>
        <v>624.77461558337279</v>
      </c>
      <c r="CY62" s="59">
        <f ca="1">AVERAGE(OFFSET($CX$3,0,0,'Données projet'!$E$13+1,1))-AVERAGE(OFFSET($H$3,0,0,'Données projet'!$E$13+1,1))</f>
        <v>196.25918971690442</v>
      </c>
      <c r="CZ62" s="59">
        <f t="shared" si="42"/>
        <v>148.35701313170205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2.3599580849700947</v>
      </c>
      <c r="DG62" s="21">
        <f>EXP(-LN(2)/25)*DG61+(1-EXP(-LN(2)/25))/(LN(2)/25)*Calculateur!DB62*Calculateur!DD62*VLOOKUP('Données projet'!$B$13,Paramètres!$A$1:$I$89,3,0)*0.475*44/12</f>
        <v>21.562220568187232</v>
      </c>
      <c r="DH62" s="21">
        <f>EXP(-LN(2)/2)*DH61+(1-EXP(-LN(2)/2))/(LN(2)/2)*DB62*DE62*VLOOKUP('Données projet'!$B$13,Paramètres!$A$1:$I$89,3,0)*0.475*44/12</f>
        <v>2.9959512572645455</v>
      </c>
      <c r="DI62" s="22">
        <f t="shared" si="15"/>
        <v>26.918129910421875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11">
        <f t="shared" si="32"/>
        <v>8.7771949685951878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67">
        <f t="shared" si="1"/>
        <v>357.52628123696991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304</v>
      </c>
      <c r="L63" s="12">
        <f>VLOOKUP(A63,'Données projet'!$A$35:$I$55,9,0)</f>
        <v>9.75</v>
      </c>
      <c r="M63" s="12">
        <f t="array" ref="M63">INDEX(L:L,MIN(IF(ISNUMBER(L63:L259),ROW(L63:L259),"")))</f>
        <v>9.75</v>
      </c>
      <c r="N63" s="13">
        <f>IF('Données projet'!$A$36&gt;35,N62+M63-V62,IF(A63&lt;'Données projet'!$A$36,$K$205^A63,IF(A63='Données projet'!$A$36,'Données projet'!$B$36,N62+M63-V62)))</f>
        <v>304</v>
      </c>
      <c r="O63" s="13">
        <f>N63*VLOOKUP('Données projet'!$B$9,Paramètres!$A$1:$I$89,3,0)*VLOOKUP('Données projet'!$B$9,Paramètres!$A$1:$I$89,5,0)</f>
        <v>189.696</v>
      </c>
      <c r="P63" s="13">
        <f t="shared" si="33"/>
        <v>47.472736505152469</v>
      </c>
      <c r="Q63" s="20">
        <f t="shared" si="53"/>
        <v>413.06888274647389</v>
      </c>
      <c r="R63" s="59">
        <f t="shared" si="0"/>
        <v>706.4022160798072</v>
      </c>
      <c r="S63" s="59">
        <f ca="1">AVERAGE(OFFSET($R$3,0,0,'Données projet'!$E$9+1,1))-AVERAGE(OFFSET($H$3,0,0,'Données projet'!$E$9+1,1))</f>
        <v>180.31844548479722</v>
      </c>
      <c r="T63" s="59">
        <f t="shared" si="34"/>
        <v>273.83237400307223</v>
      </c>
      <c r="U63" s="15" t="str">
        <f>IF(ISNA(VLOOKUP(A63,'Données projet'!$A$35:$I$55,3,0)),0,VLOOKUP(A63,'Données projet'!$A$35:$I$55,3,0))</f>
        <v>CR</v>
      </c>
      <c r="V63" s="15">
        <f>IF(ISNA(VLOOKUP(A63,'Données projet'!$A$35:$I$55,4,0)),0,VLOOKUP(A63,'Données projet'!$A$35:$I$55,4,0))</f>
        <v>304</v>
      </c>
      <c r="W63" s="16">
        <f>IF(ISNA(VLOOKUP(A63,'Données projet'!$A$35:$I$55,5,0)),0%,VLOOKUP(A63,'Données projet'!$A$35:$I$55,5,0)*VLOOKUP('Données projet'!$B$9,Paramètres!$A$1:$I$89,7,0))</f>
        <v>0.24</v>
      </c>
      <c r="X63" s="16">
        <f>IF(ISNA(VLOOKUP(A63,'Données projet'!$A$35:$I$55,6,0)),0%,VLOOKUP(A63,'Données projet'!$A$35:$I$55,6,0)*VLOOKUP('Données projet'!$B$9,Paramètres!$A$1:$I$89,7,0))</f>
        <v>0.36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83.309130463762358</v>
      </c>
      <c r="AA63" s="21">
        <f>EXP(-LN(2)/25)*AA62+(1-EXP(-LN(2)/25))/(LN(2)/25)*Calculateur!V63*Calculateur!X63*VLOOKUP('Données projet'!$B$9,Paramètres!$A$1:$I$89,3,0)*0.475*44/12</f>
        <v>144.61382256002648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227.92295302378884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-5.6843418860808015E-14</v>
      </c>
      <c r="AJ63" s="13">
        <f>AI63*VLOOKUP('Données projet'!$B$10,Paramètres!$A$1:$I$89,3,0)*VLOOKUP('Données projet'!$B$10,Paramètres!$A$1:$I$89,5,0)</f>
        <v>-3.1036506698001178E-14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160.54301845388551</v>
      </c>
      <c r="AO63" s="59">
        <f t="shared" si="36"/>
        <v>272.6634844951584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45.383597888760775</v>
      </c>
      <c r="AV63" s="21">
        <f>EXP(-LN(2)/25)*AV62+(1-EXP(-LN(2)/25))/(LN(2)/25)*Calculateur!AQ63*Calculateur!AS63*VLOOKUP('Données projet'!$B$10,Paramètres!$A$1:$I$89,3,0)*0.475*44/12</f>
        <v>86.108782244458922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131.49238013321968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14.270329670329668</v>
      </c>
      <c r="BD63" s="12">
        <f>IF('Données projet'!$A$88&gt;35,BD62+BC63-BL62,IF(A63&lt;'Données projet'!$A$88,$BA$205^A63,IF(A63='Données projet'!$A$88,'Données projet'!$B$88,BD62+BC63-BL62)))</f>
        <v>332.36593406593403</v>
      </c>
      <c r="BE63" s="13">
        <f>BD63*VLOOKUP('Données projet'!$B$11,Paramètres!$A$1:$I$89,3,0)*VLOOKUP('Données projet'!$B$11,Paramètres!$A$1:$I$89,5,0)</f>
        <v>155.54725714285712</v>
      </c>
      <c r="BF63" s="13">
        <f t="shared" si="37"/>
        <v>39.836543030962723</v>
      </c>
      <c r="BG63" s="20">
        <f t="shared" si="7"/>
        <v>340.29345196940289</v>
      </c>
      <c r="BH63" s="59">
        <f t="shared" si="8"/>
        <v>633.62678530273615</v>
      </c>
      <c r="BI63" s="59">
        <f ca="1">AVERAGE(OFFSET($BH$3,0,0,'Données projet'!$E$11+1,1))-AVERAGE(OFFSET($H$3,0,0,'Données projet'!$E$11+1,1))</f>
        <v>207.25176714718668</v>
      </c>
      <c r="BJ63" s="59">
        <f t="shared" si="38"/>
        <v>191.53228014642559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34.230127099475723</v>
      </c>
      <c r="BQ63" s="21">
        <f>EXP(-LN(2)/25)*BQ62+(1-EXP(-LN(2)/25))/(LN(2)/25)*Calculateur!BL63*Calculateur!BN63*VLOOKUP('Données projet'!$B$11,Paramètres!$A$1:$I$89,3,0)*0.475*44/12</f>
        <v>28.496353157654227</v>
      </c>
      <c r="BR63" s="21">
        <f>EXP(-LN(2)/2)*BR62+(1-EXP(-LN(2)/2))/(LN(2)/2)*BL63*BO63*VLOOKUP('Données projet'!$B$11,Paramètres!$A$1:$I$89,3,0)*0.475*44/12</f>
        <v>1.5003747469415976</v>
      </c>
      <c r="BS63" s="22">
        <f t="shared" si="9"/>
        <v>64.226855004071552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68.620424404221751</v>
      </c>
      <c r="CE63" s="59">
        <f t="shared" si="40"/>
        <v>203.12945099478918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21.425771100738384</v>
      </c>
      <c r="CL63" s="21">
        <f>EXP(-LN(2)/25)*CL62+(1-EXP(-LN(2)/25))/(LN(2)/25)*Calculateur!CG63*Calculateur!CI63*VLOOKUP('Données projet'!$B$12,Paramètres!$A$1:$I$89,3,0)*0.475*44/12</f>
        <v>3.3312145863125755</v>
      </c>
      <c r="CM63" s="21">
        <f>EXP(-LN(2)/2)*CM62+(1-EXP(-LN(2)/2))/(LN(2)/2)*CG63*CJ63*VLOOKUP('Données projet'!$B$12,Paramètres!$A$1:$I$89,3,0)*0.475*44/12</f>
        <v>1.3753713701259574E-5</v>
      </c>
      <c r="CN63" s="22">
        <f t="shared" si="12"/>
        <v>24.756999440764663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7.2728205128205143</v>
      </c>
      <c r="CT63" s="12">
        <f>IF('Données projet'!$A$140&gt;35,CT62+CS63-DB62,IF(A63&lt;'Données projet'!$A$140,$CQ$205^A63,IF(A63='Données projet'!$A$140,'Données projet'!$B$140,CT62+CS63-DB62)))</f>
        <v>260.45641025641009</v>
      </c>
      <c r="CU63" s="17">
        <f>CT63*VLOOKUP('Données projet'!$B$13,Paramètres!$A$1:$I$89,3,0)*VLOOKUP('Données projet'!$B$13,Paramètres!$A$1:$I$89,5,0)</f>
        <v>155.75293333333323</v>
      </c>
      <c r="CV63" s="13">
        <f t="shared" si="41"/>
        <v>39.883082948219545</v>
      </c>
      <c r="CW63" s="20">
        <f t="shared" si="13"/>
        <v>340.73272835703773</v>
      </c>
      <c r="CX63" s="59">
        <f t="shared" si="14"/>
        <v>634.06606169037104</v>
      </c>
      <c r="CY63" s="59">
        <f ca="1">AVERAGE(OFFSET($CX$3,0,0,'Données projet'!$E$13+1,1))-AVERAGE(OFFSET($H$3,0,0,'Données projet'!$E$13+1,1))</f>
        <v>196.25918971690442</v>
      </c>
      <c r="CZ63" s="59">
        <f t="shared" si="42"/>
        <v>148.35701313170205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2.3136807463561309</v>
      </c>
      <c r="DG63" s="21">
        <f>EXP(-LN(2)/25)*DG62+(1-EXP(-LN(2)/25))/(LN(2)/25)*Calculateur!DB63*Calculateur!DD63*VLOOKUP('Données projet'!$B$13,Paramètres!$A$1:$I$89,3,0)*0.475*44/12</f>
        <v>20.972600512842252</v>
      </c>
      <c r="DH63" s="21">
        <f>EXP(-LN(2)/2)*DH62+(1-EXP(-LN(2)/2))/(LN(2)/2)*DB63*DE63*VLOOKUP('Données projet'!$B$13,Paramètres!$A$1:$I$89,3,0)*0.475*44/12</f>
        <v>2.1184574501161229</v>
      </c>
      <c r="DI63" s="22">
        <f t="shared" si="15"/>
        <v>25.404738709314504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11">
        <f t="shared" si="32"/>
        <v>8.9063291829603237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67">
        <f t="shared" si="1"/>
        <v>358.56628999365586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180.31844548479722</v>
      </c>
      <c r="T64" s="59">
        <f t="shared" si="34"/>
        <v>273.83237400307223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81.675489228920142</v>
      </c>
      <c r="AA64" s="21">
        <f>EXP(-LN(2)/25)*AA63+(1-EXP(-LN(2)/25))/(LN(2)/25)*Calculateur!V64*Calculateur!X64*VLOOKUP('Données projet'!$B$9,Paramètres!$A$1:$I$89,3,0)*0.475*44/12</f>
        <v>140.65934997721214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222.3348392061323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-5.6843418860808015E-14</v>
      </c>
      <c r="AJ64" s="13">
        <f>AI64*VLOOKUP('Données projet'!$B$10,Paramètres!$A$1:$I$89,3,0)*VLOOKUP('Données projet'!$B$10,Paramètres!$A$1:$I$89,5,0)</f>
        <v>-3.1036506698001178E-14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160.54301845388551</v>
      </c>
      <c r="AO64" s="59">
        <f t="shared" si="36"/>
        <v>272.6634844951584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44.493653215423592</v>
      </c>
      <c r="AV64" s="21">
        <f>EXP(-LN(2)/25)*AV63+(1-EXP(-LN(2)/25))/(LN(2)/25)*Calculateur!AQ64*Calculateur!AS64*VLOOKUP('Données projet'!$B$10,Paramètres!$A$1:$I$89,3,0)*0.475*44/12</f>
        <v>83.75413306572014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128.24778628114373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14.270329670329668</v>
      </c>
      <c r="BD64" s="12">
        <f>IF('Données projet'!$A$88&gt;35,BD63+BC64-BL63,IF(A64&lt;'Données projet'!$A$88,$BA$205^A64,IF(A64='Données projet'!$A$88,'Données projet'!$B$88,BD63+BC64-BL63)))</f>
        <v>346.63626373626369</v>
      </c>
      <c r="BE64" s="13">
        <f>BD64*VLOOKUP('Données projet'!$B$11,Paramètres!$A$1:$I$89,3,0)*VLOOKUP('Données projet'!$B$11,Paramètres!$A$1:$I$89,5,0)</f>
        <v>162.22577142857142</v>
      </c>
      <c r="BF64" s="13">
        <f t="shared" si="37"/>
        <v>41.344139999178246</v>
      </c>
      <c r="BG64" s="20">
        <f t="shared" si="7"/>
        <v>354.55092906999738</v>
      </c>
      <c r="BH64" s="59">
        <f t="shared" si="8"/>
        <v>647.88426240333069</v>
      </c>
      <c r="BI64" s="59">
        <f ca="1">AVERAGE(OFFSET($BH$3,0,0,'Données projet'!$E$11+1,1))-AVERAGE(OFFSET($H$3,0,0,'Données projet'!$E$11+1,1))</f>
        <v>207.25176714718668</v>
      </c>
      <c r="BJ64" s="59">
        <f t="shared" si="38"/>
        <v>191.53228014642559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33.558895185370972</v>
      </c>
      <c r="BQ64" s="21">
        <f>EXP(-LN(2)/25)*BQ63+(1-EXP(-LN(2)/25))/(LN(2)/25)*Calculateur!BL64*Calculateur!BN64*VLOOKUP('Données projet'!$B$11,Paramètres!$A$1:$I$89,3,0)*0.475*44/12</f>
        <v>27.71711888200009</v>
      </c>
      <c r="BR64" s="21">
        <f>EXP(-LN(2)/2)*BR63+(1-EXP(-LN(2)/2))/(LN(2)/2)*BL64*BO64*VLOOKUP('Données projet'!$B$11,Paramètres!$A$1:$I$89,3,0)*0.475*44/12</f>
        <v>1.060925157883454</v>
      </c>
      <c r="BS64" s="22">
        <f t="shared" si="9"/>
        <v>62.336939225254518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68.620424404221751</v>
      </c>
      <c r="CE64" s="59">
        <f t="shared" si="40"/>
        <v>203.12945099478918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21.005624797882877</v>
      </c>
      <c r="CL64" s="21">
        <f>EXP(-LN(2)/25)*CL63+(1-EXP(-LN(2)/25))/(LN(2)/25)*Calculateur!CG64*Calculateur!CI64*VLOOKUP('Données projet'!$B$12,Paramètres!$A$1:$I$89,3,0)*0.475*44/12</f>
        <v>3.2401223482688968</v>
      </c>
      <c r="CM64" s="21">
        <f>EXP(-LN(2)/2)*CM63+(1-EXP(-LN(2)/2))/(LN(2)/2)*CG64*CJ64*VLOOKUP('Données projet'!$B$12,Paramètres!$A$1:$I$89,3,0)*0.475*44/12</f>
        <v>9.7253442246589741E-6</v>
      </c>
      <c r="CN64" s="22">
        <f t="shared" si="12"/>
        <v>24.245756871495999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7.2728205128205143</v>
      </c>
      <c r="CT64" s="12">
        <f>IF('Données projet'!$A$140&gt;35,CT63+CS64-DB63,IF(A64&lt;'Données projet'!$A$140,$CQ$205^A64,IF(A64='Données projet'!$A$140,'Données projet'!$B$140,CT63+CS64-DB63)))</f>
        <v>267.72923076923058</v>
      </c>
      <c r="CU64" s="17">
        <f>CT64*VLOOKUP('Données projet'!$B$13,Paramètres!$A$1:$I$89,3,0)*VLOOKUP('Données projet'!$B$13,Paramètres!$A$1:$I$89,5,0)</f>
        <v>160.10207999999989</v>
      </c>
      <c r="CV64" s="13">
        <f t="shared" si="41"/>
        <v>40.865538980904162</v>
      </c>
      <c r="CW64" s="20">
        <f t="shared" si="13"/>
        <v>350.01860305840779</v>
      </c>
      <c r="CX64" s="59">
        <f t="shared" si="14"/>
        <v>643.35193639174111</v>
      </c>
      <c r="CY64" s="59">
        <f ca="1">AVERAGE(OFFSET($CX$3,0,0,'Données projet'!$E$13+1,1))-AVERAGE(OFFSET($H$3,0,0,'Données projet'!$E$13+1,1))</f>
        <v>196.25918971690442</v>
      </c>
      <c r="CZ64" s="59">
        <f t="shared" si="42"/>
        <v>148.35701313170205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2.2683108781259973</v>
      </c>
      <c r="DG64" s="21">
        <f>EXP(-LN(2)/25)*DG63+(1-EXP(-LN(2)/25))/(LN(2)/25)*Calculateur!DB64*Calculateur!DD64*VLOOKUP('Données projet'!$B$13,Paramètres!$A$1:$I$89,3,0)*0.475*44/12</f>
        <v>20.399103648917453</v>
      </c>
      <c r="DH64" s="21">
        <f>EXP(-LN(2)/2)*DH63+(1-EXP(-LN(2)/2))/(LN(2)/2)*DB64*DE64*VLOOKUP('Données projet'!$B$13,Paramètres!$A$1:$I$89,3,0)*0.475*44/12</f>
        <v>1.4979756286322727</v>
      </c>
      <c r="DI64" s="22">
        <f t="shared" si="15"/>
        <v>24.165390155675723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11">
        <f t="shared" si="32"/>
        <v>9.0352172071357693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67">
        <f t="shared" si="1"/>
        <v>359.60586996909478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180.31844548479722</v>
      </c>
      <c r="T65" s="59">
        <f t="shared" si="34"/>
        <v>273.83237400307223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80.07388270227041</v>
      </c>
      <c r="AA65" s="21">
        <f>EXP(-LN(2)/25)*AA64+(1-EXP(-LN(2)/25))/(LN(2)/25)*Calculateur!V65*Calculateur!X65*VLOOKUP('Données projet'!$B$9,Paramètres!$A$1:$I$89,3,0)*0.475*44/12</f>
        <v>136.81301265513156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216.88689535740195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-5.6843418860808015E-14</v>
      </c>
      <c r="AJ65" s="13">
        <f>AI65*VLOOKUP('Données projet'!$B$10,Paramètres!$A$1:$I$89,3,0)*VLOOKUP('Données projet'!$B$10,Paramètres!$A$1:$I$89,5,0)</f>
        <v>-3.1036506698001178E-14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160.54301845388551</v>
      </c>
      <c r="AO65" s="59">
        <f t="shared" si="36"/>
        <v>272.6634844951584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43.621159814317899</v>
      </c>
      <c r="AV65" s="21">
        <f>EXP(-LN(2)/25)*AV64+(1-EXP(-LN(2)/25))/(LN(2)/25)*Calculateur!AQ65*Calculateur!AS65*VLOOKUP('Données projet'!$B$10,Paramètres!$A$1:$I$89,3,0)*0.475*44/12</f>
        <v>81.463871892599585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125.08503170691748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14.270329670329668</v>
      </c>
      <c r="BD65" s="12">
        <f>IF('Données projet'!$A$88&gt;35,BD64+BC65-BL64,IF(A65&lt;'Données projet'!$A$88,$BA$205^A65,IF(A65='Données projet'!$A$88,'Données projet'!$B$88,BD64+BC65-BL64)))</f>
        <v>360.90659340659334</v>
      </c>
      <c r="BE65" s="13">
        <f>BD65*VLOOKUP('Données projet'!$B$11,Paramètres!$A$1:$I$89,3,0)*VLOOKUP('Données projet'!$B$11,Paramètres!$A$1:$I$89,5,0)</f>
        <v>168.90428571428566</v>
      </c>
      <c r="BF65" s="13">
        <f t="shared" si="37"/>
        <v>42.844527757373569</v>
      </c>
      <c r="BG65" s="20">
        <f t="shared" si="7"/>
        <v>368.79585012980647</v>
      </c>
      <c r="BH65" s="59">
        <f t="shared" si="8"/>
        <v>662.12918346313973</v>
      </c>
      <c r="BI65" s="59">
        <f ca="1">AVERAGE(OFFSET($BH$3,0,0,'Données projet'!$E$11+1,1))-AVERAGE(OFFSET($H$3,0,0,'Données projet'!$E$11+1,1))</f>
        <v>207.25176714718668</v>
      </c>
      <c r="BJ65" s="59">
        <f t="shared" si="38"/>
        <v>191.53228014642559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32.900825719690772</v>
      </c>
      <c r="BQ65" s="21">
        <f>EXP(-LN(2)/25)*BQ64+(1-EXP(-LN(2)/25))/(LN(2)/25)*Calculateur!BL65*Calculateur!BN65*VLOOKUP('Données projet'!$B$11,Paramètres!$A$1:$I$89,3,0)*0.475*44/12</f>
        <v>26.959192808591865</v>
      </c>
      <c r="BR65" s="21">
        <f>EXP(-LN(2)/2)*BR64+(1-EXP(-LN(2)/2))/(LN(2)/2)*BL65*BO65*VLOOKUP('Données projet'!$B$11,Paramètres!$A$1:$I$89,3,0)*0.475*44/12</f>
        <v>0.75018737347079889</v>
      </c>
      <c r="BS65" s="22">
        <f t="shared" si="9"/>
        <v>60.610205901753439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68.620424404221751</v>
      </c>
      <c r="CE65" s="59">
        <f t="shared" si="40"/>
        <v>203.12945099478918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20.593717307762425</v>
      </c>
      <c r="CL65" s="21">
        <f>EXP(-LN(2)/25)*CL64+(1-EXP(-LN(2)/25))/(LN(2)/25)*Calculateur!CG65*Calculateur!CI65*VLOOKUP('Données projet'!$B$12,Paramètres!$A$1:$I$89,3,0)*0.475*44/12</f>
        <v>3.151521032264855</v>
      </c>
      <c r="CM65" s="21">
        <f>EXP(-LN(2)/2)*CM64+(1-EXP(-LN(2)/2))/(LN(2)/2)*CG65*CJ65*VLOOKUP('Données projet'!$B$12,Paramètres!$A$1:$I$89,3,0)*0.475*44/12</f>
        <v>6.8768568506297869E-6</v>
      </c>
      <c r="CN65" s="22">
        <f t="shared" si="12"/>
        <v>23.745245216884133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7.2728205128205143</v>
      </c>
      <c r="CT65" s="12">
        <f>IF('Données projet'!$A$140&gt;35,CT64+CS65-DB64,IF(A65&lt;'Données projet'!$A$140,$CQ$205^A65,IF(A65='Données projet'!$A$140,'Données projet'!$B$140,CT64+CS65-DB64)))</f>
        <v>275.00205128205107</v>
      </c>
      <c r="CU65" s="17">
        <f>CT65*VLOOKUP('Données projet'!$B$13,Paramètres!$A$1:$I$89,3,0)*VLOOKUP('Données projet'!$B$13,Paramètres!$A$1:$I$89,5,0)</f>
        <v>164.45122666666654</v>
      </c>
      <c r="CV65" s="13">
        <f t="shared" si="41"/>
        <v>41.844893003586371</v>
      </c>
      <c r="CW65" s="20">
        <f t="shared" si="13"/>
        <v>359.2990750923571</v>
      </c>
      <c r="CX65" s="59">
        <f t="shared" si="14"/>
        <v>652.63240842569041</v>
      </c>
      <c r="CY65" s="59">
        <f ca="1">AVERAGE(OFFSET($CX$3,0,0,'Données projet'!$E$13+1,1))-AVERAGE(OFFSET($H$3,0,0,'Données projet'!$E$13+1,1))</f>
        <v>196.25918971690442</v>
      </c>
      <c r="CZ65" s="59">
        <f t="shared" si="42"/>
        <v>148.35701313170205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2.2238306853389695</v>
      </c>
      <c r="DG65" s="21">
        <f>EXP(-LN(2)/25)*DG64+(1-EXP(-LN(2)/25))/(LN(2)/25)*Calculateur!DB65*Calculateur!DD65*VLOOKUP('Données projet'!$B$13,Paramètres!$A$1:$I$89,3,0)*0.475*44/12</f>
        <v>19.841289086895568</v>
      </c>
      <c r="DH65" s="21">
        <f>EXP(-LN(2)/2)*DH64+(1-EXP(-LN(2)/2))/(LN(2)/2)*DB65*DE65*VLOOKUP('Données projet'!$B$13,Paramètres!$A$1:$I$89,3,0)*0.475*44/12</f>
        <v>1.0592287250580614</v>
      </c>
      <c r="DI65" s="22">
        <f t="shared" si="15"/>
        <v>23.124348497292601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11">
        <f t="shared" si="32"/>
        <v>9.1638634703614379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67">
        <f t="shared" si="1"/>
        <v>360.64502887754617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180.31844548479722</v>
      </c>
      <c r="T66" s="59">
        <f t="shared" si="34"/>
        <v>273.83237400307223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78.50368270272476</v>
      </c>
      <c r="AA66" s="21">
        <f>EXP(-LN(2)/25)*AA65+(1-EXP(-LN(2)/25))/(LN(2)/25)*Calculateur!V66*Calculateur!X66*VLOOKUP('Données projet'!$B$9,Paramètres!$A$1:$I$89,3,0)*0.475*44/12</f>
        <v>133.07185362939333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211.57553633211808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-5.6843418860808015E-14</v>
      </c>
      <c r="AJ66" s="13">
        <f>AI66*VLOOKUP('Données projet'!$B$10,Paramètres!$A$1:$I$89,3,0)*VLOOKUP('Données projet'!$B$10,Paramètres!$A$1:$I$89,5,0)</f>
        <v>-3.1036506698001178E-14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160.54301845388551</v>
      </c>
      <c r="AO66" s="59">
        <f t="shared" si="36"/>
        <v>272.6634844951584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42.765775476639462</v>
      </c>
      <c r="AV66" s="21">
        <f>EXP(-LN(2)/25)*AV65+(1-EXP(-LN(2)/25))/(LN(2)/25)*Calculateur!AQ66*Calculateur!AS66*VLOOKUP('Données projet'!$B$10,Paramètres!$A$1:$I$89,3,0)*0.475*44/12</f>
        <v>79.23623803169761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122.00201350833707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375.17692307692306</v>
      </c>
      <c r="BB66" s="12">
        <f>VLOOKUP(A66,'Données projet'!$A$87:$I$107,9,0)</f>
        <v>14.270329670329668</v>
      </c>
      <c r="BC66" s="12">
        <f t="array" ref="BC66">INDEX(BB:BB,MIN(IF(ISNUMBER(BB66:BB262),ROW(BB66:BB262),"")))</f>
        <v>14.270329670329668</v>
      </c>
      <c r="BD66" s="12">
        <f>IF('Données projet'!$A$88&gt;35,BD65+BC66-BL65,IF(A66&lt;'Données projet'!$A$88,$BA$205^A66,IF(A66='Données projet'!$A$88,'Données projet'!$B$88,BD65+BC66-BL65)))</f>
        <v>375.176923076923</v>
      </c>
      <c r="BE66" s="13">
        <f>BD66*VLOOKUP('Données projet'!$B$11,Paramètres!$A$1:$I$89,3,0)*VLOOKUP('Données projet'!$B$11,Paramètres!$A$1:$I$89,5,0)</f>
        <v>175.58279999999996</v>
      </c>
      <c r="BF66" s="13">
        <f t="shared" si="37"/>
        <v>44.338023977070598</v>
      </c>
      <c r="BG66" s="20">
        <f t="shared" si="7"/>
        <v>383.02876842673123</v>
      </c>
      <c r="BH66" s="59">
        <f t="shared" si="8"/>
        <v>676.36210176006455</v>
      </c>
      <c r="BI66" s="59">
        <f ca="1">AVERAGE(OFFSET($BH$3,0,0,'Données projet'!$E$11+1,1))-AVERAGE(OFFSET($H$3,0,0,'Données projet'!$E$11+1,1))</f>
        <v>207.25176714718668</v>
      </c>
      <c r="BJ66" s="59">
        <f t="shared" si="38"/>
        <v>191.53228014642559</v>
      </c>
      <c r="BK66" s="15">
        <f>IF(ISNA(VLOOKUP(A66,'Données projet'!$A$87:$I$107,3,0)),0,VLOOKUP(A66,'Données projet'!$A$87:$I$107,3,0))</f>
        <v>4</v>
      </c>
      <c r="BL66" s="15">
        <f>IF(ISNA(VLOOKUP(A66,'Données projet'!$A$87:$I$107,4,0)),0,VLOOKUP(A66,'Données projet'!$A$87:$I$107,4,0))</f>
        <v>71.123076923076923</v>
      </c>
      <c r="BM66" s="16">
        <f>IF(ISNA(VLOOKUP(A66,'Données projet'!$A$87:$I$107,5,0)),0%,VLOOKUP(A66,'Données projet'!$A$87:$I$107,5,0)*VLOOKUP('Données projet'!$B$11,Paramètres!$A$1:$I$89,7,0))</f>
        <v>0.38500000000000001</v>
      </c>
      <c r="BN66" s="16">
        <f>IF(ISNA(VLOOKUP(A66,'Données projet'!$A$87:$I$107,6,0)),0%,VLOOKUP(A66,'Données projet'!$A$87:$I$107,6,0)*VLOOKUP('Données projet'!$B$11,Paramètres!$A$1:$I$89,7,0))</f>
        <v>9.240000000000001E-2</v>
      </c>
      <c r="BO66" s="16">
        <f>IF(ISNA(VLOOKUP(A66,'Données projet'!$A$87:$I$107,7,0)),0%,VLOOKUP(A66,'Données projet'!$A$87:$I$107,7,0))</f>
        <v>0.13200000000000001</v>
      </c>
      <c r="BP66" s="21">
        <f>EXP(-LN(2)/35)*BP65+(1-EXP(-LN(2)/35))/(LN(2)/35)*BL66*BM66*VLOOKUP('Données projet'!$B$11,Paramètres!$A$1:$I$89,3,0)*0.475*44/12</f>
        <v>49.255525722471489</v>
      </c>
      <c r="BQ66" s="21">
        <f>EXP(-LN(2)/25)*BQ65+(1-EXP(-LN(2)/25))/(LN(2)/25)*Calculateur!BL66*Calculateur!BN66*VLOOKUP('Données projet'!$B$11,Paramètres!$A$1:$I$89,3,0)*0.475*44/12</f>
        <v>30.285895506996454</v>
      </c>
      <c r="BR66" s="21">
        <f>EXP(-LN(2)/2)*BR65+(1-EXP(-LN(2)/2))/(LN(2)/2)*BL66*BO66*VLOOKUP('Données projet'!$B$11,Paramètres!$A$1:$I$89,3,0)*0.475*44/12</f>
        <v>5.5051507187979212</v>
      </c>
      <c r="BS66" s="22">
        <f t="shared" si="9"/>
        <v>85.046571948265864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68.620424404221751</v>
      </c>
      <c r="CE66" s="59">
        <f t="shared" si="40"/>
        <v>203.12945099478918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20.189887072284474</v>
      </c>
      <c r="CL66" s="21">
        <f>EXP(-LN(2)/25)*CL65+(1-EXP(-LN(2)/25))/(LN(2)/25)*Calculateur!CG66*Calculateur!CI66*VLOOKUP('Données projet'!$B$12,Paramètres!$A$1:$I$89,3,0)*0.475*44/12</f>
        <v>3.0653425239062844</v>
      </c>
      <c r="CM66" s="21">
        <f>EXP(-LN(2)/2)*CM65+(1-EXP(-LN(2)/2))/(LN(2)/2)*CG66*CJ66*VLOOKUP('Données projet'!$B$12,Paramètres!$A$1:$I$89,3,0)*0.475*44/12</f>
        <v>4.862672112329487E-6</v>
      </c>
      <c r="CN66" s="22">
        <f t="shared" si="12"/>
        <v>23.255234458862873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7.2728205128205143</v>
      </c>
      <c r="CT66" s="12">
        <f>IF('Données projet'!$A$140&gt;35,CT65+CS66-DB65,IF(A66&lt;'Données projet'!$A$140,$CQ$205^A66,IF(A66='Données projet'!$A$140,'Données projet'!$B$140,CT65+CS66-DB65)))</f>
        <v>282.27487179487156</v>
      </c>
      <c r="CU66" s="17">
        <f>CT66*VLOOKUP('Données projet'!$B$13,Paramètres!$A$1:$I$89,3,0)*VLOOKUP('Données projet'!$B$13,Paramètres!$A$1:$I$89,5,0)</f>
        <v>168.80037333333323</v>
      </c>
      <c r="CV66" s="13">
        <f t="shared" si="41"/>
        <v>42.821236483210356</v>
      </c>
      <c r="CW66" s="20">
        <f t="shared" si="13"/>
        <v>368.57430376381336</v>
      </c>
      <c r="CX66" s="59">
        <f t="shared" si="14"/>
        <v>661.90763709714668</v>
      </c>
      <c r="CY66" s="59">
        <f ca="1">AVERAGE(OFFSET($CX$3,0,0,'Données projet'!$E$13+1,1))-AVERAGE(OFFSET($H$3,0,0,'Données projet'!$E$13+1,1))</f>
        <v>196.25918971690442</v>
      </c>
      <c r="CZ66" s="59">
        <f t="shared" si="42"/>
        <v>148.35701313170205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2.1802227220022568</v>
      </c>
      <c r="DG66" s="21">
        <f>EXP(-LN(2)/25)*DG65+(1-EXP(-LN(2)/25))/(LN(2)/25)*Calculateur!DB66*Calculateur!DD66*VLOOKUP('Données projet'!$B$13,Paramètres!$A$1:$I$89,3,0)*0.475*44/12</f>
        <v>19.298727993406363</v>
      </c>
      <c r="DH66" s="21">
        <f>EXP(-LN(2)/2)*DH65+(1-EXP(-LN(2)/2))/(LN(2)/2)*DB66*DE66*VLOOKUP('Données projet'!$B$13,Paramètres!$A$1:$I$89,3,0)*0.475*44/12</f>
        <v>0.74898781431613637</v>
      </c>
      <c r="DI66" s="22">
        <f t="shared" si="15"/>
        <v>22.227938529724756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11">
        <f t="shared" si="32"/>
        <v>9.2922722532016273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67">
        <f t="shared" si="1"/>
        <v>361.68377417432612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180.31844548479722</v>
      </c>
      <c r="T67" s="59">
        <f t="shared" si="34"/>
        <v>273.83237400307223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76.964273367442772</v>
      </c>
      <c r="AA67" s="21">
        <f>EXP(-LN(2)/25)*AA66+(1-EXP(-LN(2)/25))/(LN(2)/25)*Calculateur!V67*Calculateur!X67*VLOOKUP('Données projet'!$B$9,Paramètres!$A$1:$I$89,3,0)*0.475*44/12</f>
        <v>129.43299679395292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206.39727016139568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-5.6843418860808015E-14</v>
      </c>
      <c r="AJ67" s="13">
        <f>AI67*VLOOKUP('Données projet'!$B$10,Paramètres!$A$1:$I$89,3,0)*VLOOKUP('Données projet'!$B$10,Paramètres!$A$1:$I$89,5,0)</f>
        <v>-3.1036506698001178E-14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160.54301845388551</v>
      </c>
      <c r="AO67" s="59">
        <f t="shared" si="36"/>
        <v>272.6634844951584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41.927164704089968</v>
      </c>
      <c r="AV67" s="21">
        <f>EXP(-LN(2)/25)*AV66+(1-EXP(-LN(2)/25))/(LN(2)/25)*Calculateur!AQ67*Calculateur!AS67*VLOOKUP('Données projet'!$B$10,Paramètres!$A$1:$I$89,3,0)*0.475*44/12</f>
        <v>77.069518935868174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118.99668363995815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13.737499999999997</v>
      </c>
      <c r="BD67" s="12">
        <f>IF('Données projet'!$A$88&gt;35,BD66+BC67-BL66,IF(A67&lt;'Données projet'!$A$88,$BA$205^A67,IF(A67='Données projet'!$A$88,'Données projet'!$B$88,BD66+BC67-BL66)))</f>
        <v>317.79134615384612</v>
      </c>
      <c r="BE67" s="13">
        <f>BD67*VLOOKUP('Données projet'!$B$11,Paramètres!$A$1:$I$89,3,0)*VLOOKUP('Données projet'!$B$11,Paramètres!$A$1:$I$89,5,0)</f>
        <v>148.72635</v>
      </c>
      <c r="BF67" s="13">
        <f t="shared" si="37"/>
        <v>38.289000598915827</v>
      </c>
      <c r="BG67" s="20">
        <f t="shared" si="7"/>
        <v>325.71840229311169</v>
      </c>
      <c r="BH67" s="59">
        <f t="shared" si="8"/>
        <v>619.05173562644495</v>
      </c>
      <c r="BI67" s="59">
        <f ca="1">AVERAGE(OFFSET($BH$3,0,0,'Données projet'!$E$11+1,1))-AVERAGE(OFFSET($H$3,0,0,'Données projet'!$E$11+1,1))</f>
        <v>207.25176714718668</v>
      </c>
      <c r="BJ67" s="59">
        <f t="shared" si="38"/>
        <v>191.53228014642559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48.289654905958024</v>
      </c>
      <c r="BQ67" s="21">
        <f>EXP(-LN(2)/25)*BQ66+(1-EXP(-LN(2)/25))/(LN(2)/25)*Calculateur!BL67*Calculateur!BN67*VLOOKUP('Données projet'!$B$11,Paramètres!$A$1:$I$89,3,0)*0.475*44/12</f>
        <v>29.457726101691609</v>
      </c>
      <c r="BR67" s="21">
        <f>EXP(-LN(2)/2)*BR66+(1-EXP(-LN(2)/2))/(LN(2)/2)*BL67*BO67*VLOOKUP('Données projet'!$B$11,Paramètres!$A$1:$I$89,3,0)*0.475*44/12</f>
        <v>3.8927294047160066</v>
      </c>
      <c r="BS67" s="22">
        <f t="shared" si="9"/>
        <v>81.640110412365644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68.620424404221751</v>
      </c>
      <c r="CE67" s="59">
        <f t="shared" si="40"/>
        <v>203.12945099478918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19.793975701412123</v>
      </c>
      <c r="CL67" s="21">
        <f>EXP(-LN(2)/25)*CL66+(1-EXP(-LN(2)/25))/(LN(2)/25)*Calculateur!CG67*Calculateur!CI67*VLOOKUP('Données projet'!$B$12,Paramètres!$A$1:$I$89,3,0)*0.475*44/12</f>
        <v>2.9815205713907096</v>
      </c>
      <c r="CM67" s="21">
        <f>EXP(-LN(2)/2)*CM66+(1-EXP(-LN(2)/2))/(LN(2)/2)*CG67*CJ67*VLOOKUP('Données projet'!$B$12,Paramètres!$A$1:$I$89,3,0)*0.475*44/12</f>
        <v>3.4384284253148935E-6</v>
      </c>
      <c r="CN67" s="22">
        <f t="shared" si="12"/>
        <v>22.775499711231259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7.2728205128205143</v>
      </c>
      <c r="CT67" s="12">
        <f>IF('Données projet'!$A$140&gt;35,CT66+CS67-DB66,IF(A67&lt;'Données projet'!$A$140,$CQ$205^A67,IF(A67='Données projet'!$A$140,'Données projet'!$B$140,CT66+CS67-DB66)))</f>
        <v>289.54769230769205</v>
      </c>
      <c r="CU67" s="17">
        <f>CT67*VLOOKUP('Données projet'!$B$13,Paramètres!$A$1:$I$89,3,0)*VLOOKUP('Données projet'!$B$13,Paramètres!$A$1:$I$89,5,0)</f>
        <v>173.14951999999985</v>
      </c>
      <c r="CV67" s="13">
        <f t="shared" si="41"/>
        <v>43.79465590491786</v>
      </c>
      <c r="CW67" s="20">
        <f t="shared" si="13"/>
        <v>377.84443970106491</v>
      </c>
      <c r="CX67" s="59">
        <f t="shared" si="14"/>
        <v>671.17777303439823</v>
      </c>
      <c r="CY67" s="59">
        <f ca="1">AVERAGE(OFFSET($CX$3,0,0,'Données projet'!$E$13+1,1))-AVERAGE(OFFSET($H$3,0,0,'Données projet'!$E$13+1,1))</f>
        <v>196.25918971690442</v>
      </c>
      <c r="CZ67" s="59">
        <f t="shared" si="42"/>
        <v>148.35701313170205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2.1374698842283455</v>
      </c>
      <c r="DG67" s="21">
        <f>EXP(-LN(2)/25)*DG66+(1-EXP(-LN(2)/25))/(LN(2)/25)*Calculateur!DB67*Calculateur!DD67*VLOOKUP('Données projet'!$B$13,Paramètres!$A$1:$I$89,3,0)*0.475*44/12</f>
        <v>18.771003261550668</v>
      </c>
      <c r="DH67" s="21">
        <f>EXP(-LN(2)/2)*DH66+(1-EXP(-LN(2)/2))/(LN(2)/2)*DB67*DE67*VLOOKUP('Données projet'!$B$13,Paramètres!$A$1:$I$89,3,0)*0.475*44/12</f>
        <v>0.52961436252903071</v>
      </c>
      <c r="DI67" s="22">
        <f t="shared" si="15"/>
        <v>21.438087508308044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11">
        <f t="shared" si="32"/>
        <v>9.4204476947792024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67">
        <f t="shared" ref="H68:H131" si="56">(B68+E68+F68)*44/12+(C68+D68)*0.475*44/12</f>
        <v>362.72211306840711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180.31844548479722</v>
      </c>
      <c r="T68" s="59">
        <f t="shared" si="34"/>
        <v>273.83237400307223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75.455050910278686</v>
      </c>
      <c r="AA68" s="21">
        <f>EXP(-LN(2)/25)*AA67+(1-EXP(-LN(2)/25))/(LN(2)/25)*Calculateur!V68*Calculateur!X68*VLOOKUP('Données projet'!$B$9,Paramètres!$A$1:$I$89,3,0)*0.475*44/12</f>
        <v>125.89364469003681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201.34869560031549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-5.6843418860808015E-14</v>
      </c>
      <c r="AJ68" s="13">
        <f>AI68*VLOOKUP('Données projet'!$B$10,Paramètres!$A$1:$I$89,3,0)*VLOOKUP('Données projet'!$B$10,Paramètres!$A$1:$I$89,5,0)</f>
        <v>-3.1036506698001178E-14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160.54301845388551</v>
      </c>
      <c r="AO68" s="59">
        <f t="shared" si="36"/>
        <v>272.6634844951584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41.104998577288107</v>
      </c>
      <c r="AV68" s="21">
        <f>EXP(-LN(2)/25)*AV67+(1-EXP(-LN(2)/25))/(LN(2)/25)*Calculateur!AQ68*Calculateur!AS68*VLOOKUP('Données projet'!$B$10,Paramètres!$A$1:$I$89,3,0)*0.475*44/12</f>
        <v>74.962048887657005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116.06704746494512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13.737499999999997</v>
      </c>
      <c r="BD68" s="12">
        <f>IF('Données projet'!$A$88&gt;35,BD67+BC68-BL67,IF(A68&lt;'Données projet'!$A$88,$BA$205^A68,IF(A68='Données projet'!$A$88,'Données projet'!$B$88,BD67+BC68-BL67)))</f>
        <v>331.52884615384613</v>
      </c>
      <c r="BE68" s="13">
        <f>BD68*VLOOKUP('Données projet'!$B$11,Paramètres!$A$1:$I$89,3,0)*VLOOKUP('Données projet'!$B$11,Paramètres!$A$1:$I$89,5,0)</f>
        <v>155.15549999999999</v>
      </c>
      <c r="BF68" s="13">
        <f t="shared" si="37"/>
        <v>39.74787733410745</v>
      </c>
      <c r="BG68" s="20">
        <f t="shared" ref="BG68:BG131" si="61">(BE68+BF68)*0.475*44/12</f>
        <v>339.45671552357044</v>
      </c>
      <c r="BH68" s="59">
        <f t="shared" ref="BH68:BH131" si="62">BG68+(AY68+AZ68)*44/12</f>
        <v>632.7900488569037</v>
      </c>
      <c r="BI68" s="59">
        <f ca="1">AVERAGE(OFFSET($BH$3,0,0,'Données projet'!$E$11+1,1))-AVERAGE(OFFSET($H$3,0,0,'Données projet'!$E$11+1,1))</f>
        <v>207.25176714718668</v>
      </c>
      <c r="BJ68" s="59">
        <f t="shared" si="38"/>
        <v>191.53228014642559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47.342724227033358</v>
      </c>
      <c r="BQ68" s="21">
        <f>EXP(-LN(2)/25)*BQ67+(1-EXP(-LN(2)/25))/(LN(2)/25)*Calculateur!BL68*Calculateur!BN68*VLOOKUP('Données projet'!$B$11,Paramètres!$A$1:$I$89,3,0)*0.475*44/12</f>
        <v>28.652203032326362</v>
      </c>
      <c r="BR68" s="21">
        <f>EXP(-LN(2)/2)*BR67+(1-EXP(-LN(2)/2))/(LN(2)/2)*BL68*BO68*VLOOKUP('Données projet'!$B$11,Paramètres!$A$1:$I$89,3,0)*0.475*44/12</f>
        <v>2.752575359398961</v>
      </c>
      <c r="BS68" s="22">
        <f t="shared" ref="BS68:BS131" si="63">SUM(BP68:BR68)</f>
        <v>78.747502618758674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68.620424404221751</v>
      </c>
      <c r="CE68" s="59">
        <f t="shared" si="40"/>
        <v>203.12945099478918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19.405827911040486</v>
      </c>
      <c r="CL68" s="21">
        <f>EXP(-LN(2)/25)*CL67+(1-EXP(-LN(2)/25))/(LN(2)/25)*Calculateur!CG68*Calculateur!CI68*VLOOKUP('Données projet'!$B$12,Paramètres!$A$1:$I$89,3,0)*0.475*44/12</f>
        <v>2.8999907345746783</v>
      </c>
      <c r="CM68" s="21">
        <f>EXP(-LN(2)/2)*CM67+(1-EXP(-LN(2)/2))/(LN(2)/2)*CG68*CJ68*VLOOKUP('Données projet'!$B$12,Paramètres!$A$1:$I$89,3,0)*0.475*44/12</f>
        <v>2.4313360561647435E-6</v>
      </c>
      <c r="CN68" s="22">
        <f t="shared" ref="CN68:CN131" si="66">SUM(CK68:CM68)</f>
        <v>22.305821076951222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7.2728205128205143</v>
      </c>
      <c r="CT68" s="12">
        <f>IF('Données projet'!$A$140&gt;35,CT67+CS68-DB67,IF(A68&lt;'Données projet'!$A$140,$CQ$205^A68,IF(A68='Données projet'!$A$140,'Données projet'!$B$140,CT67+CS68-DB67)))</f>
        <v>296.82051282051253</v>
      </c>
      <c r="CU68" s="17">
        <f>CT68*VLOOKUP('Données projet'!$B$13,Paramètres!$A$1:$I$89,3,0)*VLOOKUP('Données projet'!$B$13,Paramètres!$A$1:$I$89,5,0)</f>
        <v>177.49866666666654</v>
      </c>
      <c r="CV68" s="13">
        <f t="shared" si="41"/>
        <v>44.765233161606211</v>
      </c>
      <c r="CW68" s="20">
        <f t="shared" ref="CW68:CW131" si="67">(CU68+CV68)*0.475*44/12</f>
        <v>387.10962553424162</v>
      </c>
      <c r="CX68" s="59">
        <f t="shared" ref="CX68:CX131" si="68">CW68+(CO68+CP68)*44/12</f>
        <v>680.44295886757493</v>
      </c>
      <c r="CY68" s="59">
        <f ca="1">AVERAGE(OFFSET($CX$3,0,0,'Données projet'!$E$13+1,1))-AVERAGE(OFFSET($H$3,0,0,'Données projet'!$E$13+1,1))</f>
        <v>196.25918971690442</v>
      </c>
      <c r="CZ68" s="59">
        <f t="shared" si="42"/>
        <v>148.35701313170205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2.0955554035265247</v>
      </c>
      <c r="DG68" s="21">
        <f>EXP(-LN(2)/25)*DG67+(1-EXP(-LN(2)/25))/(LN(2)/25)*Calculateur!DB68*Calculateur!DD68*VLOOKUP('Données projet'!$B$13,Paramètres!$A$1:$I$89,3,0)*0.475*44/12</f>
        <v>18.257709190239403</v>
      </c>
      <c r="DH68" s="21">
        <f>EXP(-LN(2)/2)*DH67+(1-EXP(-LN(2)/2))/(LN(2)/2)*DB68*DE68*VLOOKUP('Données projet'!$B$13,Paramètres!$A$1:$I$89,3,0)*0.475*44/12</f>
        <v>0.37449390715806818</v>
      </c>
      <c r="DI68" s="22">
        <f t="shared" ref="DI68:DI131" si="69">SUM(DF68:DH68)</f>
        <v>20.727758500923997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11">
        <f t="shared" ref="D69:D132" si="86">IFERROR(EXP(-1.0587+0.8836*LN(C69)+0.284),0)</f>
        <v>9.5483937995519046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67">
        <f t="shared" si="56"/>
        <v>363.76005253421954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180.31844548479722</v>
      </c>
      <c r="T69" s="59">
        <f t="shared" ref="T69:T132" si="88">$T$3</f>
        <v>273.83237400307223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73.975423384964785</v>
      </c>
      <c r="AA69" s="21">
        <f>EXP(-LN(2)/25)*AA68+(1-EXP(-LN(2)/25))/(LN(2)/25)*Calculateur!V69*Calculateur!X69*VLOOKUP('Données projet'!$B$9,Paramètres!$A$1:$I$89,3,0)*0.475*44/12</f>
        <v>122.45107635552871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196.42649974049351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-5.6843418860808015E-14</v>
      </c>
      <c r="AJ69" s="13">
        <f>AI69*VLOOKUP('Données projet'!$B$10,Paramètres!$A$1:$I$89,3,0)*VLOOKUP('Données projet'!$B$10,Paramètres!$A$1:$I$89,5,0)</f>
        <v>-3.1036506698001178E-14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160.54301845388551</v>
      </c>
      <c r="AO69" s="59">
        <f t="shared" ref="AO69:AO132" si="90">$AO$3</f>
        <v>272.6634844951584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40.298954626761009</v>
      </c>
      <c r="AV69" s="21">
        <f>EXP(-LN(2)/25)*AV68+(1-EXP(-LN(2)/25))/(LN(2)/25)*Calculateur!AQ69*Calculateur!AS69*VLOOKUP('Données projet'!$B$10,Paramètres!$A$1:$I$89,3,0)*0.475*44/12</f>
        <v>72.9122077187412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113.2111623455022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13.737499999999997</v>
      </c>
      <c r="BD69" s="12">
        <f>IF('Données projet'!$A$88&gt;35,BD68+BC69-BL68,IF(A69&lt;'Données projet'!$A$88,$BA$205^A69,IF(A69='Données projet'!$A$88,'Données projet'!$B$88,BD68+BC69-BL68)))</f>
        <v>345.26634615384614</v>
      </c>
      <c r="BE69" s="13">
        <f>BD69*VLOOKUP('Données projet'!$B$11,Paramètres!$A$1:$I$89,3,0)*VLOOKUP('Données projet'!$B$11,Paramètres!$A$1:$I$89,5,0)</f>
        <v>161.58464999999998</v>
      </c>
      <c r="BF69" s="13">
        <f t="shared" ref="BF69:BF132" si="91">EXP(-1.0587+0.8836*LN(BE69)+0.284)</f>
        <v>41.199732368807574</v>
      </c>
      <c r="BG69" s="20">
        <f t="shared" si="61"/>
        <v>353.18279929233978</v>
      </c>
      <c r="BH69" s="59">
        <f t="shared" si="62"/>
        <v>646.51613262567309</v>
      </c>
      <c r="BI69" s="59">
        <f ca="1">AVERAGE(OFFSET($BH$3,0,0,'Données projet'!$E$11+1,1))-AVERAGE(OFFSET($H$3,0,0,'Données projet'!$E$11+1,1))</f>
        <v>207.25176714718668</v>
      </c>
      <c r="BJ69" s="59">
        <f t="shared" ref="BJ69:BJ132" si="92">$BJ$3</f>
        <v>191.53228014642559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46.414362281151725</v>
      </c>
      <c r="BQ69" s="21">
        <f>EXP(-LN(2)/25)*BQ68+(1-EXP(-LN(2)/25))/(LN(2)/25)*Calculateur!BL69*Calculateur!BN69*VLOOKUP('Données projet'!$B$11,Paramètres!$A$1:$I$89,3,0)*0.475*44/12</f>
        <v>27.868707033653525</v>
      </c>
      <c r="BR69" s="21">
        <f>EXP(-LN(2)/2)*BR68+(1-EXP(-LN(2)/2))/(LN(2)/2)*BL69*BO69*VLOOKUP('Données projet'!$B$11,Paramètres!$A$1:$I$89,3,0)*0.475*44/12</f>
        <v>1.9463647023580037</v>
      </c>
      <c r="BS69" s="22">
        <f t="shared" si="63"/>
        <v>76.229434017163243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68.620424404221751</v>
      </c>
      <c r="CE69" s="59">
        <f t="shared" ref="CE69:CE132" si="94">$CE$3</f>
        <v>203.12945099478918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19.025291462091261</v>
      </c>
      <c r="CL69" s="21">
        <f>EXP(-LN(2)/25)*CL68+(1-EXP(-LN(2)/25))/(LN(2)/25)*Calculateur!CG69*Calculateur!CI69*VLOOKUP('Données projet'!$B$12,Paramètres!$A$1:$I$89,3,0)*0.475*44/12</f>
        <v>2.8206903354338491</v>
      </c>
      <c r="CM69" s="21">
        <f>EXP(-LN(2)/2)*CM68+(1-EXP(-LN(2)/2))/(LN(2)/2)*CG69*CJ69*VLOOKUP('Données projet'!$B$12,Paramètres!$A$1:$I$89,3,0)*0.475*44/12</f>
        <v>1.7192142126574467E-6</v>
      </c>
      <c r="CN69" s="22">
        <f t="shared" si="66"/>
        <v>21.84598351673932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7.2728205128205143</v>
      </c>
      <c r="CT69" s="12">
        <f>IF('Données projet'!$A$140&gt;35,CT68+CS69-DB68,IF(A69&lt;'Données projet'!$A$140,$CQ$205^A69,IF(A69='Données projet'!$A$140,'Données projet'!$B$140,CT68+CS69-DB68)))</f>
        <v>304.09333333333302</v>
      </c>
      <c r="CU69" s="17">
        <f>CT69*VLOOKUP('Données projet'!$B$13,Paramètres!$A$1:$I$89,3,0)*VLOOKUP('Données projet'!$B$13,Paramètres!$A$1:$I$89,5,0)</f>
        <v>181.84781333333316</v>
      </c>
      <c r="CV69" s="13">
        <f t="shared" ref="CV69:CV132" si="95">EXP(-1.0587+0.8836*LN(CU69)+0.284)</f>
        <v>45.733045904230572</v>
      </c>
      <c r="CW69" s="20">
        <f t="shared" si="67"/>
        <v>396.36999650542356</v>
      </c>
      <c r="CX69" s="59">
        <f t="shared" si="68"/>
        <v>689.70332983875687</v>
      </c>
      <c r="CY69" s="59">
        <f ca="1">AVERAGE(OFFSET($CX$3,0,0,'Données projet'!$E$13+1,1))-AVERAGE(OFFSET($H$3,0,0,'Données projet'!$E$13+1,1))</f>
        <v>196.25918971690442</v>
      </c>
      <c r="CZ69" s="59">
        <f t="shared" ref="CZ69:CZ132" si="96">$CZ$3</f>
        <v>148.35701313170205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2.0544628402259577</v>
      </c>
      <c r="DG69" s="21">
        <f>EXP(-LN(2)/25)*DG68+(1-EXP(-LN(2)/25))/(LN(2)/25)*Calculateur!DB69*Calculateur!DD69*VLOOKUP('Données projet'!$B$13,Paramètres!$A$1:$I$89,3,0)*0.475*44/12</f>
        <v>17.758451172301108</v>
      </c>
      <c r="DH69" s="21">
        <f>EXP(-LN(2)/2)*DH68+(1-EXP(-LN(2)/2))/(LN(2)/2)*DB69*DE69*VLOOKUP('Données projet'!$B$13,Paramètres!$A$1:$I$89,3,0)*0.475*44/12</f>
        <v>0.26480718126451536</v>
      </c>
      <c r="DI69" s="22">
        <f t="shared" si="69"/>
        <v>20.077721193791582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11">
        <f t="shared" si="86"/>
        <v>9.6761144436663837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67">
        <f t="shared" si="56"/>
        <v>364.79759932271895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180.31844548479722</v>
      </c>
      <c r="T70" s="59">
        <f t="shared" si="88"/>
        <v>273.83237400307223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72.52481045293861</v>
      </c>
      <c r="AA70" s="21">
        <f>EXP(-LN(2)/25)*AA69+(1-EXP(-LN(2)/25))/(LN(2)/25)*Calculateur!V70*Calculateur!X70*VLOOKUP('Données projet'!$B$9,Paramètres!$A$1:$I$89,3,0)*0.475*44/12</f>
        <v>119.10264523316454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191.62745568610313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-5.6843418860808015E-14</v>
      </c>
      <c r="AJ70" s="13">
        <f>AI70*VLOOKUP('Données projet'!$B$10,Paramètres!$A$1:$I$89,3,0)*VLOOKUP('Données projet'!$B$10,Paramètres!$A$1:$I$89,5,0)</f>
        <v>-3.1036506698001178E-14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160.54301845388551</v>
      </c>
      <c r="AO70" s="59">
        <f t="shared" si="90"/>
        <v>272.6634844951584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39.508716706465478</v>
      </c>
      <c r="AV70" s="21">
        <f>EXP(-LN(2)/25)*AV69+(1-EXP(-LN(2)/25))/(LN(2)/25)*Calculateur!AQ70*Calculateur!AS70*VLOOKUP('Données projet'!$B$10,Paramètres!$A$1:$I$89,3,0)*0.475*44/12</f>
        <v>70.918419564385857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110.42713627085134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13.737499999999997</v>
      </c>
      <c r="BD70" s="12">
        <f>IF('Données projet'!$A$88&gt;35,BD69+BC70-BL69,IF(A70&lt;'Données projet'!$A$88,$BA$205^A70,IF(A70='Données projet'!$A$88,'Données projet'!$B$88,BD69+BC70-BL69)))</f>
        <v>359.00384615384615</v>
      </c>
      <c r="BE70" s="13">
        <f>BD70*VLOOKUP('Données projet'!$B$11,Paramètres!$A$1:$I$89,3,0)*VLOOKUP('Données projet'!$B$11,Paramètres!$A$1:$I$89,5,0)</f>
        <v>168.0138</v>
      </c>
      <c r="BF70" s="13">
        <f t="shared" si="91"/>
        <v>42.644877049412187</v>
      </c>
      <c r="BG70" s="20">
        <f t="shared" si="61"/>
        <v>366.89719586105952</v>
      </c>
      <c r="BH70" s="59">
        <f t="shared" si="62"/>
        <v>660.23052919439283</v>
      </c>
      <c r="BI70" s="59">
        <f ca="1">AVERAGE(OFFSET($BH$3,0,0,'Données projet'!$E$11+1,1))-AVERAGE(OFFSET($H$3,0,0,'Données projet'!$E$11+1,1))</f>
        <v>207.25176714718668</v>
      </c>
      <c r="BJ70" s="59">
        <f t="shared" si="92"/>
        <v>191.53228014642559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45.50420494678395</v>
      </c>
      <c r="BQ70" s="21">
        <f>EXP(-LN(2)/25)*BQ69+(1-EXP(-LN(2)/25))/(LN(2)/25)*Calculateur!BL70*Calculateur!BN70*VLOOKUP('Données projet'!$B$11,Paramètres!$A$1:$I$89,3,0)*0.475*44/12</f>
        <v>27.10663577426666</v>
      </c>
      <c r="BR70" s="21">
        <f>EXP(-LN(2)/2)*BR69+(1-EXP(-LN(2)/2))/(LN(2)/2)*BL70*BO70*VLOOKUP('Données projet'!$B$11,Paramètres!$A$1:$I$89,3,0)*0.475*44/12</f>
        <v>1.3762876796994807</v>
      </c>
      <c r="BS70" s="22">
        <f t="shared" si="63"/>
        <v>73.987128400750095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68.620424404221751</v>
      </c>
      <c r="CE70" s="59">
        <f t="shared" si="94"/>
        <v>203.12945099478918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18.652217100801614</v>
      </c>
      <c r="CL70" s="21">
        <f>EXP(-LN(2)/25)*CL69+(1-EXP(-LN(2)/25))/(LN(2)/25)*Calculateur!CG70*Calculateur!CI70*VLOOKUP('Données projet'!$B$12,Paramètres!$A$1:$I$89,3,0)*0.475*44/12</f>
        <v>2.7435584098777523</v>
      </c>
      <c r="CM70" s="21">
        <f>EXP(-LN(2)/2)*CM69+(1-EXP(-LN(2)/2))/(LN(2)/2)*CG70*CJ70*VLOOKUP('Données projet'!$B$12,Paramètres!$A$1:$I$89,3,0)*0.475*44/12</f>
        <v>1.2156680280823718E-6</v>
      </c>
      <c r="CN70" s="22">
        <f t="shared" si="66"/>
        <v>21.395776726347396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7.2728205128205143</v>
      </c>
      <c r="CT70" s="12">
        <f>IF('Données projet'!$A$140&gt;35,CT69+CS70-DB69,IF(A70&lt;'Données projet'!$A$140,$CQ$205^A70,IF(A70='Données projet'!$A$140,'Données projet'!$B$140,CT69+CS70-DB69)))</f>
        <v>311.36615384615351</v>
      </c>
      <c r="CU70" s="17">
        <f>CT70*VLOOKUP('Données projet'!$B$13,Paramètres!$A$1:$I$89,3,0)*VLOOKUP('Données projet'!$B$13,Paramètres!$A$1:$I$89,5,0)</f>
        <v>186.19695999999979</v>
      </c>
      <c r="CV70" s="13">
        <f t="shared" si="95"/>
        <v>46.698167857650702</v>
      </c>
      <c r="CW70" s="20">
        <f t="shared" si="67"/>
        <v>405.62568101874126</v>
      </c>
      <c r="CX70" s="59">
        <f t="shared" si="68"/>
        <v>698.95901435207452</v>
      </c>
      <c r="CY70" s="59">
        <f ca="1">AVERAGE(OFFSET($CX$3,0,0,'Données projet'!$E$13+1,1))-AVERAGE(OFFSET($H$3,0,0,'Données projet'!$E$13+1,1))</f>
        <v>196.25918971690442</v>
      </c>
      <c r="CZ70" s="59">
        <f t="shared" si="96"/>
        <v>148.35701313170205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2.0141760770277259</v>
      </c>
      <c r="DG70" s="21">
        <f>EXP(-LN(2)/25)*DG69+(1-EXP(-LN(2)/25))/(LN(2)/25)*Calculateur!DB70*Calculateur!DD70*VLOOKUP('Données projet'!$B$13,Paramètres!$A$1:$I$89,3,0)*0.475*44/12</f>
        <v>17.272845391118175</v>
      </c>
      <c r="DH70" s="21">
        <f>EXP(-LN(2)/2)*DH69+(1-EXP(-LN(2)/2))/(LN(2)/2)*DB70*DE70*VLOOKUP('Données projet'!$B$13,Paramètres!$A$1:$I$89,3,0)*0.475*44/12</f>
        <v>0.18724695357903409</v>
      </c>
      <c r="DI70" s="22">
        <f t="shared" si="69"/>
        <v>19.474268421724936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11">
        <f t="shared" si="86"/>
        <v>9.8036133809220889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67">
        <f t="shared" si="56"/>
        <v>365.8347599717726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180.31844548479722</v>
      </c>
      <c r="T71" s="59">
        <f t="shared" si="88"/>
        <v>273.83237400307223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71.102643155722944</v>
      </c>
      <c r="AA71" s="21">
        <f>EXP(-LN(2)/25)*AA70+(1-EXP(-LN(2)/25))/(LN(2)/25)*Calculateur!V71*Calculateur!X71*VLOOKUP('Données projet'!$B$9,Paramètres!$A$1:$I$89,3,0)*0.475*44/12</f>
        <v>115.84577713592775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186.94842029165068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-5.6843418860808015E-14</v>
      </c>
      <c r="AJ71" s="13">
        <f>AI71*VLOOKUP('Données projet'!$B$10,Paramètres!$A$1:$I$89,3,0)*VLOOKUP('Données projet'!$B$10,Paramètres!$A$1:$I$89,5,0)</f>
        <v>-3.1036506698001178E-14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160.54301845388551</v>
      </c>
      <c r="AO71" s="59">
        <f t="shared" si="90"/>
        <v>272.6634844951584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38.733974869789407</v>
      </c>
      <c r="AV71" s="21">
        <f>EXP(-LN(2)/25)*AV70+(1-EXP(-LN(2)/25))/(LN(2)/25)*Calculateur!AQ71*Calculateur!AS71*VLOOKUP('Données projet'!$B$10,Paramètres!$A$1:$I$89,3,0)*0.475*44/12</f>
        <v>68.979151651960123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107.71312652174953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13.737499999999997</v>
      </c>
      <c r="BD71" s="12">
        <f>IF('Données projet'!$A$88&gt;35,BD70+BC71-BL70,IF(A71&lt;'Données projet'!$A$88,$BA$205^A71,IF(A71='Données projet'!$A$88,'Données projet'!$B$88,BD70+BC71-BL70)))</f>
        <v>372.74134615384617</v>
      </c>
      <c r="BE71" s="13">
        <f>BD71*VLOOKUP('Données projet'!$B$11,Paramètres!$A$1:$I$89,3,0)*VLOOKUP('Données projet'!$B$11,Paramètres!$A$1:$I$89,5,0)</f>
        <v>174.44295000000002</v>
      </c>
      <c r="BF71" s="13">
        <f t="shared" si="91"/>
        <v>44.083597545116064</v>
      </c>
      <c r="BG71" s="20">
        <f t="shared" si="61"/>
        <v>380.60040364107721</v>
      </c>
      <c r="BH71" s="59">
        <f t="shared" si="62"/>
        <v>673.93373697441052</v>
      </c>
      <c r="BI71" s="59">
        <f ca="1">AVERAGE(OFFSET($BH$3,0,0,'Données projet'!$E$11+1,1))-AVERAGE(OFFSET($H$3,0,0,'Données projet'!$E$11+1,1))</f>
        <v>207.25176714718668</v>
      </c>
      <c r="BJ71" s="59">
        <f t="shared" si="92"/>
        <v>191.53228014642559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44.611895242601975</v>
      </c>
      <c r="BQ71" s="21">
        <f>EXP(-LN(2)/25)*BQ70+(1-EXP(-LN(2)/25))/(LN(2)/25)*Calculateur!BL71*Calculateur!BN71*VLOOKUP('Données projet'!$B$11,Paramètres!$A$1:$I$89,3,0)*0.475*44/12</f>
        <v>26.365403393543318</v>
      </c>
      <c r="BR71" s="21">
        <f>EXP(-LN(2)/2)*BR70+(1-EXP(-LN(2)/2))/(LN(2)/2)*BL71*BO71*VLOOKUP('Données projet'!$B$11,Paramètres!$A$1:$I$89,3,0)*0.475*44/12</f>
        <v>0.97318235117900198</v>
      </c>
      <c r="BS71" s="22">
        <f t="shared" si="63"/>
        <v>71.950480987324298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68.620424404221751</v>
      </c>
      <c r="CE71" s="59">
        <f t="shared" si="94"/>
        <v>203.12945099478918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18.286458500183969</v>
      </c>
      <c r="CL71" s="21">
        <f>EXP(-LN(2)/25)*CL70+(1-EXP(-LN(2)/25))/(LN(2)/25)*Calculateur!CG71*Calculateur!CI71*VLOOKUP('Données projet'!$B$12,Paramètres!$A$1:$I$89,3,0)*0.475*44/12</f>
        <v>2.6685356608821791</v>
      </c>
      <c r="CM71" s="21">
        <f>EXP(-LN(2)/2)*CM70+(1-EXP(-LN(2)/2))/(LN(2)/2)*CG71*CJ71*VLOOKUP('Données projet'!$B$12,Paramètres!$A$1:$I$89,3,0)*0.475*44/12</f>
        <v>8.5960710632872337E-7</v>
      </c>
      <c r="CN71" s="22">
        <f t="shared" si="66"/>
        <v>20.954995020673252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7.2728205128205143</v>
      </c>
      <c r="CT71" s="12">
        <f>IF('Données projet'!$A$140&gt;35,CT70+CS71-DB70,IF(A71&lt;'Données projet'!$A$140,$CQ$205^A71,IF(A71='Données projet'!$A$140,'Données projet'!$B$140,CT70+CS71-DB70)))</f>
        <v>318.638974358974</v>
      </c>
      <c r="CU71" s="17">
        <f>CT71*VLOOKUP('Données projet'!$B$13,Paramètres!$A$1:$I$89,3,0)*VLOOKUP('Données projet'!$B$13,Paramètres!$A$1:$I$89,5,0)</f>
        <v>190.54610666666647</v>
      </c>
      <c r="CV71" s="13">
        <f t="shared" si="95"/>
        <v>47.660669106136346</v>
      </c>
      <c r="CW71" s="20">
        <f t="shared" si="67"/>
        <v>414.8768011376315</v>
      </c>
      <c r="CX71" s="59">
        <f t="shared" si="68"/>
        <v>708.21013447096482</v>
      </c>
      <c r="CY71" s="59">
        <f ca="1">AVERAGE(OFFSET($CX$3,0,0,'Données projet'!$E$13+1,1))-AVERAGE(OFFSET($H$3,0,0,'Données projet'!$E$13+1,1))</f>
        <v>196.25918971690442</v>
      </c>
      <c r="CZ71" s="59">
        <f t="shared" si="96"/>
        <v>148.35701313170205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1.9746793126833124</v>
      </c>
      <c r="DG71" s="21">
        <f>EXP(-LN(2)/25)*DG70+(1-EXP(-LN(2)/25))/(LN(2)/25)*Calculateur!DB71*Calculateur!DD71*VLOOKUP('Données projet'!$B$13,Paramètres!$A$1:$I$89,3,0)*0.475*44/12</f>
        <v>16.800518525558587</v>
      </c>
      <c r="DH71" s="21">
        <f>EXP(-LN(2)/2)*DH70+(1-EXP(-LN(2)/2))/(LN(2)/2)*DB71*DE71*VLOOKUP('Données projet'!$B$13,Paramètres!$A$1:$I$89,3,0)*0.475*44/12</f>
        <v>0.13240359063225768</v>
      </c>
      <c r="DI71" s="22">
        <f t="shared" si="69"/>
        <v>18.907601428874159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11">
        <f t="shared" si="86"/>
        <v>9.9308942483743401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67">
        <f t="shared" si="56"/>
        <v>366.87154081591865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180.31844548479722</v>
      </c>
      <c r="T72" s="59">
        <f t="shared" si="88"/>
        <v>273.83237400307223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69.708363691769279</v>
      </c>
      <c r="AA72" s="21">
        <f>EXP(-LN(2)/25)*AA71+(1-EXP(-LN(2)/25))/(LN(2)/25)*Calculateur!V72*Calculateur!X72*VLOOKUP('Données projet'!$B$9,Paramètres!$A$1:$I$89,3,0)*0.475*44/12</f>
        <v>112.67796826808116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182.38633195985045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-5.6843418860808015E-14</v>
      </c>
      <c r="AJ72" s="13">
        <f>AI72*VLOOKUP('Données projet'!$B$10,Paramètres!$A$1:$I$89,3,0)*VLOOKUP('Données projet'!$B$10,Paramètres!$A$1:$I$89,5,0)</f>
        <v>-3.1036506698001178E-14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160.54301845388551</v>
      </c>
      <c r="AO72" s="59">
        <f t="shared" si="90"/>
        <v>272.6634844951584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37.974425247984691</v>
      </c>
      <c r="AV72" s="21">
        <f>EXP(-LN(2)/25)*AV71+(1-EXP(-LN(2)/25))/(LN(2)/25)*Calculateur!AQ72*Calculateur!AS72*VLOOKUP('Données projet'!$B$10,Paramètres!$A$1:$I$89,3,0)*0.475*44/12</f>
        <v>67.092913122581336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105.06733837056603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13.737499999999997</v>
      </c>
      <c r="BD72" s="12">
        <f>IF('Données projet'!$A$88&gt;35,BD71+BC72-BL71,IF(A72&lt;'Données projet'!$A$88,$BA$205^A72,IF(A72='Données projet'!$A$88,'Données projet'!$B$88,BD71+BC72-BL71)))</f>
        <v>386.47884615384618</v>
      </c>
      <c r="BE72" s="13">
        <f>BD72*VLOOKUP('Données projet'!$B$11,Paramètres!$A$1:$I$89,3,0)*VLOOKUP('Données projet'!$B$11,Paramètres!$A$1:$I$89,5,0)</f>
        <v>180.87209999999999</v>
      </c>
      <c r="BF72" s="13">
        <f t="shared" si="91"/>
        <v>45.516157736157588</v>
      </c>
      <c r="BG72" s="20">
        <f t="shared" si="61"/>
        <v>394.29288222380774</v>
      </c>
      <c r="BH72" s="59">
        <f t="shared" si="62"/>
        <v>687.62621555714099</v>
      </c>
      <c r="BI72" s="59">
        <f ca="1">AVERAGE(OFFSET($BH$3,0,0,'Données projet'!$E$11+1,1))-AVERAGE(OFFSET($H$3,0,0,'Données projet'!$E$11+1,1))</f>
        <v>207.25176714718668</v>
      </c>
      <c r="BJ72" s="59">
        <f t="shared" si="92"/>
        <v>191.53228014642559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43.737083187463824</v>
      </c>
      <c r="BQ72" s="21">
        <f>EXP(-LN(2)/25)*BQ71+(1-EXP(-LN(2)/25))/(LN(2)/25)*Calculateur!BL72*Calculateur!BN72*VLOOKUP('Données projet'!$B$11,Paramètres!$A$1:$I$89,3,0)*0.475*44/12</f>
        <v>25.644440051250569</v>
      </c>
      <c r="BR72" s="21">
        <f>EXP(-LN(2)/2)*BR71+(1-EXP(-LN(2)/2))/(LN(2)/2)*BL72*BO72*VLOOKUP('Données projet'!$B$11,Paramètres!$A$1:$I$89,3,0)*0.475*44/12</f>
        <v>0.68814383984974048</v>
      </c>
      <c r="BS72" s="22">
        <f t="shared" si="63"/>
        <v>70.069667078564137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68.620424404221751</v>
      </c>
      <c r="CE72" s="59">
        <f t="shared" si="94"/>
        <v>203.12945099478918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17.927872202633715</v>
      </c>
      <c r="CL72" s="21">
        <f>EXP(-LN(2)/25)*CL71+(1-EXP(-LN(2)/25))/(LN(2)/25)*Calculateur!CG72*Calculateur!CI72*VLOOKUP('Données projet'!$B$12,Paramètres!$A$1:$I$89,3,0)*0.475*44/12</f>
        <v>2.5955644129031645</v>
      </c>
      <c r="CM72" s="21">
        <f>EXP(-LN(2)/2)*CM71+(1-EXP(-LN(2)/2))/(LN(2)/2)*CG72*CJ72*VLOOKUP('Données projet'!$B$12,Paramètres!$A$1:$I$89,3,0)*0.475*44/12</f>
        <v>6.0783401404118588E-7</v>
      </c>
      <c r="CN72" s="22">
        <f t="shared" si="66"/>
        <v>20.523437223370895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7.2728205128205143</v>
      </c>
      <c r="CT72" s="12">
        <f>IF('Données projet'!$A$140&gt;35,CT71+CS72-DB71,IF(A72&lt;'Données projet'!$A$140,$CQ$205^A72,IF(A72='Données projet'!$A$140,'Données projet'!$B$140,CT71+CS72-DB71)))</f>
        <v>325.91179487179448</v>
      </c>
      <c r="CU72" s="17">
        <f>CT72*VLOOKUP('Données projet'!$B$13,Paramètres!$A$1:$I$89,3,0)*VLOOKUP('Données projet'!$B$13,Paramètres!$A$1:$I$89,5,0)</f>
        <v>194.89525333333313</v>
      </c>
      <c r="CV72" s="13">
        <f t="shared" si="95"/>
        <v>48.620616352071245</v>
      </c>
      <c r="CW72" s="20">
        <f t="shared" si="67"/>
        <v>424.12347303541259</v>
      </c>
      <c r="CX72" s="59">
        <f t="shared" si="68"/>
        <v>717.4568063687459</v>
      </c>
      <c r="CY72" s="59">
        <f ca="1">AVERAGE(OFFSET($CX$3,0,0,'Données projet'!$E$13+1,1))-AVERAGE(OFFSET($H$3,0,0,'Données projet'!$E$13+1,1))</f>
        <v>196.25918971690442</v>
      </c>
      <c r="CZ72" s="59">
        <f t="shared" si="96"/>
        <v>148.35701313170205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1.9359570557970454</v>
      </c>
      <c r="DG72" s="21">
        <f>EXP(-LN(2)/25)*DG71+(1-EXP(-LN(2)/25))/(LN(2)/25)*Calculateur!DB72*Calculateur!DD72*VLOOKUP('Données projet'!$B$13,Paramètres!$A$1:$I$89,3,0)*0.475*44/12</f>
        <v>16.341107462976318</v>
      </c>
      <c r="DH72" s="21">
        <f>EXP(-LN(2)/2)*DH71+(1-EXP(-LN(2)/2))/(LN(2)/2)*DB72*DE72*VLOOKUP('Données projet'!$B$13,Paramètres!$A$1:$I$89,3,0)*0.475*44/12</f>
        <v>9.3623476789517046E-2</v>
      </c>
      <c r="DI72" s="22">
        <f t="shared" si="69"/>
        <v>18.370687995562882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11">
        <f t="shared" si="86"/>
        <v>10.057960571603429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67">
        <f t="shared" si="56"/>
        <v>367.9079479955426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180.31844548479722</v>
      </c>
      <c r="T73" s="59">
        <f t="shared" si="88"/>
        <v>273.83237400307223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68.341425197677239</v>
      </c>
      <c r="AA73" s="21">
        <f>EXP(-LN(2)/25)*AA72+(1-EXP(-LN(2)/25))/(LN(2)/25)*Calculateur!V73*Calculateur!X73*VLOOKUP('Données projet'!$B$9,Paramètres!$A$1:$I$89,3,0)*0.475*44/12</f>
        <v>109.59678330031366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177.9382084979909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-5.6843418860808015E-14</v>
      </c>
      <c r="AJ73" s="13">
        <f>AI73*VLOOKUP('Données projet'!$B$10,Paramètres!$A$1:$I$89,3,0)*VLOOKUP('Données projet'!$B$10,Paramètres!$A$1:$I$89,5,0)</f>
        <v>-3.1036506698001178E-14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160.54301845388551</v>
      </c>
      <c r="AO73" s="59">
        <f t="shared" si="90"/>
        <v>272.6634844951584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37.229769930984041</v>
      </c>
      <c r="AV73" s="21">
        <f>EXP(-LN(2)/25)*AV72+(1-EXP(-LN(2)/25))/(LN(2)/25)*Calculateur!AQ73*Calculateur!AS73*VLOOKUP('Données projet'!$B$10,Paramètres!$A$1:$I$89,3,0)*0.475*44/12</f>
        <v>65.258253884981386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102.48802381596542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13.737499999999997</v>
      </c>
      <c r="BD73" s="12">
        <f>IF('Données projet'!$A$88&gt;35,BD72+BC73-BL72,IF(A73&lt;'Données projet'!$A$88,$BA$205^A73,IF(A73='Données projet'!$A$88,'Données projet'!$B$88,BD72+BC73-BL72)))</f>
        <v>400.21634615384619</v>
      </c>
      <c r="BE73" s="13">
        <f>BD73*VLOOKUP('Données projet'!$B$11,Paramètres!$A$1:$I$89,3,0)*VLOOKUP('Données projet'!$B$11,Paramètres!$A$1:$I$89,5,0)</f>
        <v>187.30125000000001</v>
      </c>
      <c r="BF73" s="13">
        <f t="shared" si="91"/>
        <v>46.942801679870392</v>
      </c>
      <c r="BG73" s="20">
        <f t="shared" si="61"/>
        <v>407.97505667577428</v>
      </c>
      <c r="BH73" s="59">
        <f t="shared" si="62"/>
        <v>701.3083900091076</v>
      </c>
      <c r="BI73" s="59">
        <f ca="1">AVERAGE(OFFSET($BH$3,0,0,'Données projet'!$E$11+1,1))-AVERAGE(OFFSET($H$3,0,0,'Données projet'!$E$11+1,1))</f>
        <v>207.25176714718668</v>
      </c>
      <c r="BJ73" s="59">
        <f t="shared" si="92"/>
        <v>191.53228014642559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42.879425663144268</v>
      </c>
      <c r="BQ73" s="21">
        <f>EXP(-LN(2)/25)*BQ72+(1-EXP(-LN(2)/25))/(LN(2)/25)*Calculateur!BL73*Calculateur!BN73*VLOOKUP('Données projet'!$B$11,Paramètres!$A$1:$I$89,3,0)*0.475*44/12</f>
        <v>24.943191489466631</v>
      </c>
      <c r="BR73" s="21">
        <f>EXP(-LN(2)/2)*BR72+(1-EXP(-LN(2)/2))/(LN(2)/2)*BL73*BO73*VLOOKUP('Données projet'!$B$11,Paramètres!$A$1:$I$89,3,0)*0.475*44/12</f>
        <v>0.4865911755895011</v>
      </c>
      <c r="BS73" s="22">
        <f t="shared" si="63"/>
        <v>68.309208328200398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68.620424404221751</v>
      </c>
      <c r="CE73" s="59">
        <f t="shared" si="94"/>
        <v>203.12945099478918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17.576317563662379</v>
      </c>
      <c r="CL73" s="21">
        <f>EXP(-LN(2)/25)*CL72+(1-EXP(-LN(2)/25))/(LN(2)/25)*Calculateur!CG73*Calculateur!CI73*VLOOKUP('Données projet'!$B$12,Paramètres!$A$1:$I$89,3,0)*0.475*44/12</f>
        <v>2.5245885675375273</v>
      </c>
      <c r="CM73" s="21">
        <f>EXP(-LN(2)/2)*CM72+(1-EXP(-LN(2)/2))/(LN(2)/2)*CG73*CJ73*VLOOKUP('Données projet'!$B$12,Paramètres!$A$1:$I$89,3,0)*0.475*44/12</f>
        <v>4.2980355316436168E-7</v>
      </c>
      <c r="CN73" s="22">
        <f t="shared" si="66"/>
        <v>20.100906561003459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333.18461538461537</v>
      </c>
      <c r="CR73" s="12">
        <f>VLOOKUP(A73,'Données projet'!$A$139:$I$159,9,0)</f>
        <v>7.2728205128205143</v>
      </c>
      <c r="CS73" s="12">
        <f t="array" ref="CS73">INDEX(CR:CR,MIN(IF(ISNUMBER(CR73:CR269),ROW(CR73:CR269),"")))</f>
        <v>7.2728205128205143</v>
      </c>
      <c r="CT73" s="12">
        <f>IF('Données projet'!$A$140&gt;35,CT72+CS73-DB72,IF(A73&lt;'Données projet'!$A$140,$CQ$205^A73,IF(A73='Données projet'!$A$140,'Données projet'!$B$140,CT72+CS73-DB72)))</f>
        <v>333.18461538461497</v>
      </c>
      <c r="CU73" s="17">
        <f>CT73*VLOOKUP('Données projet'!$B$13,Paramètres!$A$1:$I$89,3,0)*VLOOKUP('Données projet'!$B$13,Paramètres!$A$1:$I$89,5,0)</f>
        <v>199.24439999999976</v>
      </c>
      <c r="CV73" s="13">
        <f t="shared" si="95"/>
        <v>49.578073150914435</v>
      </c>
      <c r="CW73" s="20">
        <f t="shared" si="67"/>
        <v>433.36580740450887</v>
      </c>
      <c r="CX73" s="59">
        <f t="shared" si="68"/>
        <v>726.69914073784219</v>
      </c>
      <c r="CY73" s="59">
        <f ca="1">AVERAGE(OFFSET($CX$3,0,0,'Données projet'!$E$13+1,1))-AVERAGE(OFFSET($H$3,0,0,'Données projet'!$E$13+1,1))</f>
        <v>196.25918971690442</v>
      </c>
      <c r="CZ73" s="59">
        <f t="shared" si="96"/>
        <v>148.35701313170205</v>
      </c>
      <c r="DA73" s="15">
        <f>IF(ISNA(VLOOKUP(A73,'Données projet'!$A$139:$I$159,3,0)),0,VLOOKUP(A73,'Données projet'!$A$139:$I$159,3,0))</f>
        <v>3</v>
      </c>
      <c r="DB73" s="15">
        <f>IF(ISNA(VLOOKUP(A73,'Données projet'!$A$139:$I$159,4,0)),0,VLOOKUP(A73,'Données projet'!$A$139:$I$159,4,0))</f>
        <v>62.976923076923079</v>
      </c>
      <c r="DC73" s="16">
        <f>IF(ISNA(VLOOKUP(A73,'Données projet'!$A$139:$I$159,5,0)),0%,VLOOKUP(A73,'Données projet'!$A$139:$I$159,5,0)*VLOOKUP('Données projet'!$B$13,Paramètres!$A$1:$I$89,7,0))</f>
        <v>0.10350000000000001</v>
      </c>
      <c r="DD73" s="16">
        <f>IF(ISNA(VLOOKUP(A73,'Données projet'!$A$139:$I$159,6,0)),0%,VLOOKUP(A73,'Données projet'!$A$139:$I$159,6,0)*VLOOKUP('Données projet'!$B$13,Paramètres!$A$1:$I$89,7,0))</f>
        <v>0.23850000000000002</v>
      </c>
      <c r="DE73" s="16">
        <f>IF(ISNA(VLOOKUP(A73,'Données projet'!$A$139:$I$159,7,0)),0%,VLOOKUP(A73,'Données projet'!$A$139:$I$159,7,0))</f>
        <v>0.34</v>
      </c>
      <c r="DF73" s="21">
        <f>EXP(-LN(2)/35)*DF72+(1-EXP(-LN(2)/35))/(LN(2)/35)*DB73*DC73*VLOOKUP('Données projet'!$B$13,Paramètres!$A$1:$I$89,3,0)*0.475*44/12</f>
        <v>7.068717778691096</v>
      </c>
      <c r="DG73" s="21">
        <f>EXP(-LN(2)/25)*DG72+(1-EXP(-LN(2)/25))/(LN(2)/25)*Calculateur!DB73*Calculateur!DD73*VLOOKUP('Données projet'!$B$13,Paramètres!$A$1:$I$89,3,0)*0.475*44/12</f>
        <v>27.762490376001388</v>
      </c>
      <c r="DH73" s="21">
        <f>EXP(-LN(2)/2)*DH72+(1-EXP(-LN(2)/2))/(LN(2)/2)*DB73*DE73*VLOOKUP('Données projet'!$B$13,Paramètres!$A$1:$I$89,3,0)*0.475*44/12</f>
        <v>14.563834017560243</v>
      </c>
      <c r="DI73" s="22">
        <f t="shared" si="69"/>
        <v>49.39504217225273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11">
        <f t="shared" si="86"/>
        <v>10.184815769674017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67">
        <f t="shared" si="56"/>
        <v>368.94398746551559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180.31844548479722</v>
      </c>
      <c r="T74" s="59">
        <f t="shared" si="88"/>
        <v>273.83237400307223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67.00129153370419</v>
      </c>
      <c r="AA74" s="21">
        <f>EXP(-LN(2)/25)*AA73+(1-EXP(-LN(2)/25))/(LN(2)/25)*Calculateur!V74*Calculateur!X74*VLOOKUP('Données projet'!$B$9,Paramètres!$A$1:$I$89,3,0)*0.475*44/12</f>
        <v>106.59985349752223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173.60114503122642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-5.6843418860808015E-14</v>
      </c>
      <c r="AJ74" s="13">
        <f>AI74*VLOOKUP('Données projet'!$B$10,Paramètres!$A$1:$I$89,3,0)*VLOOKUP('Données projet'!$B$10,Paramètres!$A$1:$I$89,5,0)</f>
        <v>-3.1036506698001178E-14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160.54301845388551</v>
      </c>
      <c r="AO74" s="59">
        <f t="shared" si="90"/>
        <v>272.6634844951584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36.499716850554883</v>
      </c>
      <c r="AV74" s="21">
        <f>EXP(-LN(2)/25)*AV73+(1-EXP(-LN(2)/25))/(LN(2)/25)*Calculateur!AQ74*Calculateur!AS74*VLOOKUP('Données projet'!$B$10,Paramètres!$A$1:$I$89,3,0)*0.475*44/12</f>
        <v>63.473763500714149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99.973480351269032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413.95384615384614</v>
      </c>
      <c r="BB74" s="12">
        <f>VLOOKUP(A74,'Données projet'!$A$87:$I$107,9,0)</f>
        <v>13.737499999999997</v>
      </c>
      <c r="BC74" s="12">
        <f t="array" ref="BC74">INDEX(BB:BB,MIN(IF(ISNUMBER(BB74:BB270),ROW(BB74:BB270),"")))</f>
        <v>13.737499999999997</v>
      </c>
      <c r="BD74" s="12">
        <f>IF('Données projet'!$A$88&gt;35,BD73+BC74-BL73,IF(A74&lt;'Données projet'!$A$88,$BA$205^A74,IF(A74='Données projet'!$A$88,'Données projet'!$B$88,BD73+BC74-BL73)))</f>
        <v>413.9538461538462</v>
      </c>
      <c r="BE74" s="13">
        <f>BD74*VLOOKUP('Données projet'!$B$11,Paramètres!$A$1:$I$89,3,0)*VLOOKUP('Données projet'!$B$11,Paramètres!$A$1:$I$89,5,0)</f>
        <v>193.73040000000003</v>
      </c>
      <c r="BF74" s="13">
        <f t="shared" si="91"/>
        <v>48.363755728631737</v>
      </c>
      <c r="BG74" s="20">
        <f t="shared" si="61"/>
        <v>421.647321227367</v>
      </c>
      <c r="BH74" s="59">
        <f t="shared" si="62"/>
        <v>714.98065456070026</v>
      </c>
      <c r="BI74" s="59">
        <f ca="1">AVERAGE(OFFSET($BH$3,0,0,'Données projet'!$E$11+1,1))-AVERAGE(OFFSET($H$3,0,0,'Données projet'!$E$11+1,1))</f>
        <v>207.25176714718668</v>
      </c>
      <c r="BJ74" s="59">
        <f t="shared" si="92"/>
        <v>191.53228014642559</v>
      </c>
      <c r="BK74" s="15">
        <f>IF(ISNA(VLOOKUP(A74,'Données projet'!$A$87:$I$107,3,0)),0,VLOOKUP(A74,'Données projet'!$A$87:$I$107,3,0))</f>
        <v>5</v>
      </c>
      <c r="BL74" s="15">
        <f>IF(ISNA(VLOOKUP(A74,'Données projet'!$A$87:$I$107,4,0)),0,VLOOKUP(A74,'Données projet'!$A$87:$I$107,4,0))</f>
        <v>80.399999999999991</v>
      </c>
      <c r="BM74" s="16">
        <f>IF(ISNA(VLOOKUP(A74,'Données projet'!$A$87:$I$107,5,0)),0%,VLOOKUP(A74,'Données projet'!$A$87:$I$107,5,0)*VLOOKUP('Données projet'!$B$11,Paramètres!$A$1:$I$89,7,0))</f>
        <v>0.38500000000000001</v>
      </c>
      <c r="BN74" s="16">
        <f>IF(ISNA(VLOOKUP(A74,'Données projet'!$A$87:$I$107,6,0)),0%,VLOOKUP(A74,'Données projet'!$A$87:$I$107,6,0)*VLOOKUP('Données projet'!$B$11,Paramètres!$A$1:$I$89,7,0))</f>
        <v>9.240000000000001E-2</v>
      </c>
      <c r="BO74" s="16">
        <f>IF(ISNA(VLOOKUP(A74,'Données projet'!$A$87:$I$107,7,0)),0%,VLOOKUP(A74,'Données projet'!$A$87:$I$107,7,0))</f>
        <v>0.13200000000000001</v>
      </c>
      <c r="BP74" s="21">
        <f>EXP(-LN(2)/35)*BP73+(1-EXP(-LN(2)/35))/(LN(2)/35)*BL74*BM74*VLOOKUP('Données projet'!$B$11,Paramètres!$A$1:$I$89,3,0)*0.475*44/12</f>
        <v>61.255825119677326</v>
      </c>
      <c r="BQ74" s="21">
        <f>EXP(-LN(2)/25)*BQ73+(1-EXP(-LN(2)/25))/(LN(2)/25)*Calculateur!BL74*Calculateur!BN74*VLOOKUP('Données projet'!$B$11,Paramètres!$A$1:$I$89,3,0)*0.475*44/12</f>
        <v>28.85509618606541</v>
      </c>
      <c r="BR74" s="21">
        <f>EXP(-LN(2)/2)*BR73+(1-EXP(-LN(2)/2))/(LN(2)/2)*BL74*BO74*VLOOKUP('Données projet'!$B$11,Paramètres!$A$1:$I$89,3,0)*0.475*44/12</f>
        <v>5.9676324258492643</v>
      </c>
      <c r="BS74" s="22">
        <f t="shared" si="63"/>
        <v>96.078553731591995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68.620424404221751</v>
      </c>
      <c r="CE74" s="59">
        <f t="shared" si="94"/>
        <v>203.12945099478918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17.231656696734113</v>
      </c>
      <c r="CL74" s="21">
        <f>EXP(-LN(2)/25)*CL73+(1-EXP(-LN(2)/25))/(LN(2)/25)*Calculateur!CG74*Calculateur!CI74*VLOOKUP('Données projet'!$B$12,Paramètres!$A$1:$I$89,3,0)*0.475*44/12</f>
        <v>2.4555535603958707</v>
      </c>
      <c r="CM74" s="21">
        <f>EXP(-LN(2)/2)*CM73+(1-EXP(-LN(2)/2))/(LN(2)/2)*CG74*CJ74*VLOOKUP('Données projet'!$B$12,Paramètres!$A$1:$I$89,3,0)*0.475*44/12</f>
        <v>3.0391700702059294E-7</v>
      </c>
      <c r="CN74" s="22">
        <f t="shared" si="66"/>
        <v>19.687210561046989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6.5023076923076868</v>
      </c>
      <c r="CT74" s="12">
        <f>IF('Données projet'!$A$140&gt;35,CT73+CS74-DB73,IF(A74&lt;'Données projet'!$A$140,$CQ$205^A74,IF(A74='Données projet'!$A$140,'Données projet'!$B$140,CT73+CS74-DB73)))</f>
        <v>276.70999999999958</v>
      </c>
      <c r="CU74" s="17">
        <f>CT74*VLOOKUP('Données projet'!$B$13,Paramètres!$A$1:$I$89,3,0)*VLOOKUP('Données projet'!$B$13,Paramètres!$A$1:$I$89,5,0)</f>
        <v>165.47257999999977</v>
      </c>
      <c r="CV74" s="13">
        <f t="shared" si="95"/>
        <v>42.074444651551055</v>
      </c>
      <c r="CW74" s="20">
        <f t="shared" si="67"/>
        <v>361.477734601451</v>
      </c>
      <c r="CX74" s="59">
        <f t="shared" si="68"/>
        <v>654.81106793478432</v>
      </c>
      <c r="CY74" s="59">
        <f ca="1">AVERAGE(OFFSET($CX$3,0,0,'Données projet'!$E$13+1,1))-AVERAGE(OFFSET($H$3,0,0,'Données projet'!$E$13+1,1))</f>
        <v>196.25918971690442</v>
      </c>
      <c r="CZ74" s="59">
        <f t="shared" si="96"/>
        <v>148.35701313170205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6.9301045345430845</v>
      </c>
      <c r="DG74" s="21">
        <f>EXP(-LN(2)/25)*DG73+(1-EXP(-LN(2)/25))/(LN(2)/25)*Calculateur!DB74*Calculateur!DD74*VLOOKUP('Données projet'!$B$13,Paramètres!$A$1:$I$89,3,0)*0.475*44/12</f>
        <v>27.003323616703714</v>
      </c>
      <c r="DH74" s="21">
        <f>EXP(-LN(2)/2)*DH73+(1-EXP(-LN(2)/2))/(LN(2)/2)*DB74*DE74*VLOOKUP('Données projet'!$B$13,Paramètres!$A$1:$I$89,3,0)*0.475*44/12</f>
        <v>10.298185793892168</v>
      </c>
      <c r="DI74" s="22">
        <f t="shared" si="69"/>
        <v>44.231613945138967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11">
        <f t="shared" si="86"/>
        <v>10.311463159807191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67">
        <f t="shared" si="56"/>
        <v>369.97966500333087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180.31844548479722</v>
      </c>
      <c r="T75" s="59">
        <f t="shared" si="88"/>
        <v>273.83237400307223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65.687437073480837</v>
      </c>
      <c r="AA75" s="21">
        <f>EXP(-LN(2)/25)*AA74+(1-EXP(-LN(2)/25))/(LN(2)/25)*Calculateur!V75*Calculateur!X75*VLOOKUP('Données projet'!$B$9,Paramètres!$A$1:$I$89,3,0)*0.475*44/12</f>
        <v>103.68487489778983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169.37231197127068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-5.6843418860808015E-14</v>
      </c>
      <c r="AJ75" s="13">
        <f>AI75*VLOOKUP('Données projet'!$B$10,Paramètres!$A$1:$I$89,3,0)*VLOOKUP('Données projet'!$B$10,Paramètres!$A$1:$I$89,5,0)</f>
        <v>-3.1036506698001178E-14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160.54301845388551</v>
      </c>
      <c r="AO75" s="59">
        <f t="shared" si="90"/>
        <v>272.6634844951584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35.783979665744525</v>
      </c>
      <c r="AV75" s="21">
        <f>EXP(-LN(2)/25)*AV74+(1-EXP(-LN(2)/25))/(LN(2)/25)*Calculateur!AQ75*Calculateur!AS75*VLOOKUP('Données projet'!$B$10,Paramètres!$A$1:$I$89,3,0)*0.475*44/12</f>
        <v>61.738070099846972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97.522049765591504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12.913461538461533</v>
      </c>
      <c r="BD75" s="12">
        <f>IF('Données projet'!$A$88&gt;35,BD74+BC75-BL74,IF(A75&lt;'Données projet'!$A$88,$BA$205^A75,IF(A75='Données projet'!$A$88,'Données projet'!$B$88,BD74+BC75-BL74)))</f>
        <v>346.46730769230777</v>
      </c>
      <c r="BE75" s="13">
        <f>BD75*VLOOKUP('Données projet'!$B$11,Paramètres!$A$1:$I$89,3,0)*VLOOKUP('Données projet'!$B$11,Paramètres!$A$1:$I$89,5,0)</f>
        <v>162.14670000000004</v>
      </c>
      <c r="BF75" s="13">
        <f t="shared" si="91"/>
        <v>41.326333369414826</v>
      </c>
      <c r="BG75" s="20">
        <f t="shared" si="61"/>
        <v>354.38219978506419</v>
      </c>
      <c r="BH75" s="59">
        <f t="shared" si="62"/>
        <v>647.7155331183975</v>
      </c>
      <c r="BI75" s="59">
        <f ca="1">AVERAGE(OFFSET($BH$3,0,0,'Données projet'!$E$11+1,1))-AVERAGE(OFFSET($H$3,0,0,'Données projet'!$E$11+1,1))</f>
        <v>207.25176714718668</v>
      </c>
      <c r="BJ75" s="59">
        <f t="shared" si="92"/>
        <v>191.53228014642559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60.05463575144455</v>
      </c>
      <c r="BQ75" s="21">
        <f>EXP(-LN(2)/25)*BQ74+(1-EXP(-LN(2)/25))/(LN(2)/25)*Calculateur!BL75*Calculateur!BN75*VLOOKUP('Données projet'!$B$11,Paramètres!$A$1:$I$89,3,0)*0.475*44/12</f>
        <v>28.066052063433894</v>
      </c>
      <c r="BR75" s="21">
        <f>EXP(-LN(2)/2)*BR74+(1-EXP(-LN(2)/2))/(LN(2)/2)*BL75*BO75*VLOOKUP('Données projet'!$B$11,Paramètres!$A$1:$I$89,3,0)*0.475*44/12</f>
        <v>4.2197533559467422</v>
      </c>
      <c r="BS75" s="22">
        <f t="shared" si="63"/>
        <v>92.340441170825173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68.620424404221751</v>
      </c>
      <c r="CE75" s="59">
        <f t="shared" si="94"/>
        <v>203.12945099478918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16.893754419183939</v>
      </c>
      <c r="CL75" s="21">
        <f>EXP(-LN(2)/25)*CL74+(1-EXP(-LN(2)/25))/(LN(2)/25)*Calculateur!CG75*Calculateur!CI75*VLOOKUP('Données projet'!$B$12,Paramètres!$A$1:$I$89,3,0)*0.475*44/12</f>
        <v>2.3884063191548961</v>
      </c>
      <c r="CM75" s="21">
        <f>EXP(-LN(2)/2)*CM74+(1-EXP(-LN(2)/2))/(LN(2)/2)*CG75*CJ75*VLOOKUP('Données projet'!$B$12,Paramètres!$A$1:$I$89,3,0)*0.475*44/12</f>
        <v>2.1490177658218084E-7</v>
      </c>
      <c r="CN75" s="22">
        <f t="shared" si="66"/>
        <v>19.282160953240613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6.5023076923076868</v>
      </c>
      <c r="CT75" s="12">
        <f>IF('Données projet'!$A$140&gt;35,CT74+CS75-DB74,IF(A75&lt;'Données projet'!$A$140,$CQ$205^A75,IF(A75='Données projet'!$A$140,'Données projet'!$B$140,CT74+CS75-DB74)))</f>
        <v>283.21230769230726</v>
      </c>
      <c r="CU75" s="17">
        <f>CT75*VLOOKUP('Données projet'!$B$13,Paramètres!$A$1:$I$89,3,0)*VLOOKUP('Données projet'!$B$13,Paramètres!$A$1:$I$89,5,0)</f>
        <v>169.36095999999978</v>
      </c>
      <c r="CV75" s="13">
        <f t="shared" si="95"/>
        <v>42.94686852729604</v>
      </c>
      <c r="CW75" s="20">
        <f t="shared" si="67"/>
        <v>369.76946801837352</v>
      </c>
      <c r="CX75" s="59">
        <f t="shared" si="68"/>
        <v>663.10280135170683</v>
      </c>
      <c r="CY75" s="59">
        <f ca="1">AVERAGE(OFFSET($CX$3,0,0,'Données projet'!$E$13+1,1))-AVERAGE(OFFSET($H$3,0,0,'Données projet'!$E$13+1,1))</f>
        <v>196.25918971690442</v>
      </c>
      <c r="CZ75" s="59">
        <f t="shared" si="96"/>
        <v>148.35701313170205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6.7942094115670848</v>
      </c>
      <c r="DG75" s="21">
        <f>EXP(-LN(2)/25)*DG74+(1-EXP(-LN(2)/25))/(LN(2)/25)*Calculateur!DB75*Calculateur!DD75*VLOOKUP('Données projet'!$B$13,Paramètres!$A$1:$I$89,3,0)*0.475*44/12</f>
        <v>26.26491631236188</v>
      </c>
      <c r="DH75" s="21">
        <f>EXP(-LN(2)/2)*DH74+(1-EXP(-LN(2)/2))/(LN(2)/2)*DB75*DE75*VLOOKUP('Données projet'!$B$13,Paramètres!$A$1:$I$89,3,0)*0.475*44/12</f>
        <v>7.2819170087801224</v>
      </c>
      <c r="DI75" s="22">
        <f t="shared" si="69"/>
        <v>40.341042732709084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11">
        <f t="shared" si="86"/>
        <v>10.437905961785614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67">
        <f t="shared" si="56"/>
        <v>371.01498621677661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180.31844548479722</v>
      </c>
      <c r="T76" s="59">
        <f t="shared" si="88"/>
        <v>273.83237400307223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64.39934649785036</v>
      </c>
      <c r="AA76" s="21">
        <f>EXP(-LN(2)/25)*AA75+(1-EXP(-LN(2)/25))/(LN(2)/25)*Calculateur!V76*Calculateur!X76*VLOOKUP('Données projet'!$B$9,Paramètres!$A$1:$I$89,3,0)*0.475*44/12</f>
        <v>100.84960654115916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165.24895303900951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-5.6843418860808015E-14</v>
      </c>
      <c r="AJ76" s="13">
        <f>AI76*VLOOKUP('Données projet'!$B$10,Paramètres!$A$1:$I$89,3,0)*VLOOKUP('Données projet'!$B$10,Paramètres!$A$1:$I$89,5,0)</f>
        <v>-3.1036506698001178E-14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160.54301845388551</v>
      </c>
      <c r="AO76" s="59">
        <f t="shared" si="90"/>
        <v>272.6634844951584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35.082277650571726</v>
      </c>
      <c r="AV76" s="21">
        <f>EXP(-LN(2)/25)*AV75+(1-EXP(-LN(2)/25))/(LN(2)/25)*Calculateur!AQ76*Calculateur!AS76*VLOOKUP('Données projet'!$B$10,Paramètres!$A$1:$I$89,3,0)*0.475*44/12</f>
        <v>60.049839326302653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95.132116976874386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12.913461538461533</v>
      </c>
      <c r="BD76" s="12">
        <f>IF('Données projet'!$A$88&gt;35,BD75+BC76-BL75,IF(A76&lt;'Données projet'!$A$88,$BA$205^A76,IF(A76='Données projet'!$A$88,'Données projet'!$B$88,BD75+BC76-BL75)))</f>
        <v>359.38076923076932</v>
      </c>
      <c r="BE76" s="13">
        <f>BD76*VLOOKUP('Données projet'!$B$11,Paramètres!$A$1:$I$89,3,0)*VLOOKUP('Données projet'!$B$11,Paramètres!$A$1:$I$89,5,0)</f>
        <v>168.19020000000003</v>
      </c>
      <c r="BF76" s="13">
        <f t="shared" si="91"/>
        <v>42.684436447240749</v>
      </c>
      <c r="BG76" s="20">
        <f t="shared" si="61"/>
        <v>367.27332514561107</v>
      </c>
      <c r="BH76" s="59">
        <f t="shared" si="62"/>
        <v>660.60665847894438</v>
      </c>
      <c r="BI76" s="59">
        <f ca="1">AVERAGE(OFFSET($BH$3,0,0,'Données projet'!$E$11+1,1))-AVERAGE(OFFSET($H$3,0,0,'Données projet'!$E$11+1,1))</f>
        <v>207.25176714718668</v>
      </c>
      <c r="BJ76" s="59">
        <f t="shared" si="92"/>
        <v>191.53228014642559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58.877000974069645</v>
      </c>
      <c r="BQ76" s="21">
        <f>EXP(-LN(2)/25)*BQ75+(1-EXP(-LN(2)/25))/(LN(2)/25)*Calculateur!BL76*Calculateur!BN76*VLOOKUP('Données projet'!$B$11,Paramètres!$A$1:$I$89,3,0)*0.475*44/12</f>
        <v>27.298584393829763</v>
      </c>
      <c r="BR76" s="21">
        <f>EXP(-LN(2)/2)*BR75+(1-EXP(-LN(2)/2))/(LN(2)/2)*BL76*BO76*VLOOKUP('Données projet'!$B$11,Paramètres!$A$1:$I$89,3,0)*0.475*44/12</f>
        <v>2.9838162129246326</v>
      </c>
      <c r="BS76" s="22">
        <f t="shared" si="63"/>
        <v>89.159401580824039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68.620424404221751</v>
      </c>
      <c r="CE76" s="59">
        <f t="shared" si="94"/>
        <v>203.12945099478918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16.562478199196484</v>
      </c>
      <c r="CL76" s="21">
        <f>EXP(-LN(2)/25)*CL75+(1-EXP(-LN(2)/25))/(LN(2)/25)*Calculateur!CG76*Calculateur!CI76*VLOOKUP('Données projet'!$B$12,Paramètres!$A$1:$I$89,3,0)*0.475*44/12</f>
        <v>2.323095222756776</v>
      </c>
      <c r="CM76" s="21">
        <f>EXP(-LN(2)/2)*CM75+(1-EXP(-LN(2)/2))/(LN(2)/2)*CG76*CJ76*VLOOKUP('Données projet'!$B$12,Paramètres!$A$1:$I$89,3,0)*0.475*44/12</f>
        <v>1.5195850351029647E-7</v>
      </c>
      <c r="CN76" s="22">
        <f t="shared" si="66"/>
        <v>18.885573573911763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6.5023076923076868</v>
      </c>
      <c r="CT76" s="12">
        <f>IF('Données projet'!$A$140&gt;35,CT75+CS76-DB75,IF(A76&lt;'Données projet'!$A$140,$CQ$205^A76,IF(A76='Données projet'!$A$140,'Données projet'!$B$140,CT75+CS76-DB75)))</f>
        <v>289.71461538461494</v>
      </c>
      <c r="CU76" s="17">
        <f>CT76*VLOOKUP('Données projet'!$B$13,Paramètres!$A$1:$I$89,3,0)*VLOOKUP('Données projet'!$B$13,Paramètres!$A$1:$I$89,5,0)</f>
        <v>173.24933999999973</v>
      </c>
      <c r="CV76" s="13">
        <f t="shared" si="95"/>
        <v>43.816963796782268</v>
      </c>
      <c r="CW76" s="20">
        <f t="shared" si="67"/>
        <v>378.05714577939528</v>
      </c>
      <c r="CX76" s="59">
        <f t="shared" si="68"/>
        <v>671.3904791127286</v>
      </c>
      <c r="CY76" s="59">
        <f ca="1">AVERAGE(OFFSET($CX$3,0,0,'Données projet'!$E$13+1,1))-AVERAGE(OFFSET($H$3,0,0,'Données projet'!$E$13+1,1))</f>
        <v>196.25918971690442</v>
      </c>
      <c r="CZ76" s="59">
        <f t="shared" si="96"/>
        <v>148.35701313170205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6.6609791090648036</v>
      </c>
      <c r="DG76" s="21">
        <f>EXP(-LN(2)/25)*DG75+(1-EXP(-LN(2)/25))/(LN(2)/25)*Calculateur!DB76*Calculateur!DD76*VLOOKUP('Données projet'!$B$13,Paramètres!$A$1:$I$89,3,0)*0.475*44/12</f>
        <v>25.546700794588425</v>
      </c>
      <c r="DH76" s="21">
        <f>EXP(-LN(2)/2)*DH75+(1-EXP(-LN(2)/2))/(LN(2)/2)*DB76*DE76*VLOOKUP('Données projet'!$B$13,Paramètres!$A$1:$I$89,3,0)*0.475*44/12</f>
        <v>5.149092896946085</v>
      </c>
      <c r="DI76" s="22">
        <f t="shared" si="69"/>
        <v>37.356772800599316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11">
        <f t="shared" si="86"/>
        <v>10.564147302110397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67">
        <f t="shared" si="56"/>
        <v>372.04995655117563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180.31844548479722</v>
      </c>
      <c r="T77" s="59">
        <f t="shared" si="88"/>
        <v>273.83237400307223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63.136514592750331</v>
      </c>
      <c r="AA77" s="21">
        <f>EXP(-LN(2)/25)*AA76+(1-EXP(-LN(2)/25))/(LN(2)/25)*Calculateur!V77*Calculateur!X77*VLOOKUP('Données projet'!$B$9,Paramètres!$A$1:$I$89,3,0)*0.475*44/12</f>
        <v>98.091868746840845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161.22838333959118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-5.6843418860808015E-14</v>
      </c>
      <c r="AJ77" s="13">
        <f>AI77*VLOOKUP('Données projet'!$B$10,Paramètres!$A$1:$I$89,3,0)*VLOOKUP('Données projet'!$B$10,Paramètres!$A$1:$I$89,5,0)</f>
        <v>-3.1036506698001178E-14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160.54301845388551</v>
      </c>
      <c r="AO77" s="59">
        <f t="shared" si="90"/>
        <v>272.6634844951584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34.394335583920494</v>
      </c>
      <c r="AV77" s="21">
        <f>EXP(-LN(2)/25)*AV76+(1-EXP(-LN(2)/25))/(LN(2)/25)*Calculateur!AQ77*Calculateur!AS77*VLOOKUP('Données projet'!$B$10,Paramètres!$A$1:$I$89,3,0)*0.475*44/12</f>
        <v>58.407773312041101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92.802108895961595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12.913461538461533</v>
      </c>
      <c r="BD77" s="12">
        <f>IF('Données projet'!$A$88&gt;35,BD76+BC77-BL76,IF(A77&lt;'Données projet'!$A$88,$BA$205^A77,IF(A77='Données projet'!$A$88,'Données projet'!$B$88,BD76+BC77-BL76)))</f>
        <v>372.29423076923086</v>
      </c>
      <c r="BE77" s="13">
        <f>BD77*VLOOKUP('Données projet'!$B$11,Paramètres!$A$1:$I$89,3,0)*VLOOKUP('Données projet'!$B$11,Paramètres!$A$1:$I$89,5,0)</f>
        <v>174.23370000000006</v>
      </c>
      <c r="BF77" s="13">
        <f t="shared" si="91"/>
        <v>44.036869769028705</v>
      </c>
      <c r="BG77" s="20">
        <f t="shared" si="61"/>
        <v>380.15457568105836</v>
      </c>
      <c r="BH77" s="59">
        <f t="shared" si="62"/>
        <v>673.48790901439168</v>
      </c>
      <c r="BI77" s="59">
        <f ca="1">AVERAGE(OFFSET($BH$3,0,0,'Données projet'!$E$11+1,1))-AVERAGE(OFFSET($H$3,0,0,'Données projet'!$E$11+1,1))</f>
        <v>207.25176714718668</v>
      </c>
      <c r="BJ77" s="59">
        <f t="shared" si="92"/>
        <v>191.53228014642559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57.722458896392773</v>
      </c>
      <c r="BQ77" s="21">
        <f>EXP(-LN(2)/25)*BQ76+(1-EXP(-LN(2)/25))/(LN(2)/25)*Calculateur!BL77*Calculateur!BN77*VLOOKUP('Données projet'!$B$11,Paramètres!$A$1:$I$89,3,0)*0.475*44/12</f>
        <v>26.552103168010326</v>
      </c>
      <c r="BR77" s="21">
        <f>EXP(-LN(2)/2)*BR76+(1-EXP(-LN(2)/2))/(LN(2)/2)*BL77*BO77*VLOOKUP('Données projet'!$B$11,Paramètres!$A$1:$I$89,3,0)*0.475*44/12</f>
        <v>2.1098766779733711</v>
      </c>
      <c r="BS77" s="22">
        <f t="shared" si="63"/>
        <v>86.384438742376474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68.620424404221751</v>
      </c>
      <c r="CE77" s="59">
        <f t="shared" si="94"/>
        <v>203.12945099478918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16.237698103824442</v>
      </c>
      <c r="CL77" s="21">
        <f>EXP(-LN(2)/25)*CL76+(1-EXP(-LN(2)/25))/(LN(2)/25)*Calculateur!CG77*Calculateur!CI77*VLOOKUP('Données projet'!$B$12,Paramètres!$A$1:$I$89,3,0)*0.475*44/12</f>
        <v>2.2595700617242236</v>
      </c>
      <c r="CM77" s="21">
        <f>EXP(-LN(2)/2)*CM76+(1-EXP(-LN(2)/2))/(LN(2)/2)*CG77*CJ77*VLOOKUP('Données projet'!$B$12,Paramètres!$A$1:$I$89,3,0)*0.475*44/12</f>
        <v>1.0745088829109042E-7</v>
      </c>
      <c r="CN77" s="22">
        <f t="shared" si="66"/>
        <v>18.497268272999552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6.5023076923076868</v>
      </c>
      <c r="CT77" s="12">
        <f>IF('Données projet'!$A$140&gt;35,CT76+CS77-DB76,IF(A77&lt;'Données projet'!$A$140,$CQ$205^A77,IF(A77='Données projet'!$A$140,'Données projet'!$B$140,CT76+CS77-DB76)))</f>
        <v>296.21692307692263</v>
      </c>
      <c r="CU77" s="17">
        <f>CT77*VLOOKUP('Données projet'!$B$13,Paramètres!$A$1:$I$89,3,0)*VLOOKUP('Données projet'!$B$13,Paramètres!$A$1:$I$89,5,0)</f>
        <v>177.13771999999975</v>
      </c>
      <c r="CV77" s="13">
        <f t="shared" si="95"/>
        <v>44.684788740005665</v>
      </c>
      <c r="CW77" s="20">
        <f t="shared" si="67"/>
        <v>386.34086938884275</v>
      </c>
      <c r="CX77" s="59">
        <f t="shared" si="68"/>
        <v>679.67420272217601</v>
      </c>
      <c r="CY77" s="59">
        <f ca="1">AVERAGE(OFFSET($CX$3,0,0,'Données projet'!$E$13+1,1))-AVERAGE(OFFSET($H$3,0,0,'Données projet'!$E$13+1,1))</f>
        <v>196.25918971690442</v>
      </c>
      <c r="CZ77" s="59">
        <f t="shared" si="96"/>
        <v>148.35701313170205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6.5303613715321314</v>
      </c>
      <c r="DG77" s="21">
        <f>EXP(-LN(2)/25)*DG76+(1-EXP(-LN(2)/25))/(LN(2)/25)*Calculateur!DB77*Calculateur!DD77*VLOOKUP('Données projet'!$B$13,Paramètres!$A$1:$I$89,3,0)*0.475*44/12</f>
        <v>24.848124917917797</v>
      </c>
      <c r="DH77" s="21">
        <f>EXP(-LN(2)/2)*DH76+(1-EXP(-LN(2)/2))/(LN(2)/2)*DB77*DE77*VLOOKUP('Données projet'!$B$13,Paramètres!$A$1:$I$89,3,0)*0.475*44/12</f>
        <v>3.6409585043900616</v>
      </c>
      <c r="DI77" s="22">
        <f t="shared" si="69"/>
        <v>35.019444793839988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11">
        <f t="shared" si="86"/>
        <v>10.690190217926903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67">
        <f t="shared" si="56"/>
        <v>373.08458129622272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180.31844548479722</v>
      </c>
      <c r="T78" s="59">
        <f t="shared" si="88"/>
        <v>273.83237400307223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61.898446051057903</v>
      </c>
      <c r="AA78" s="21">
        <f>EXP(-LN(2)/25)*AA77+(1-EXP(-LN(2)/25))/(LN(2)/25)*Calculateur!V78*Calculateur!X78*VLOOKUP('Données projet'!$B$9,Paramètres!$A$1:$I$89,3,0)*0.475*44/12</f>
        <v>95.409541437531303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157.30798748858922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-5.6843418860808015E-14</v>
      </c>
      <c r="AJ78" s="13">
        <f>AI78*VLOOKUP('Données projet'!$B$10,Paramètres!$A$1:$I$89,3,0)*VLOOKUP('Données projet'!$B$10,Paramètres!$A$1:$I$89,5,0)</f>
        <v>-3.1036506698001178E-14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160.54301845388551</v>
      </c>
      <c r="AO78" s="59">
        <f t="shared" si="90"/>
        <v>272.6634844951584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33.719883641593064</v>
      </c>
      <c r="AV78" s="21">
        <f>EXP(-LN(2)/25)*AV77+(1-EXP(-LN(2)/25))/(LN(2)/25)*Calculateur!AQ78*Calculateur!AS78*VLOOKUP('Données projet'!$B$10,Paramètres!$A$1:$I$89,3,0)*0.475*44/12</f>
        <v>56.810609679292028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90.530493320885085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12.913461538461533</v>
      </c>
      <c r="BD78" s="12">
        <f>IF('Données projet'!$A$88&gt;35,BD77+BC78-BL77,IF(A78&lt;'Données projet'!$A$88,$BA$205^A78,IF(A78='Données projet'!$A$88,'Données projet'!$B$88,BD77+BC78-BL77)))</f>
        <v>385.20769230769241</v>
      </c>
      <c r="BE78" s="13">
        <f>BD78*VLOOKUP('Données projet'!$B$11,Paramètres!$A$1:$I$89,3,0)*VLOOKUP('Données projet'!$B$11,Paramètres!$A$1:$I$89,5,0)</f>
        <v>180.27720000000005</v>
      </c>
      <c r="BF78" s="13">
        <f t="shared" si="91"/>
        <v>45.383852535093837</v>
      </c>
      <c r="BG78" s="20">
        <f t="shared" si="61"/>
        <v>393.02633316528846</v>
      </c>
      <c r="BH78" s="59">
        <f t="shared" si="62"/>
        <v>686.35966649862178</v>
      </c>
      <c r="BI78" s="59">
        <f ca="1">AVERAGE(OFFSET($BH$3,0,0,'Données projet'!$E$11+1,1))-AVERAGE(OFFSET($H$3,0,0,'Données projet'!$E$11+1,1))</f>
        <v>207.25176714718668</v>
      </c>
      <c r="BJ78" s="59">
        <f t="shared" si="92"/>
        <v>191.53228014642559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56.590556684658011</v>
      </c>
      <c r="BQ78" s="21">
        <f>EXP(-LN(2)/25)*BQ77+(1-EXP(-LN(2)/25))/(LN(2)/25)*Calculateur!BL78*Calculateur!BN78*VLOOKUP('Données projet'!$B$11,Paramètres!$A$1:$I$89,3,0)*0.475*44/12</f>
        <v>25.826034510566664</v>
      </c>
      <c r="BR78" s="21">
        <f>EXP(-LN(2)/2)*BR77+(1-EXP(-LN(2)/2))/(LN(2)/2)*BL78*BO78*VLOOKUP('Données projet'!$B$11,Paramètres!$A$1:$I$89,3,0)*0.475*44/12</f>
        <v>1.4919081064623163</v>
      </c>
      <c r="BS78" s="22">
        <f t="shared" si="63"/>
        <v>83.908499301686987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68.620424404221751</v>
      </c>
      <c r="CE78" s="59">
        <f t="shared" si="94"/>
        <v>203.12945099478918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15.919286748026348</v>
      </c>
      <c r="CL78" s="21">
        <f>EXP(-LN(2)/25)*CL77+(1-EXP(-LN(2)/25))/(LN(2)/25)*Calculateur!CG78*Calculateur!CI78*VLOOKUP('Données projet'!$B$12,Paramètres!$A$1:$I$89,3,0)*0.475*44/12</f>
        <v>2.1977819995607493</v>
      </c>
      <c r="CM78" s="21">
        <f>EXP(-LN(2)/2)*CM77+(1-EXP(-LN(2)/2))/(LN(2)/2)*CG78*CJ78*VLOOKUP('Données projet'!$B$12,Paramètres!$A$1:$I$89,3,0)*0.475*44/12</f>
        <v>7.5979251755148235E-8</v>
      </c>
      <c r="CN78" s="22">
        <f t="shared" si="66"/>
        <v>18.117068823566349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6.5023076923076868</v>
      </c>
      <c r="CT78" s="12">
        <f>IF('Données projet'!$A$140&gt;35,CT77+CS78-DB77,IF(A78&lt;'Données projet'!$A$140,$CQ$205^A78,IF(A78='Données projet'!$A$140,'Données projet'!$B$140,CT77+CS78-DB77)))</f>
        <v>302.71923076923031</v>
      </c>
      <c r="CU78" s="17">
        <f>CT78*VLOOKUP('Données projet'!$B$13,Paramètres!$A$1:$I$89,3,0)*VLOOKUP('Données projet'!$B$13,Paramètres!$A$1:$I$89,5,0)</f>
        <v>181.02609999999973</v>
      </c>
      <c r="CV78" s="13">
        <f t="shared" si="95"/>
        <v>45.550398932225129</v>
      </c>
      <c r="CW78" s="20">
        <f t="shared" si="67"/>
        <v>394.62073564029157</v>
      </c>
      <c r="CX78" s="59">
        <f t="shared" si="68"/>
        <v>687.95406897362489</v>
      </c>
      <c r="CY78" s="59">
        <f ca="1">AVERAGE(OFFSET($CX$3,0,0,'Données projet'!$E$13+1,1))-AVERAGE(OFFSET($H$3,0,0,'Données projet'!$E$13+1,1))</f>
        <v>196.25918971690442</v>
      </c>
      <c r="CZ78" s="59">
        <f t="shared" si="96"/>
        <v>148.35701313170205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6.4023049681635218</v>
      </c>
      <c r="DG78" s="21">
        <f>EXP(-LN(2)/25)*DG77+(1-EXP(-LN(2)/25))/(LN(2)/25)*Calculateur!DB78*Calculateur!DD78*VLOOKUP('Données projet'!$B$13,Paramètres!$A$1:$I$89,3,0)*0.475*44/12</f>
        <v>24.168651635331237</v>
      </c>
      <c r="DH78" s="21">
        <f>EXP(-LN(2)/2)*DH77+(1-EXP(-LN(2)/2))/(LN(2)/2)*DB78*DE78*VLOOKUP('Données projet'!$B$13,Paramètres!$A$1:$I$89,3,0)*0.475*44/12</f>
        <v>2.5745464484730429</v>
      </c>
      <c r="DI78" s="22">
        <f t="shared" si="69"/>
        <v>33.1455030519678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11">
        <f t="shared" si="86"/>
        <v>10.816037660735214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67">
        <f t="shared" si="56"/>
        <v>374.11886559244721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180.31844548479722</v>
      </c>
      <c r="T79" s="59">
        <f t="shared" si="88"/>
        <v>273.83237400307223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60.684655278320818</v>
      </c>
      <c r="AA79" s="21">
        <f>EXP(-LN(2)/25)*AA78+(1-EXP(-LN(2)/25))/(LN(2)/25)*Calculateur!V79*Calculateur!X79*VLOOKUP('Données projet'!$B$9,Paramètres!$A$1:$I$89,3,0)*0.475*44/12</f>
        <v>92.800562509552293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153.48521778787313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-5.6843418860808015E-14</v>
      </c>
      <c r="AJ79" s="13">
        <f>AI79*VLOOKUP('Données projet'!$B$10,Paramètres!$A$1:$I$89,3,0)*VLOOKUP('Données projet'!$B$10,Paramètres!$A$1:$I$89,5,0)</f>
        <v>-3.1036506698001178E-14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160.54301845388551</v>
      </c>
      <c r="AO79" s="59">
        <f t="shared" si="90"/>
        <v>272.6634844951584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33.058657290479616</v>
      </c>
      <c r="AV79" s="21">
        <f>EXP(-LN(2)/25)*AV78+(1-EXP(-LN(2)/25))/(LN(2)/25)*Calculateur!AQ79*Calculateur!AS79*VLOOKUP('Données projet'!$B$10,Paramètres!$A$1:$I$89,3,0)*0.475*44/12</f>
        <v>55.25712057007167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88.315777860551293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12.913461538461533</v>
      </c>
      <c r="BD79" s="12">
        <f>IF('Données projet'!$A$88&gt;35,BD78+BC79-BL78,IF(A79&lt;'Données projet'!$A$88,$BA$205^A79,IF(A79='Données projet'!$A$88,'Données projet'!$B$88,BD78+BC79-BL78)))</f>
        <v>398.12115384615396</v>
      </c>
      <c r="BE79" s="13">
        <f>BD79*VLOOKUP('Données projet'!$B$11,Paramètres!$A$1:$I$89,3,0)*VLOOKUP('Données projet'!$B$11,Paramètres!$A$1:$I$89,5,0)</f>
        <v>186.32070000000004</v>
      </c>
      <c r="BF79" s="13">
        <f t="shared" si="91"/>
        <v>46.725588415193215</v>
      </c>
      <c r="BG79" s="20">
        <f t="shared" si="61"/>
        <v>405.88895232312825</v>
      </c>
      <c r="BH79" s="59">
        <f t="shared" si="62"/>
        <v>699.22228565646151</v>
      </c>
      <c r="BI79" s="59">
        <f ca="1">AVERAGE(OFFSET($BH$3,0,0,'Données projet'!$E$11+1,1))-AVERAGE(OFFSET($H$3,0,0,'Données projet'!$E$11+1,1))</f>
        <v>207.25176714718668</v>
      </c>
      <c r="BJ79" s="59">
        <f t="shared" si="92"/>
        <v>191.53228014642559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55.480850384903192</v>
      </c>
      <c r="BQ79" s="21">
        <f>EXP(-LN(2)/25)*BQ78+(1-EXP(-LN(2)/25))/(LN(2)/25)*Calculateur!BL79*Calculateur!BN79*VLOOKUP('Données projet'!$B$11,Paramètres!$A$1:$I$89,3,0)*0.475*44/12</f>
        <v>25.119820238743092</v>
      </c>
      <c r="BR79" s="21">
        <f>EXP(-LN(2)/2)*BR78+(1-EXP(-LN(2)/2))/(LN(2)/2)*BL79*BO79*VLOOKUP('Données projet'!$B$11,Paramètres!$A$1:$I$89,3,0)*0.475*44/12</f>
        <v>1.0549383389866855</v>
      </c>
      <c r="BS79" s="22">
        <f t="shared" si="63"/>
        <v>81.655608962632968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68.620424404221751</v>
      </c>
      <c r="CE79" s="59">
        <f t="shared" si="94"/>
        <v>203.12945099478918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15.607119244703703</v>
      </c>
      <c r="CL79" s="21">
        <f>EXP(-LN(2)/25)*CL78+(1-EXP(-LN(2)/25))/(LN(2)/25)*Calculateur!CG79*Calculateur!CI79*VLOOKUP('Données projet'!$B$12,Paramètres!$A$1:$I$89,3,0)*0.475*44/12</f>
        <v>2.1376835352064285</v>
      </c>
      <c r="CM79" s="21">
        <f>EXP(-LN(2)/2)*CM78+(1-EXP(-LN(2)/2))/(LN(2)/2)*CG79*CJ79*VLOOKUP('Données projet'!$B$12,Paramètres!$A$1:$I$89,3,0)*0.475*44/12</f>
        <v>5.372544414554521E-8</v>
      </c>
      <c r="CN79" s="22">
        <f t="shared" si="66"/>
        <v>17.744802833635575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6.5023076923076868</v>
      </c>
      <c r="CT79" s="12">
        <f>IF('Données projet'!$A$140&gt;35,CT78+CS79-DB78,IF(A79&lt;'Données projet'!$A$140,$CQ$205^A79,IF(A79='Données projet'!$A$140,'Données projet'!$B$140,CT78+CS79-DB78)))</f>
        <v>309.22153846153799</v>
      </c>
      <c r="CU79" s="17">
        <f>CT79*VLOOKUP('Données projet'!$B$13,Paramètres!$A$1:$I$89,3,0)*VLOOKUP('Données projet'!$B$13,Paramètres!$A$1:$I$89,5,0)</f>
        <v>184.91447999999974</v>
      </c>
      <c r="CV79" s="13">
        <f t="shared" si="95"/>
        <v>46.413847424845372</v>
      </c>
      <c r="CW79" s="20">
        <f t="shared" si="67"/>
        <v>402.89683693160515</v>
      </c>
      <c r="CX79" s="59">
        <f t="shared" si="68"/>
        <v>696.23017026493847</v>
      </c>
      <c r="CY79" s="59">
        <f ca="1">AVERAGE(OFFSET($CX$3,0,0,'Données projet'!$E$13+1,1))-AVERAGE(OFFSET($H$3,0,0,'Données projet'!$E$13+1,1))</f>
        <v>196.25918971690442</v>
      </c>
      <c r="CZ79" s="59">
        <f t="shared" si="96"/>
        <v>148.35701313170205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6.2767596727582768</v>
      </c>
      <c r="DG79" s="21">
        <f>EXP(-LN(2)/25)*DG78+(1-EXP(-LN(2)/25))/(LN(2)/25)*Calculateur!DB79*Calculateur!DD79*VLOOKUP('Données projet'!$B$13,Paramètres!$A$1:$I$89,3,0)*0.475*44/12</f>
        <v>23.507758585388952</v>
      </c>
      <c r="DH79" s="21">
        <f>EXP(-LN(2)/2)*DH78+(1-EXP(-LN(2)/2))/(LN(2)/2)*DB79*DE79*VLOOKUP('Données projet'!$B$13,Paramètres!$A$1:$I$89,3,0)*0.475*44/12</f>
        <v>1.820479252195031</v>
      </c>
      <c r="DI79" s="22">
        <f t="shared" si="69"/>
        <v>31.604997510342262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11">
        <f t="shared" si="86"/>
        <v>10.941692499899752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67">
        <f t="shared" si="56"/>
        <v>375.15281443732545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180.31844548479722</v>
      </c>
      <c r="T80" s="59">
        <f t="shared" si="88"/>
        <v>273.83237400307223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59.494666202297836</v>
      </c>
      <c r="AA80" s="21">
        <f>EXP(-LN(2)/25)*AA79+(1-EXP(-LN(2)/25))/(LN(2)/25)*Calculateur!V80*Calculateur!X80*VLOOKUP('Données projet'!$B$9,Paramètres!$A$1:$I$89,3,0)*0.475*44/12</f>
        <v>90.262926247559108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149.75759244985693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-5.6843418860808015E-14</v>
      </c>
      <c r="AJ80" s="13">
        <f>AI80*VLOOKUP('Données projet'!$B$10,Paramètres!$A$1:$I$89,3,0)*VLOOKUP('Données projet'!$B$10,Paramètres!$A$1:$I$89,5,0)</f>
        <v>-3.1036506698001178E-14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160.54301845388551</v>
      </c>
      <c r="AO80" s="59">
        <f t="shared" si="90"/>
        <v>272.6634844951584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32.410397184803251</v>
      </c>
      <c r="AV80" s="21">
        <f>EXP(-LN(2)/25)*AV79+(1-EXP(-LN(2)/25))/(LN(2)/25)*Calculateur!AQ80*Calculateur!AS80*VLOOKUP('Données projet'!$B$10,Paramètres!$A$1:$I$89,3,0)*0.475*44/12</f>
        <v>53.746111702237378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86.15650888704063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12.913461538461533</v>
      </c>
      <c r="BD80" s="12">
        <f>IF('Données projet'!$A$88&gt;35,BD79+BC80-BL79,IF(A80&lt;'Données projet'!$A$88,$BA$205^A80,IF(A80='Données projet'!$A$88,'Données projet'!$B$88,BD79+BC80-BL79)))</f>
        <v>411.03461538461551</v>
      </c>
      <c r="BE80" s="13">
        <f>BD80*VLOOKUP('Données projet'!$B$11,Paramètres!$A$1:$I$89,3,0)*VLOOKUP('Données projet'!$B$11,Paramètres!$A$1:$I$89,5,0)</f>
        <v>192.36420000000004</v>
      </c>
      <c r="BF80" s="13">
        <f t="shared" si="91"/>
        <v>48.062267116572606</v>
      </c>
      <c r="BG80" s="20">
        <f t="shared" si="61"/>
        <v>418.74276356136397</v>
      </c>
      <c r="BH80" s="59">
        <f t="shared" si="62"/>
        <v>712.07609689469723</v>
      </c>
      <c r="BI80" s="59">
        <f ca="1">AVERAGE(OFFSET($BH$3,0,0,'Données projet'!$E$11+1,1))-AVERAGE(OFFSET($H$3,0,0,'Données projet'!$E$11+1,1))</f>
        <v>207.25176714718668</v>
      </c>
      <c r="BJ80" s="59">
        <f t="shared" si="92"/>
        <v>191.53228014642559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54.392904748832557</v>
      </c>
      <c r="BQ80" s="21">
        <f>EXP(-LN(2)/25)*BQ79+(1-EXP(-LN(2)/25))/(LN(2)/25)*Calculateur!BL80*Calculateur!BN80*VLOOKUP('Données projet'!$B$11,Paramètres!$A$1:$I$89,3,0)*0.475*44/12</f>
        <v>24.432917433320728</v>
      </c>
      <c r="BR80" s="21">
        <f>EXP(-LN(2)/2)*BR79+(1-EXP(-LN(2)/2))/(LN(2)/2)*BL80*BO80*VLOOKUP('Données projet'!$B$11,Paramètres!$A$1:$I$89,3,0)*0.475*44/12</f>
        <v>0.74595405323115815</v>
      </c>
      <c r="BS80" s="22">
        <f t="shared" si="63"/>
        <v>79.571776235384448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68.620424404221751</v>
      </c>
      <c r="CE80" s="59">
        <f t="shared" si="94"/>
        <v>203.12945099478918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15.301073155717841</v>
      </c>
      <c r="CL80" s="21">
        <f>EXP(-LN(2)/25)*CL79+(1-EXP(-LN(2)/25))/(LN(2)/25)*Calculateur!CG80*Calculateur!CI80*VLOOKUP('Données projet'!$B$12,Paramètres!$A$1:$I$89,3,0)*0.475*44/12</f>
        <v>2.0792284665203176</v>
      </c>
      <c r="CM80" s="21">
        <f>EXP(-LN(2)/2)*CM79+(1-EXP(-LN(2)/2))/(LN(2)/2)*CG80*CJ80*VLOOKUP('Données projet'!$B$12,Paramètres!$A$1:$I$89,3,0)*0.475*44/12</f>
        <v>3.7989625877574117E-8</v>
      </c>
      <c r="CN80" s="22">
        <f t="shared" si="66"/>
        <v>17.380301660227783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6.5023076923076868</v>
      </c>
      <c r="CT80" s="12">
        <f>IF('Données projet'!$A$140&gt;35,CT79+CS80-DB79,IF(A80&lt;'Données projet'!$A$140,$CQ$205^A80,IF(A80='Données projet'!$A$140,'Données projet'!$B$140,CT79+CS80-DB79)))</f>
        <v>315.72384615384567</v>
      </c>
      <c r="CU80" s="17">
        <f>CT80*VLOOKUP('Données projet'!$B$13,Paramètres!$A$1:$I$89,3,0)*VLOOKUP('Données projet'!$B$13,Paramètres!$A$1:$I$89,5,0)</f>
        <v>188.80285999999973</v>
      </c>
      <c r="CV80" s="13">
        <f t="shared" si="95"/>
        <v>47.275184910655632</v>
      </c>
      <c r="CW80" s="20">
        <f t="shared" si="67"/>
        <v>411.16926155272472</v>
      </c>
      <c r="CX80" s="59">
        <f t="shared" si="68"/>
        <v>704.50259488605798</v>
      </c>
      <c r="CY80" s="59">
        <f ca="1">AVERAGE(OFFSET($CX$3,0,0,'Données projet'!$E$13+1,1))-AVERAGE(OFFSET($H$3,0,0,'Données projet'!$E$13+1,1))</f>
        <v>196.25918971690442</v>
      </c>
      <c r="CZ80" s="59">
        <f t="shared" si="96"/>
        <v>148.35701313170205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6.1536762440208594</v>
      </c>
      <c r="DG80" s="21">
        <f>EXP(-LN(2)/25)*DG79+(1-EXP(-LN(2)/25))/(LN(2)/25)*Calculateur!DB80*Calculateur!DD80*VLOOKUP('Données projet'!$B$13,Paramètres!$A$1:$I$89,3,0)*0.475*44/12</f>
        <v>22.864937690652194</v>
      </c>
      <c r="DH80" s="21">
        <f>EXP(-LN(2)/2)*DH79+(1-EXP(-LN(2)/2))/(LN(2)/2)*DB80*DE80*VLOOKUP('Données projet'!$B$13,Paramètres!$A$1:$I$89,3,0)*0.475*44/12</f>
        <v>1.2872732242365215</v>
      </c>
      <c r="DI80" s="22">
        <f t="shared" si="69"/>
        <v>30.305887158909577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11">
        <f t="shared" si="86"/>
        <v>11.067157525971385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67">
        <f t="shared" si="56"/>
        <v>376.18643269106684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180.31844548479722</v>
      </c>
      <c r="T81" s="59">
        <f t="shared" si="88"/>
        <v>273.83237400307223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58.328012086233997</v>
      </c>
      <c r="AA81" s="21">
        <f>EXP(-LN(2)/25)*AA80+(1-EXP(-LN(2)/25))/(LN(2)/25)*Calculateur!V81*Calculateur!X81*VLOOKUP('Données projet'!$B$9,Paramètres!$A$1:$I$89,3,0)*0.475*44/12</f>
        <v>87.794681782598616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146.12269386883261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-5.6843418860808015E-14</v>
      </c>
      <c r="AJ81" s="13">
        <f>AI81*VLOOKUP('Données projet'!$B$10,Paramètres!$A$1:$I$89,3,0)*VLOOKUP('Données projet'!$B$10,Paramètres!$A$1:$I$89,5,0)</f>
        <v>-3.1036506698001178E-14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160.54301845388551</v>
      </c>
      <c r="AO81" s="59">
        <f t="shared" si="90"/>
        <v>272.6634844951584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31.774849064399575</v>
      </c>
      <c r="AV81" s="21">
        <f>EXP(-LN(2)/25)*AV80+(1-EXP(-LN(2)/25))/(LN(2)/25)*Calculateur!AQ81*Calculateur!AS81*VLOOKUP('Données projet'!$B$10,Paramètres!$A$1:$I$89,3,0)*0.475*44/12</f>
        <v>52.276421451354523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84.051270515754098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12.913461538461533</v>
      </c>
      <c r="BD81" s="12">
        <f>IF('Données projet'!$A$88&gt;35,BD80+BC81-BL80,IF(A81&lt;'Données projet'!$A$88,$BA$205^A81,IF(A81='Données projet'!$A$88,'Données projet'!$B$88,BD80+BC81-BL80)))</f>
        <v>423.94807692307705</v>
      </c>
      <c r="BE81" s="13">
        <f>BD81*VLOOKUP('Données projet'!$B$11,Paramètres!$A$1:$I$89,3,0)*VLOOKUP('Données projet'!$B$11,Paramètres!$A$1:$I$89,5,0)</f>
        <v>198.40770000000006</v>
      </c>
      <c r="BF81" s="13">
        <f t="shared" si="91"/>
        <v>49.394065749424826</v>
      </c>
      <c r="BG81" s="20">
        <f t="shared" si="61"/>
        <v>431.58807534691499</v>
      </c>
      <c r="BH81" s="59">
        <f t="shared" si="62"/>
        <v>724.92140868024831</v>
      </c>
      <c r="BI81" s="59">
        <f ca="1">AVERAGE(OFFSET($BH$3,0,0,'Données projet'!$E$11+1,1))-AVERAGE(OFFSET($H$3,0,0,'Données projet'!$E$11+1,1))</f>
        <v>207.25176714718668</v>
      </c>
      <c r="BJ81" s="59">
        <f t="shared" si="92"/>
        <v>191.53228014642559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53.326293063103947</v>
      </c>
      <c r="BQ81" s="21">
        <f>EXP(-LN(2)/25)*BQ80+(1-EXP(-LN(2)/25))/(LN(2)/25)*Calculateur!BL81*Calculateur!BN81*VLOOKUP('Données projet'!$B$11,Paramètres!$A$1:$I$89,3,0)*0.475*44/12</f>
        <v>23.764798021235286</v>
      </c>
      <c r="BR81" s="21">
        <f>EXP(-LN(2)/2)*BR80+(1-EXP(-LN(2)/2))/(LN(2)/2)*BL81*BO81*VLOOKUP('Données projet'!$B$11,Paramètres!$A$1:$I$89,3,0)*0.475*44/12</f>
        <v>0.52746916949334277</v>
      </c>
      <c r="BS81" s="22">
        <f t="shared" si="63"/>
        <v>77.618560253832584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68.620424404221751</v>
      </c>
      <c r="CE81" s="59">
        <f t="shared" si="94"/>
        <v>203.12945099478918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15.001028443867309</v>
      </c>
      <c r="CL81" s="21">
        <f>EXP(-LN(2)/25)*CL80+(1-EXP(-LN(2)/25))/(LN(2)/25)*Calculateur!CG81*Calculateur!CI81*VLOOKUP('Données projet'!$B$12,Paramètres!$A$1:$I$89,3,0)*0.475*44/12</f>
        <v>2.0223718547614467</v>
      </c>
      <c r="CM81" s="21">
        <f>EXP(-LN(2)/2)*CM80+(1-EXP(-LN(2)/2))/(LN(2)/2)*CG81*CJ81*VLOOKUP('Données projet'!$B$12,Paramètres!$A$1:$I$89,3,0)*0.475*44/12</f>
        <v>2.6862722072772605E-8</v>
      </c>
      <c r="CN81" s="22">
        <f t="shared" si="66"/>
        <v>17.023400325491476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6.5023076923076868</v>
      </c>
      <c r="CT81" s="12">
        <f>IF('Données projet'!$A$140&gt;35,CT80+CS81-DB80,IF(A81&lt;'Données projet'!$A$140,$CQ$205^A81,IF(A81='Données projet'!$A$140,'Données projet'!$B$140,CT80+CS81-DB80)))</f>
        <v>322.22615384615335</v>
      </c>
      <c r="CU81" s="17">
        <f>CT81*VLOOKUP('Données projet'!$B$13,Paramètres!$A$1:$I$89,3,0)*VLOOKUP('Données projet'!$B$13,Paramètres!$A$1:$I$89,5,0)</f>
        <v>192.69123999999974</v>
      </c>
      <c r="CV81" s="13">
        <f t="shared" si="95"/>
        <v>48.134459875071869</v>
      </c>
      <c r="CW81" s="20">
        <f t="shared" si="67"/>
        <v>419.43809394908311</v>
      </c>
      <c r="CX81" s="59">
        <f t="shared" si="68"/>
        <v>712.77142728241643</v>
      </c>
      <c r="CY81" s="59">
        <f ca="1">AVERAGE(OFFSET($CX$3,0,0,'Données projet'!$E$13+1,1))-AVERAGE(OFFSET($H$3,0,0,'Données projet'!$E$13+1,1))</f>
        <v>196.25918971690442</v>
      </c>
      <c r="CZ81" s="59">
        <f t="shared" si="96"/>
        <v>148.35701313170205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6.0330064062475044</v>
      </c>
      <c r="DG81" s="21">
        <f>EXP(-LN(2)/25)*DG80+(1-EXP(-LN(2)/25))/(LN(2)/25)*Calculateur!DB81*Calculateur!DD81*VLOOKUP('Données projet'!$B$13,Paramètres!$A$1:$I$89,3,0)*0.475*44/12</f>
        <v>22.239694767086494</v>
      </c>
      <c r="DH81" s="21">
        <f>EXP(-LN(2)/2)*DH80+(1-EXP(-LN(2)/2))/(LN(2)/2)*DB81*DE81*VLOOKUP('Données projet'!$B$13,Paramètres!$A$1:$I$89,3,0)*0.475*44/12</f>
        <v>0.91023962609751552</v>
      </c>
      <c r="DI81" s="22">
        <f t="shared" si="69"/>
        <v>29.182940799431513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11">
        <f t="shared" si="86"/>
        <v>11.192435453834337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67">
        <f t="shared" si="56"/>
        <v>377.21972508209484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180.31844548479722</v>
      </c>
      <c r="T82" s="59">
        <f t="shared" si="88"/>
        <v>273.83237400307223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57.184235345797426</v>
      </c>
      <c r="AA82" s="21">
        <f>EXP(-LN(2)/25)*AA81+(1-EXP(-LN(2)/25))/(LN(2)/25)*Calculateur!V82*Calculateur!X82*VLOOKUP('Données projet'!$B$9,Paramètres!$A$1:$I$89,3,0)*0.475*44/12</f>
        <v>85.393931592331796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142.57816693812921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-5.6843418860808015E-14</v>
      </c>
      <c r="AJ82" s="13">
        <f>AI82*VLOOKUP('Données projet'!$B$10,Paramètres!$A$1:$I$89,3,0)*VLOOKUP('Données projet'!$B$10,Paramètres!$A$1:$I$89,5,0)</f>
        <v>-3.1036506698001178E-14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160.54301845388551</v>
      </c>
      <c r="AO82" s="59">
        <f t="shared" si="90"/>
        <v>272.6634844951584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31.15176365499094</v>
      </c>
      <c r="AV82" s="21">
        <f>EXP(-LN(2)/25)*AV81+(1-EXP(-LN(2)/25))/(LN(2)/25)*Calculateur!AQ82*Calculateur!AS82*VLOOKUP('Données projet'!$B$10,Paramètres!$A$1:$I$89,3,0)*0.475*44/12</f>
        <v>50.846919957669705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81.998683612660642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>
        <f>VLOOKUP(A82,'Données projet'!$A$87:$I$107,2,0)</f>
        <v>436.86153846153843</v>
      </c>
      <c r="BB82" s="12">
        <f>VLOOKUP(A82,'Données projet'!$A$87:$I$107,9,0)</f>
        <v>12.913461538461533</v>
      </c>
      <c r="BC82" s="12">
        <f t="array" ref="BC82">INDEX(BB:BB,MIN(IF(ISNUMBER(BB82:BB278),ROW(BB82:BB278),"")))</f>
        <v>12.913461538461533</v>
      </c>
      <c r="BD82" s="12">
        <f>IF('Données projet'!$A$88&gt;35,BD81+BC82-BL81,IF(A82&lt;'Données projet'!$A$88,$BA$205^A82,IF(A82='Données projet'!$A$88,'Données projet'!$B$88,BD81+BC82-BL81)))</f>
        <v>436.8615384615386</v>
      </c>
      <c r="BE82" s="13">
        <f>BD82*VLOOKUP('Données projet'!$B$11,Paramètres!$A$1:$I$89,3,0)*VLOOKUP('Données projet'!$B$11,Paramètres!$A$1:$I$89,5,0)</f>
        <v>204.45120000000009</v>
      </c>
      <c r="BF82" s="13">
        <f t="shared" si="91"/>
        <v>50.721150021305952</v>
      </c>
      <c r="BG82" s="20">
        <f t="shared" si="61"/>
        <v>444.42517628710794</v>
      </c>
      <c r="BH82" s="59">
        <f t="shared" si="62"/>
        <v>737.75850962044126</v>
      </c>
      <c r="BI82" s="59">
        <f ca="1">AVERAGE(OFFSET($BH$3,0,0,'Données projet'!$E$11+1,1))-AVERAGE(OFFSET($H$3,0,0,'Données projet'!$E$11+1,1))</f>
        <v>207.25176714718668</v>
      </c>
      <c r="BJ82" s="59">
        <f t="shared" si="92"/>
        <v>191.53228014642559</v>
      </c>
      <c r="BK82" s="15">
        <f>IF(ISNA(VLOOKUP(A82,'Données projet'!$A$87:$I$107,3,0)),0,VLOOKUP(A82,'Données projet'!$A$87:$I$107,3,0))</f>
        <v>6</v>
      </c>
      <c r="BL82" s="15">
        <f>IF(ISNA(VLOOKUP(A82,'Données projet'!$A$87:$I$107,4,0)),0,VLOOKUP(A82,'Données projet'!$A$87:$I$107,4,0))</f>
        <v>77.338461538461544</v>
      </c>
      <c r="BM82" s="16">
        <f>IF(ISNA(VLOOKUP(A82,'Données projet'!$A$87:$I$107,5,0)),0%,VLOOKUP(A82,'Données projet'!$A$87:$I$107,5,0)*VLOOKUP('Données projet'!$B$11,Paramètres!$A$1:$I$89,7,0))</f>
        <v>0.38500000000000001</v>
      </c>
      <c r="BN82" s="16">
        <f>IF(ISNA(VLOOKUP(A82,'Données projet'!$A$87:$I$107,6,0)),0%,VLOOKUP(A82,'Données projet'!$A$87:$I$107,6,0)*VLOOKUP('Données projet'!$B$11,Paramètres!$A$1:$I$89,7,0))</f>
        <v>9.240000000000001E-2</v>
      </c>
      <c r="BO82" s="16">
        <f>IF(ISNA(VLOOKUP(A82,'Données projet'!$A$87:$I$107,7,0)),0%,VLOOKUP(A82,'Données projet'!$A$87:$I$107,7,0))</f>
        <v>0.13200000000000001</v>
      </c>
      <c r="BP82" s="21">
        <f>EXP(-LN(2)/35)*BP81+(1-EXP(-LN(2)/35))/(LN(2)/35)*BL82*BM82*VLOOKUP('Données projet'!$B$11,Paramètres!$A$1:$I$89,3,0)*0.475*44/12</f>
        <v>70.766065724458542</v>
      </c>
      <c r="BQ82" s="21">
        <f>EXP(-LN(2)/25)*BQ81+(1-EXP(-LN(2)/25))/(LN(2)/25)*Calculateur!BL82*Calculateur!BN82*VLOOKUP('Données projet'!$B$11,Paramètres!$A$1:$I$89,3,0)*0.475*44/12</f>
        <v>27.533992627657781</v>
      </c>
      <c r="BR82" s="21">
        <f>EXP(-LN(2)/2)*BR81+(1-EXP(-LN(2)/2))/(LN(2)/2)*BL82*BO82*VLOOKUP('Données projet'!$B$11,Paramètres!$A$1:$I$89,3,0)*0.475*44/12</f>
        <v>5.7823988910017112</v>
      </c>
      <c r="BS82" s="22">
        <f t="shared" si="63"/>
        <v>104.08245724311803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68.620424404221751</v>
      </c>
      <c r="CE82" s="59">
        <f t="shared" si="94"/>
        <v>203.12945099478918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14.706867425806962</v>
      </c>
      <c r="CL82" s="21">
        <f>EXP(-LN(2)/25)*CL81+(1-EXP(-LN(2)/25))/(LN(2)/25)*Calculateur!CG82*Calculateur!CI82*VLOOKUP('Données projet'!$B$12,Paramètres!$A$1:$I$89,3,0)*0.475*44/12</f>
        <v>1.9670699900410813</v>
      </c>
      <c r="CM82" s="21">
        <f>EXP(-LN(2)/2)*CM81+(1-EXP(-LN(2)/2))/(LN(2)/2)*CG82*CJ82*VLOOKUP('Données projet'!$B$12,Paramètres!$A$1:$I$89,3,0)*0.475*44/12</f>
        <v>1.8994812938787059E-8</v>
      </c>
      <c r="CN82" s="22">
        <f t="shared" si="66"/>
        <v>16.673937434842859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6.5023076923076868</v>
      </c>
      <c r="CT82" s="12">
        <f>IF('Données projet'!$A$140&gt;35,CT81+CS82-DB81,IF(A82&lt;'Données projet'!$A$140,$CQ$205^A82,IF(A82='Données projet'!$A$140,'Données projet'!$B$140,CT81+CS82-DB81)))</f>
        <v>328.72846153846103</v>
      </c>
      <c r="CU82" s="17">
        <f>CT82*VLOOKUP('Données projet'!$B$13,Paramètres!$A$1:$I$89,3,0)*VLOOKUP('Données projet'!$B$13,Paramètres!$A$1:$I$89,5,0)</f>
        <v>196.57961999999972</v>
      </c>
      <c r="CV82" s="13">
        <f t="shared" si="95"/>
        <v>48.991718734826463</v>
      </c>
      <c r="CW82" s="20">
        <f t="shared" si="67"/>
        <v>427.70341496315558</v>
      </c>
      <c r="CX82" s="59">
        <f t="shared" si="68"/>
        <v>721.03674829648889</v>
      </c>
      <c r="CY82" s="59">
        <f ca="1">AVERAGE(OFFSET($CX$3,0,0,'Données projet'!$E$13+1,1))-AVERAGE(OFFSET($H$3,0,0,'Données projet'!$E$13+1,1))</f>
        <v>196.25918971690442</v>
      </c>
      <c r="CZ82" s="59">
        <f t="shared" si="96"/>
        <v>148.35701313170205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5.9147028303915512</v>
      </c>
      <c r="DG82" s="21">
        <f>EXP(-LN(2)/25)*DG81+(1-EXP(-LN(2)/25))/(LN(2)/25)*Calculateur!DB82*Calculateur!DD82*VLOOKUP('Données projet'!$B$13,Paramètres!$A$1:$I$89,3,0)*0.475*44/12</f>
        <v>21.631549144145797</v>
      </c>
      <c r="DH82" s="21">
        <f>EXP(-LN(2)/2)*DH81+(1-EXP(-LN(2)/2))/(LN(2)/2)*DB82*DE82*VLOOKUP('Données projet'!$B$13,Paramètres!$A$1:$I$89,3,0)*0.475*44/12</f>
        <v>0.64363661211826073</v>
      </c>
      <c r="DI82" s="22">
        <f t="shared" si="69"/>
        <v>28.189888586655609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11">
        <f t="shared" si="86"/>
        <v>11.317528925689196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67">
        <f t="shared" si="56"/>
        <v>378.25269621224209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180.31844548479722</v>
      </c>
      <c r="T83" s="59">
        <f t="shared" si="88"/>
        <v>273.83237400307223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56.062887369605889</v>
      </c>
      <c r="AA83" s="21">
        <f>EXP(-LN(2)/25)*AA82+(1-EXP(-LN(2)/25))/(LN(2)/25)*Calculateur!V83*Calculateur!X83*VLOOKUP('Données projet'!$B$9,Paramètres!$A$1:$I$89,3,0)*0.475*44/12</f>
        <v>83.058830042267786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139.12171741187368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-5.6843418860808015E-14</v>
      </c>
      <c r="AJ83" s="13">
        <f>AI83*VLOOKUP('Données projet'!$B$10,Paramètres!$A$1:$I$89,3,0)*VLOOKUP('Données projet'!$B$10,Paramètres!$A$1:$I$89,5,0)</f>
        <v>-3.1036506698001178E-14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160.54301845388551</v>
      </c>
      <c r="AO83" s="59">
        <f t="shared" si="90"/>
        <v>272.6634844951584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30.540896570416233</v>
      </c>
      <c r="AV83" s="21">
        <f>EXP(-LN(2)/25)*AV82+(1-EXP(-LN(2)/25))/(LN(2)/25)*Calculateur!AQ83*Calculateur!AS83*VLOOKUP('Données projet'!$B$10,Paramètres!$A$1:$I$89,3,0)*0.475*44/12</f>
        <v>49.45650825750392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79.99740482792015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12.124038461538468</v>
      </c>
      <c r="BD83" s="12">
        <f>IF('Données projet'!$A$88&gt;35,BD82+BC83-BL82,IF(A83&lt;'Données projet'!$A$88,$BA$205^A83,IF(A83='Données projet'!$A$88,'Données projet'!$B$88,BD82+BC83-BL82)))</f>
        <v>371.64711538461552</v>
      </c>
      <c r="BE83" s="13">
        <f>BD83*VLOOKUP('Données projet'!$B$11,Paramètres!$A$1:$I$89,3,0)*VLOOKUP('Données projet'!$B$11,Paramètres!$A$1:$I$89,5,0)</f>
        <v>173.93085000000008</v>
      </c>
      <c r="BF83" s="13">
        <f t="shared" si="91"/>
        <v>43.969228534222836</v>
      </c>
      <c r="BG83" s="20">
        <f t="shared" si="61"/>
        <v>379.50930344710491</v>
      </c>
      <c r="BH83" s="59">
        <f t="shared" si="62"/>
        <v>672.84263678043817</v>
      </c>
      <c r="BI83" s="59">
        <f ca="1">AVERAGE(OFFSET($BH$3,0,0,'Données projet'!$E$11+1,1))-AVERAGE(OFFSET($H$3,0,0,'Données projet'!$E$11+1,1))</f>
        <v>207.25176714718668</v>
      </c>
      <c r="BJ83" s="59">
        <f t="shared" si="92"/>
        <v>191.53228014642559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69.378386338640013</v>
      </c>
      <c r="BQ83" s="21">
        <f>EXP(-LN(2)/25)*BQ82+(1-EXP(-LN(2)/25))/(LN(2)/25)*Calculateur!BL83*Calculateur!BN83*VLOOKUP('Données projet'!$B$11,Paramètres!$A$1:$I$89,3,0)*0.475*44/12</f>
        <v>26.781074151304736</v>
      </c>
      <c r="BR83" s="21">
        <f>EXP(-LN(2)/2)*BR82+(1-EXP(-LN(2)/2))/(LN(2)/2)*BL83*BO83*VLOOKUP('Données projet'!$B$11,Paramètres!$A$1:$I$89,3,0)*0.475*44/12</f>
        <v>4.0887734673528824</v>
      </c>
      <c r="BS83" s="22">
        <f t="shared" si="63"/>
        <v>100.24823395729763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68.620424404221751</v>
      </c>
      <c r="CE83" s="59">
        <f t="shared" si="94"/>
        <v>203.12945099478918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14.418474725890274</v>
      </c>
      <c r="CL83" s="21">
        <f>EXP(-LN(2)/25)*CL82+(1-EXP(-LN(2)/25))/(LN(2)/25)*Calculateur!CG83*Calculateur!CI83*VLOOKUP('Données projet'!$B$12,Paramètres!$A$1:$I$89,3,0)*0.475*44/12</f>
        <v>1.9132803577196928</v>
      </c>
      <c r="CM83" s="21">
        <f>EXP(-LN(2)/2)*CM82+(1-EXP(-LN(2)/2))/(LN(2)/2)*CG83*CJ83*VLOOKUP('Données projet'!$B$12,Paramètres!$A$1:$I$89,3,0)*0.475*44/12</f>
        <v>1.3431361036386303E-8</v>
      </c>
      <c r="CN83" s="22">
        <f t="shared" si="66"/>
        <v>16.331755097041327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335.23076923076917</v>
      </c>
      <c r="CR83" s="12">
        <f>VLOOKUP(A83,'Données projet'!$A$139:$I$159,9,0)</f>
        <v>6.5023076923076868</v>
      </c>
      <c r="CS83" s="12">
        <f t="array" ref="CS83">INDEX(CR:CR,MIN(IF(ISNUMBER(CR83:CR279),ROW(CR83:CR279),"")))</f>
        <v>6.5023076923076868</v>
      </c>
      <c r="CT83" s="12">
        <f>IF('Données projet'!$A$140&gt;35,CT82+CS83-DB82,IF(A83&lt;'Données projet'!$A$140,$CQ$205^A83,IF(A83='Données projet'!$A$140,'Données projet'!$B$140,CT82+CS83-DB82)))</f>
        <v>335.23076923076871</v>
      </c>
      <c r="CU83" s="17">
        <f>CT83*VLOOKUP('Données projet'!$B$13,Paramètres!$A$1:$I$89,3,0)*VLOOKUP('Données projet'!$B$13,Paramètres!$A$1:$I$89,5,0)</f>
        <v>200.46799999999973</v>
      </c>
      <c r="CV83" s="13">
        <f t="shared" si="95"/>
        <v>49.847005965374279</v>
      </c>
      <c r="CW83" s="20">
        <f t="shared" si="67"/>
        <v>435.96530205635969</v>
      </c>
      <c r="CX83" s="59">
        <f t="shared" si="68"/>
        <v>729.298635389693</v>
      </c>
      <c r="CY83" s="59">
        <f ca="1">AVERAGE(OFFSET($CX$3,0,0,'Données projet'!$E$13+1,1))-AVERAGE(OFFSET($H$3,0,0,'Données projet'!$E$13+1,1))</f>
        <v>196.25918971690442</v>
      </c>
      <c r="CZ83" s="59">
        <f t="shared" si="96"/>
        <v>148.35701313170205</v>
      </c>
      <c r="DA83" s="15">
        <f>IF(ISNA(VLOOKUP(A83,'Données projet'!$A$139:$I$159,3,0)),0,VLOOKUP(A83,'Données projet'!$A$139:$I$159,3,0))</f>
        <v>4</v>
      </c>
      <c r="DB83" s="15">
        <f>IF(ISNA(VLOOKUP(A83,'Données projet'!$A$139:$I$159,4,0)),0,VLOOKUP(A83,'Données projet'!$A$139:$I$159,4,0))</f>
        <v>56.992307692307691</v>
      </c>
      <c r="DC83" s="16">
        <f>IF(ISNA(VLOOKUP(A83,'Données projet'!$A$139:$I$159,5,0)),0%,VLOOKUP(A83,'Données projet'!$A$139:$I$159,5,0)*VLOOKUP('Données projet'!$B$13,Paramètres!$A$1:$I$89,7,0))</f>
        <v>0.19800000000000001</v>
      </c>
      <c r="DD83" s="16">
        <f>IF(ISNA(VLOOKUP(A83,'Données projet'!$A$139:$I$159,6,0)),0%,VLOOKUP(A83,'Données projet'!$A$139:$I$159,6,0)*VLOOKUP('Données projet'!$B$13,Paramètres!$A$1:$I$89,7,0))</f>
        <v>0.14850000000000002</v>
      </c>
      <c r="DE83" s="16">
        <f>IF(ISNA(VLOOKUP(A83,'Données projet'!$A$139:$I$159,7,0)),0%,VLOOKUP(A83,'Données projet'!$A$139:$I$159,7,0))</f>
        <v>0.23</v>
      </c>
      <c r="DF83" s="21">
        <f>EXP(-LN(2)/35)*DF82+(1-EXP(-LN(2)/35))/(LN(2)/35)*DB83*DC83*VLOOKUP('Données projet'!$B$13,Paramètres!$A$1:$I$89,3,0)*0.475*44/12</f>
        <v>14.750531534160272</v>
      </c>
      <c r="DG83" s="21">
        <f>EXP(-LN(2)/25)*DG82+(1-EXP(-LN(2)/25))/(LN(2)/25)*Calculateur!DB83*Calculateur!DD83*VLOOKUP('Données projet'!$B$13,Paramètres!$A$1:$I$89,3,0)*0.475*44/12</f>
        <v>27.727457586940393</v>
      </c>
      <c r="DH83" s="21">
        <f>EXP(-LN(2)/2)*DH82+(1-EXP(-LN(2)/2))/(LN(2)/2)*DB83*DE83*VLOOKUP('Données projet'!$B$13,Paramètres!$A$1:$I$89,3,0)*0.475*44/12</f>
        <v>9.3303740327800089</v>
      </c>
      <c r="DI83" s="22">
        <f t="shared" si="69"/>
        <v>51.80836315388067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11">
        <f t="shared" si="86"/>
        <v>11.442440513882541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67">
        <f t="shared" si="56"/>
        <v>379.2853505616788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180.31844548479722</v>
      </c>
      <c r="T84" s="59">
        <f t="shared" si="88"/>
        <v>273.83237400307223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54.963528343272742</v>
      </c>
      <c r="AA84" s="21">
        <f>EXP(-LN(2)/25)*AA83+(1-EXP(-LN(2)/25))/(LN(2)/25)*Calculateur!V84*Calculateur!X84*VLOOKUP('Données projet'!$B$9,Paramètres!$A$1:$I$89,3,0)*0.475*44/12</f>
        <v>80.787581966887942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135.7511103101607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-5.6843418860808015E-14</v>
      </c>
      <c r="AJ84" s="13">
        <f>AI84*VLOOKUP('Données projet'!$B$10,Paramètres!$A$1:$I$89,3,0)*VLOOKUP('Données projet'!$B$10,Paramètres!$A$1:$I$89,5,0)</f>
        <v>-3.1036506698001178E-14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160.54301845388551</v>
      </c>
      <c r="AO84" s="59">
        <f t="shared" si="90"/>
        <v>272.6634844951584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29.942008216777907</v>
      </c>
      <c r="AV84" s="21">
        <f>EXP(-LN(2)/25)*AV83+(1-EXP(-LN(2)/25))/(LN(2)/25)*Calculateur!AQ84*Calculateur!AS84*VLOOKUP('Données projet'!$B$10,Paramètres!$A$1:$I$89,3,0)*0.475*44/12</f>
        <v>48.104117438397743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78.046125655175643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12.124038461538468</v>
      </c>
      <c r="BD84" s="12">
        <f>IF('Données projet'!$A$88&gt;35,BD83+BC84-BL83,IF(A84&lt;'Données projet'!$A$88,$BA$205^A84,IF(A84='Données projet'!$A$88,'Données projet'!$B$88,BD83+BC84-BL83)))</f>
        <v>383.77115384615399</v>
      </c>
      <c r="BE84" s="13">
        <f>BD84*VLOOKUP('Données projet'!$B$11,Paramètres!$A$1:$I$89,3,0)*VLOOKUP('Données projet'!$B$11,Paramètres!$A$1:$I$89,5,0)</f>
        <v>179.60490000000007</v>
      </c>
      <c r="BF84" s="13">
        <f t="shared" si="91"/>
        <v>45.234272457213635</v>
      </c>
      <c r="BG84" s="20">
        <f t="shared" si="61"/>
        <v>391.59489202964716</v>
      </c>
      <c r="BH84" s="59">
        <f t="shared" si="62"/>
        <v>684.92822536298047</v>
      </c>
      <c r="BI84" s="59">
        <f ca="1">AVERAGE(OFFSET($BH$3,0,0,'Données projet'!$E$11+1,1))-AVERAGE(OFFSET($H$3,0,0,'Données projet'!$E$11+1,1))</f>
        <v>207.25176714718668</v>
      </c>
      <c r="BJ84" s="59">
        <f t="shared" si="92"/>
        <v>191.53228014642559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68.017918499176531</v>
      </c>
      <c r="BQ84" s="21">
        <f>EXP(-LN(2)/25)*BQ83+(1-EXP(-LN(2)/25))/(LN(2)/25)*Calculateur!BL84*Calculateur!BN84*VLOOKUP('Données projet'!$B$11,Paramètres!$A$1:$I$89,3,0)*0.475*44/12</f>
        <v>26.048744270281826</v>
      </c>
      <c r="BR84" s="21">
        <f>EXP(-LN(2)/2)*BR83+(1-EXP(-LN(2)/2))/(LN(2)/2)*BL84*BO84*VLOOKUP('Données projet'!$B$11,Paramètres!$A$1:$I$89,3,0)*0.475*44/12</f>
        <v>2.8911994455008561</v>
      </c>
      <c r="BS84" s="22">
        <f t="shared" si="63"/>
        <v>96.957862214959221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68.620424404221751</v>
      </c>
      <c r="CE84" s="59">
        <f t="shared" si="94"/>
        <v>203.12945099478918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14.135737230916773</v>
      </c>
      <c r="CL84" s="21">
        <f>EXP(-LN(2)/25)*CL83+(1-EXP(-LN(2)/25))/(LN(2)/25)*Calculateur!CG84*Calculateur!CI84*VLOOKUP('Données projet'!$B$12,Paramètres!$A$1:$I$89,3,0)*0.475*44/12</f>
        <v>1.8609616057228067</v>
      </c>
      <c r="CM84" s="21">
        <f>EXP(-LN(2)/2)*CM83+(1-EXP(-LN(2)/2))/(LN(2)/2)*CG84*CJ84*VLOOKUP('Données projet'!$B$12,Paramètres!$A$1:$I$89,3,0)*0.475*44/12</f>
        <v>9.4974064693935293E-9</v>
      </c>
      <c r="CN84" s="22">
        <f t="shared" si="66"/>
        <v>15.996698846136987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6.3000000000000034</v>
      </c>
      <c r="CT84" s="12">
        <f>IF('Données projet'!$A$140&gt;35,CT83+CS84-DB83,IF(A84&lt;'Données projet'!$A$140,$CQ$205^A84,IF(A84='Données projet'!$A$140,'Données projet'!$B$140,CT83+CS84-DB83)))</f>
        <v>284.53846153846104</v>
      </c>
      <c r="CU84" s="17">
        <f>CT84*VLOOKUP('Données projet'!$B$13,Paramètres!$A$1:$I$89,3,0)*VLOOKUP('Données projet'!$B$13,Paramètres!$A$1:$I$89,5,0)</f>
        <v>170.15399999999971</v>
      </c>
      <c r="CV84" s="13">
        <f t="shared" si="95"/>
        <v>43.124512644574928</v>
      </c>
      <c r="CW84" s="20">
        <f t="shared" si="67"/>
        <v>371.46007618930088</v>
      </c>
      <c r="CX84" s="59">
        <f t="shared" si="68"/>
        <v>664.79340952263419</v>
      </c>
      <c r="CY84" s="59">
        <f ca="1">AVERAGE(OFFSET($CX$3,0,0,'Données projet'!$E$13+1,1))-AVERAGE(OFFSET($H$3,0,0,'Données projet'!$E$13+1,1))</f>
        <v>196.25918971690442</v>
      </c>
      <c r="CZ84" s="59">
        <f t="shared" si="96"/>
        <v>148.35701313170205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14.461282607711251</v>
      </c>
      <c r="DG84" s="21">
        <f>EXP(-LN(2)/25)*DG83+(1-EXP(-LN(2)/25))/(LN(2)/25)*Calculateur!DB84*Calculateur!DD84*VLOOKUP('Données projet'!$B$13,Paramètres!$A$1:$I$89,3,0)*0.475*44/12</f>
        <v>26.969248801101884</v>
      </c>
      <c r="DH84" s="21">
        <f>EXP(-LN(2)/2)*DH83+(1-EXP(-LN(2)/2))/(LN(2)/2)*DB84*DE84*VLOOKUP('Données projet'!$B$13,Paramètres!$A$1:$I$89,3,0)*0.475*44/12</f>
        <v>6.5975707495856195</v>
      </c>
      <c r="DI84" s="22">
        <f t="shared" si="69"/>
        <v>48.02810215839876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11">
        <f t="shared" si="86"/>
        <v>11.567172723592876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67">
        <f t="shared" si="56"/>
        <v>380.31769249359098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180.31844548479722</v>
      </c>
      <c r="T85" s="59">
        <f t="shared" si="88"/>
        <v>273.83237400307223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53.885727076903187</v>
      </c>
      <c r="AA85" s="21">
        <f>EXP(-LN(2)/25)*AA84+(1-EXP(-LN(2)/25))/(LN(2)/25)*Calculateur!V85*Calculateur!X85*VLOOKUP('Données projet'!$B$9,Paramètres!$A$1:$I$89,3,0)*0.475*44/12</f>
        <v>78.578441289569099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132.46416836647228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-5.6843418860808015E-14</v>
      </c>
      <c r="AJ85" s="13">
        <f>AI85*VLOOKUP('Données projet'!$B$10,Paramètres!$A$1:$I$89,3,0)*VLOOKUP('Données projet'!$B$10,Paramètres!$A$1:$I$89,5,0)</f>
        <v>-3.1036506698001178E-14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160.54301845388551</v>
      </c>
      <c r="AO85" s="59">
        <f t="shared" si="90"/>
        <v>272.6634844951584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29.354863698468602</v>
      </c>
      <c r="AV85" s="21">
        <f>EXP(-LN(2)/25)*AV84+(1-EXP(-LN(2)/25))/(LN(2)/25)*Calculateur!AQ85*Calculateur!AS85*VLOOKUP('Données projet'!$B$10,Paramètres!$A$1:$I$89,3,0)*0.475*44/12</f>
        <v>46.788707817359168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76.143571515827773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12.124038461538468</v>
      </c>
      <c r="BD85" s="12">
        <f>IF('Données projet'!$A$88&gt;35,BD84+BC85-BL84,IF(A85&lt;'Données projet'!$A$88,$BA$205^A85,IF(A85='Données projet'!$A$88,'Données projet'!$B$88,BD84+BC85-BL84)))</f>
        <v>395.89519230769247</v>
      </c>
      <c r="BE85" s="13">
        <f>BD85*VLOOKUP('Données projet'!$B$11,Paramètres!$A$1:$I$89,3,0)*VLOOKUP('Données projet'!$B$11,Paramètres!$A$1:$I$89,5,0)</f>
        <v>185.27895000000009</v>
      </c>
      <c r="BF85" s="13">
        <f t="shared" si="91"/>
        <v>46.494672172616063</v>
      </c>
      <c r="BG85" s="20">
        <f t="shared" si="61"/>
        <v>403.67239195063979</v>
      </c>
      <c r="BH85" s="59">
        <f t="shared" si="62"/>
        <v>697.00572528397311</v>
      </c>
      <c r="BI85" s="59">
        <f ca="1">AVERAGE(OFFSET($BH$3,0,0,'Données projet'!$E$11+1,1))-AVERAGE(OFFSET($H$3,0,0,'Données projet'!$E$11+1,1))</f>
        <v>207.25176714718668</v>
      </c>
      <c r="BJ85" s="59">
        <f t="shared" si="92"/>
        <v>191.53228014642559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66.684128604241479</v>
      </c>
      <c r="BQ85" s="21">
        <f>EXP(-LN(2)/25)*BQ84+(1-EXP(-LN(2)/25))/(LN(2)/25)*Calculateur!BL85*Calculateur!BN85*VLOOKUP('Données projet'!$B$11,Paramètres!$A$1:$I$89,3,0)*0.475*44/12</f>
        <v>25.336439988367044</v>
      </c>
      <c r="BR85" s="21">
        <f>EXP(-LN(2)/2)*BR84+(1-EXP(-LN(2)/2))/(LN(2)/2)*BL85*BO85*VLOOKUP('Données projet'!$B$11,Paramètres!$A$1:$I$89,3,0)*0.475*44/12</f>
        <v>2.0443867336764416</v>
      </c>
      <c r="BS85" s="22">
        <f t="shared" si="63"/>
        <v>94.064955326284974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68.620424404221751</v>
      </c>
      <c r="CE85" s="59">
        <f t="shared" si="94"/>
        <v>203.12945099478918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13.858544045766859</v>
      </c>
      <c r="CL85" s="21">
        <f>EXP(-LN(2)/25)*CL84+(1-EXP(-LN(2)/25))/(LN(2)/25)*Calculateur!CG85*Calculateur!CI85*VLOOKUP('Données projet'!$B$12,Paramètres!$A$1:$I$89,3,0)*0.475*44/12</f>
        <v>1.8100735127505989</v>
      </c>
      <c r="CM85" s="21">
        <f>EXP(-LN(2)/2)*CM84+(1-EXP(-LN(2)/2))/(LN(2)/2)*CG85*CJ85*VLOOKUP('Données projet'!$B$12,Paramètres!$A$1:$I$89,3,0)*0.475*44/12</f>
        <v>6.7156805181931513E-9</v>
      </c>
      <c r="CN85" s="22">
        <f t="shared" si="66"/>
        <v>15.668617565233138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6.3000000000000034</v>
      </c>
      <c r="CT85" s="12">
        <f>IF('Données projet'!$A$140&gt;35,CT84+CS85-DB84,IF(A85&lt;'Données projet'!$A$140,$CQ$205^A85,IF(A85='Données projet'!$A$140,'Données projet'!$B$140,CT84+CS85-DB84)))</f>
        <v>290.83846153846105</v>
      </c>
      <c r="CU85" s="17">
        <f>CT85*VLOOKUP('Données projet'!$B$13,Paramètres!$A$1:$I$89,3,0)*VLOOKUP('Données projet'!$B$13,Paramètres!$A$1:$I$89,5,0)</f>
        <v>173.92139999999969</v>
      </c>
      <c r="CV85" s="13">
        <f t="shared" si="95"/>
        <v>43.967117666032202</v>
      </c>
      <c r="CW85" s="20">
        <f t="shared" si="67"/>
        <v>379.48916826833891</v>
      </c>
      <c r="CX85" s="59">
        <f t="shared" si="68"/>
        <v>672.82250160167223</v>
      </c>
      <c r="CY85" s="59">
        <f ca="1">AVERAGE(OFFSET($CX$3,0,0,'Données projet'!$E$13+1,1))-AVERAGE(OFFSET($H$3,0,0,'Données projet'!$E$13+1,1))</f>
        <v>196.25918971690442</v>
      </c>
      <c r="CZ85" s="59">
        <f t="shared" si="96"/>
        <v>148.35701313170205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14.177705676285472</v>
      </c>
      <c r="DG85" s="21">
        <f>EXP(-LN(2)/25)*DG84+(1-EXP(-LN(2)/25))/(LN(2)/25)*Calculateur!DB85*Calculateur!DD85*VLOOKUP('Données projet'!$B$13,Paramètres!$A$1:$I$89,3,0)*0.475*44/12</f>
        <v>26.231773274384597</v>
      </c>
      <c r="DH85" s="21">
        <f>EXP(-LN(2)/2)*DH84+(1-EXP(-LN(2)/2))/(LN(2)/2)*DB85*DE85*VLOOKUP('Données projet'!$B$13,Paramètres!$A$1:$I$89,3,0)*0.475*44/12</f>
        <v>4.6651870163900053</v>
      </c>
      <c r="DI85" s="22">
        <f t="shared" si="69"/>
        <v>45.074665967060078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11">
        <f t="shared" si="86"/>
        <v>11.691727995381735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67">
        <f t="shared" si="56"/>
        <v>381.34972625862326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180.31844548479722</v>
      </c>
      <c r="T86" s="59">
        <f t="shared" si="88"/>
        <v>273.83237400307223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52.82906083597328</v>
      </c>
      <c r="AA86" s="21">
        <f>EXP(-LN(2)/25)*AA85+(1-EXP(-LN(2)/25))/(LN(2)/25)*Calculateur!V86*Calculateur!X86*VLOOKUP('Données projet'!$B$9,Paramètres!$A$1:$I$89,3,0)*0.475*44/12</f>
        <v>76.429709680245196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129.25877051621848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-5.6843418860808015E-14</v>
      </c>
      <c r="AJ86" s="13">
        <f>AI86*VLOOKUP('Données projet'!$B$10,Paramètres!$A$1:$I$89,3,0)*VLOOKUP('Données projet'!$B$10,Paramètres!$A$1:$I$89,5,0)</f>
        <v>-3.1036506698001178E-14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160.54301845388551</v>
      </c>
      <c r="AO86" s="59">
        <f t="shared" si="90"/>
        <v>272.6634844951584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28.779232726040547</v>
      </c>
      <c r="AV86" s="21">
        <f>EXP(-LN(2)/25)*AV85+(1-EXP(-LN(2)/25))/(LN(2)/25)*Calculateur!AQ86*Calculateur!AS86*VLOOKUP('Données projet'!$B$10,Paramètres!$A$1:$I$89,3,0)*0.475*44/12</f>
        <v>45.509268141582275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74.288500867622815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12.124038461538468</v>
      </c>
      <c r="BD86" s="12">
        <f>IF('Données projet'!$A$88&gt;35,BD85+BC86-BL85,IF(A86&lt;'Données projet'!$A$88,$BA$205^A86,IF(A86='Données projet'!$A$88,'Données projet'!$B$88,BD85+BC86-BL85)))</f>
        <v>408.01923076923094</v>
      </c>
      <c r="BE86" s="13">
        <f>BD86*VLOOKUP('Données projet'!$B$11,Paramètres!$A$1:$I$89,3,0)*VLOOKUP('Données projet'!$B$11,Paramètres!$A$1:$I$89,5,0)</f>
        <v>190.95300000000006</v>
      </c>
      <c r="BF86" s="13">
        <f t="shared" si="91"/>
        <v>47.750586229034354</v>
      </c>
      <c r="BG86" s="20">
        <f t="shared" si="61"/>
        <v>415.7420793489016</v>
      </c>
      <c r="BH86" s="59">
        <f t="shared" si="62"/>
        <v>709.07541268223486</v>
      </c>
      <c r="BI86" s="59">
        <f ca="1">AVERAGE(OFFSET($BH$3,0,0,'Données projet'!$E$11+1,1))-AVERAGE(OFFSET($H$3,0,0,'Données projet'!$E$11+1,1))</f>
        <v>207.25176714718668</v>
      </c>
      <c r="BJ86" s="59">
        <f t="shared" si="92"/>
        <v>191.53228014642559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65.376493515614598</v>
      </c>
      <c r="BQ86" s="21">
        <f>EXP(-LN(2)/25)*BQ85+(1-EXP(-LN(2)/25))/(LN(2)/25)*Calculateur!BL86*Calculateur!BN86*VLOOKUP('Données projet'!$B$11,Paramètres!$A$1:$I$89,3,0)*0.475*44/12</f>
        <v>24.643613704499675</v>
      </c>
      <c r="BR86" s="21">
        <f>EXP(-LN(2)/2)*BR85+(1-EXP(-LN(2)/2))/(LN(2)/2)*BL86*BO86*VLOOKUP('Données projet'!$B$11,Paramètres!$A$1:$I$89,3,0)*0.475*44/12</f>
        <v>1.4455997227504283</v>
      </c>
      <c r="BS86" s="22">
        <f t="shared" si="63"/>
        <v>91.465706942864699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68.620424404221751</v>
      </c>
      <c r="CE86" s="59">
        <f t="shared" si="94"/>
        <v>203.12945099478918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13.586786449906587</v>
      </c>
      <c r="CL86" s="21">
        <f>EXP(-LN(2)/25)*CL85+(1-EXP(-LN(2)/25))/(LN(2)/25)*Calculateur!CG86*Calculateur!CI86*VLOOKUP('Données projet'!$B$12,Paramètres!$A$1:$I$89,3,0)*0.475*44/12</f>
        <v>1.7605769573568046</v>
      </c>
      <c r="CM86" s="21">
        <f>EXP(-LN(2)/2)*CM85+(1-EXP(-LN(2)/2))/(LN(2)/2)*CG86*CJ86*VLOOKUP('Données projet'!$B$12,Paramètres!$A$1:$I$89,3,0)*0.475*44/12</f>
        <v>4.7487032346967647E-9</v>
      </c>
      <c r="CN86" s="22">
        <f t="shared" si="66"/>
        <v>15.347363412012093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6.3000000000000034</v>
      </c>
      <c r="CT86" s="12">
        <f>IF('Données projet'!$A$140&gt;35,CT85+CS86-DB85,IF(A86&lt;'Données projet'!$A$140,$CQ$205^A86,IF(A86='Données projet'!$A$140,'Données projet'!$B$140,CT85+CS86-DB85)))</f>
        <v>297.13846153846106</v>
      </c>
      <c r="CU86" s="17">
        <f>CT86*VLOOKUP('Données projet'!$B$13,Paramètres!$A$1:$I$89,3,0)*VLOOKUP('Données projet'!$B$13,Paramètres!$A$1:$I$89,5,0)</f>
        <v>177.68879999999973</v>
      </c>
      <c r="CV86" s="13">
        <f t="shared" si="95"/>
        <v>44.807600644223591</v>
      </c>
      <c r="CW86" s="20">
        <f t="shared" si="67"/>
        <v>387.51456445535558</v>
      </c>
      <c r="CX86" s="59">
        <f t="shared" si="68"/>
        <v>680.8478977886889</v>
      </c>
      <c r="CY86" s="59">
        <f ca="1">AVERAGE(OFFSET($CX$3,0,0,'Données projet'!$E$13+1,1))-AVERAGE(OFFSET($H$3,0,0,'Données projet'!$E$13+1,1))</f>
        <v>196.25918971690442</v>
      </c>
      <c r="CZ86" s="59">
        <f t="shared" si="96"/>
        <v>148.35701313170205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13.899689515520102</v>
      </c>
      <c r="DG86" s="21">
        <f>EXP(-LN(2)/25)*DG85+(1-EXP(-LN(2)/25))/(LN(2)/25)*Calculateur!DB86*Calculateur!DD86*VLOOKUP('Données projet'!$B$13,Paramètres!$A$1:$I$89,3,0)*0.475*44/12</f>
        <v>25.514464054727547</v>
      </c>
      <c r="DH86" s="21">
        <f>EXP(-LN(2)/2)*DH85+(1-EXP(-LN(2)/2))/(LN(2)/2)*DB86*DE86*VLOOKUP('Données projet'!$B$13,Paramètres!$A$1:$I$89,3,0)*0.475*44/12</f>
        <v>3.2987853747928102</v>
      </c>
      <c r="DI86" s="22">
        <f t="shared" si="69"/>
        <v>42.712938945040456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11">
        <f t="shared" si="86"/>
        <v>11.816108707618415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67">
        <f t="shared" si="56"/>
        <v>382.38145599910212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180.31844548479722</v>
      </c>
      <c r="T87" s="59">
        <f t="shared" si="88"/>
        <v>273.83237400307223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51.793115175525244</v>
      </c>
      <c r="AA87" s="21">
        <f>EXP(-LN(2)/25)*AA86+(1-EXP(-LN(2)/25))/(LN(2)/25)*Calculateur!V87*Calculateur!X87*VLOOKUP('Données projet'!$B$9,Paramètres!$A$1:$I$89,3,0)*0.475*44/12</f>
        <v>74.339735249775146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126.13285042530039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-5.6843418860808015E-14</v>
      </c>
      <c r="AJ87" s="13">
        <f>AI87*VLOOKUP('Données projet'!$B$10,Paramètres!$A$1:$I$89,3,0)*VLOOKUP('Données projet'!$B$10,Paramètres!$A$1:$I$89,5,0)</f>
        <v>-3.1036506698001178E-14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160.54301845388551</v>
      </c>
      <c r="AO87" s="59">
        <f t="shared" si="90"/>
        <v>272.6634844951584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28.214889525881581</v>
      </c>
      <c r="AV87" s="21">
        <f>EXP(-LN(2)/25)*AV86+(1-EXP(-LN(2)/25))/(LN(2)/25)*Calculateur!AQ87*Calculateur!AS87*VLOOKUP('Données projet'!$B$10,Paramètres!$A$1:$I$89,3,0)*0.475*44/12</f>
        <v>44.264814811022312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72.479704336903893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12.124038461538468</v>
      </c>
      <c r="BD87" s="12">
        <f>IF('Données projet'!$A$88&gt;35,BD86+BC87-BL86,IF(A87&lt;'Données projet'!$A$88,$BA$205^A87,IF(A87='Données projet'!$A$88,'Données projet'!$B$88,BD86+BC87-BL86)))</f>
        <v>420.14326923076942</v>
      </c>
      <c r="BE87" s="13">
        <f>BD87*VLOOKUP('Données projet'!$B$11,Paramètres!$A$1:$I$89,3,0)*VLOOKUP('Données projet'!$B$11,Paramètres!$A$1:$I$89,5,0)</f>
        <v>196.62705000000008</v>
      </c>
      <c r="BF87" s="13">
        <f t="shared" si="91"/>
        <v>49.002163217129386</v>
      </c>
      <c r="BG87" s="20">
        <f t="shared" si="61"/>
        <v>427.80421301983375</v>
      </c>
      <c r="BH87" s="59">
        <f t="shared" si="62"/>
        <v>721.13754635316707</v>
      </c>
      <c r="BI87" s="59">
        <f ca="1">AVERAGE(OFFSET($BH$3,0,0,'Données projet'!$E$11+1,1))-AVERAGE(OFFSET($H$3,0,0,'Données projet'!$E$11+1,1))</f>
        <v>207.25176714718668</v>
      </c>
      <c r="BJ87" s="59">
        <f t="shared" si="92"/>
        <v>191.53228014642559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64.09450035349704</v>
      </c>
      <c r="BQ87" s="21">
        <f>EXP(-LN(2)/25)*BQ86+(1-EXP(-LN(2)/25))/(LN(2)/25)*Calculateur!BL87*Calculateur!BN87*VLOOKUP('Données projet'!$B$11,Paramètres!$A$1:$I$89,3,0)*0.475*44/12</f>
        <v>23.969732791798812</v>
      </c>
      <c r="BR87" s="21">
        <f>EXP(-LN(2)/2)*BR86+(1-EXP(-LN(2)/2))/(LN(2)/2)*BL87*BO87*VLOOKUP('Données projet'!$B$11,Paramètres!$A$1:$I$89,3,0)*0.475*44/12</f>
        <v>1.0221933668382208</v>
      </c>
      <c r="BS87" s="22">
        <f t="shared" si="63"/>
        <v>89.086426512134068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68.620424404221751</v>
      </c>
      <c r="CE87" s="59">
        <f t="shared" si="94"/>
        <v>203.12945099478918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13.320357854745367</v>
      </c>
      <c r="CL87" s="21">
        <f>EXP(-LN(2)/25)*CL86+(1-EXP(-LN(2)/25))/(LN(2)/25)*Calculateur!CG87*Calculateur!CI87*VLOOKUP('Données projet'!$B$12,Paramètres!$A$1:$I$89,3,0)*0.475*44/12</f>
        <v>1.7124338878731644</v>
      </c>
      <c r="CM87" s="21">
        <f>EXP(-LN(2)/2)*CM86+(1-EXP(-LN(2)/2))/(LN(2)/2)*CG87*CJ87*VLOOKUP('Données projet'!$B$12,Paramètres!$A$1:$I$89,3,0)*0.475*44/12</f>
        <v>3.3578402590965756E-9</v>
      </c>
      <c r="CN87" s="22">
        <f t="shared" si="66"/>
        <v>15.032791745976372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6.3000000000000034</v>
      </c>
      <c r="CT87" s="12">
        <f>IF('Données projet'!$A$140&gt;35,CT86+CS87-DB86,IF(A87&lt;'Données projet'!$A$140,$CQ$205^A87,IF(A87='Données projet'!$A$140,'Données projet'!$B$140,CT86+CS87-DB86)))</f>
        <v>303.43846153846107</v>
      </c>
      <c r="CU87" s="17">
        <f>CT87*VLOOKUP('Données projet'!$B$13,Paramètres!$A$1:$I$89,3,0)*VLOOKUP('Données projet'!$B$13,Paramètres!$A$1:$I$89,5,0)</f>
        <v>181.45619999999974</v>
      </c>
      <c r="CV87" s="13">
        <f t="shared" si="95"/>
        <v>45.646011753949928</v>
      </c>
      <c r="CW87" s="20">
        <f t="shared" si="67"/>
        <v>395.53635213812896</v>
      </c>
      <c r="CX87" s="59">
        <f t="shared" si="68"/>
        <v>688.86968547146228</v>
      </c>
      <c r="CY87" s="59">
        <f ca="1">AVERAGE(OFFSET($CX$3,0,0,'Données projet'!$E$13+1,1))-AVERAGE(OFFSET($H$3,0,0,'Données projet'!$E$13+1,1))</f>
        <v>196.25918971690442</v>
      </c>
      <c r="CZ87" s="59">
        <f t="shared" si="96"/>
        <v>148.35701313170205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13.627125082094226</v>
      </c>
      <c r="DG87" s="21">
        <f>EXP(-LN(2)/25)*DG86+(1-EXP(-LN(2)/25))/(LN(2)/25)*Calculateur!DB87*Calculateur!DD87*VLOOKUP('Données projet'!$B$13,Paramètres!$A$1:$I$89,3,0)*0.475*44/12</f>
        <v>24.816769693403671</v>
      </c>
      <c r="DH87" s="21">
        <f>EXP(-LN(2)/2)*DH86+(1-EXP(-LN(2)/2))/(LN(2)/2)*DB87*DE87*VLOOKUP('Données projet'!$B$13,Paramètres!$A$1:$I$89,3,0)*0.475*44/12</f>
        <v>2.3325935081950031</v>
      </c>
      <c r="DI87" s="22">
        <f t="shared" si="69"/>
        <v>40.776488283692899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11">
        <f t="shared" si="86"/>
        <v>11.940317178785941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67">
        <f t="shared" si="56"/>
        <v>383.41288575305225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180.31844548479722</v>
      </c>
      <c r="T88" s="59">
        <f t="shared" si="88"/>
        <v>273.83237400307223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50.77748377761413</v>
      </c>
      <c r="AA88" s="21">
        <f>EXP(-LN(2)/25)*AA87+(1-EXP(-LN(2)/25))/(LN(2)/25)*Calculateur!V88*Calculateur!X88*VLOOKUP('Données projet'!$B$9,Paramètres!$A$1:$I$89,3,0)*0.475*44/12</f>
        <v>72.306911280013267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123.0843950576274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-5.6843418860808015E-14</v>
      </c>
      <c r="AJ88" s="13">
        <f>AI88*VLOOKUP('Données projet'!$B$10,Paramètres!$A$1:$I$89,3,0)*VLOOKUP('Données projet'!$B$10,Paramètres!$A$1:$I$89,5,0)</f>
        <v>-3.1036506698001178E-14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160.54301845388551</v>
      </c>
      <c r="AO88" s="59">
        <f t="shared" si="90"/>
        <v>272.6634844951584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27.661612751662368</v>
      </c>
      <c r="AV88" s="21">
        <f>EXP(-LN(2)/25)*AV87+(1-EXP(-LN(2)/25))/(LN(2)/25)*Calculateur!AQ88*Calculateur!AS88*VLOOKUP('Données projet'!$B$10,Paramètres!$A$1:$I$89,3,0)*0.475*44/12</f>
        <v>43.054391122229461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70.716003873891822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12.124038461538468</v>
      </c>
      <c r="BD88" s="12">
        <f>IF('Données projet'!$A$88&gt;35,BD87+BC88-BL87,IF(A88&lt;'Données projet'!$A$88,$BA$205^A88,IF(A88='Données projet'!$A$88,'Données projet'!$B$88,BD87+BC88-BL87)))</f>
        <v>432.2673076923079</v>
      </c>
      <c r="BE88" s="13">
        <f>BD88*VLOOKUP('Données projet'!$B$11,Paramètres!$A$1:$I$89,3,0)*VLOOKUP('Données projet'!$B$11,Paramètres!$A$1:$I$89,5,0)</f>
        <v>202.3011000000001</v>
      </c>
      <c r="BF88" s="13">
        <f t="shared" si="91"/>
        <v>50.249542664134772</v>
      </c>
      <c r="BG88" s="20">
        <f t="shared" si="61"/>
        <v>439.85903597336824</v>
      </c>
      <c r="BH88" s="59">
        <f t="shared" si="62"/>
        <v>733.19236930670149</v>
      </c>
      <c r="BI88" s="59">
        <f ca="1">AVERAGE(OFFSET($BH$3,0,0,'Données projet'!$E$11+1,1))-AVERAGE(OFFSET($H$3,0,0,'Données projet'!$E$11+1,1))</f>
        <v>207.25176714718668</v>
      </c>
      <c r="BJ88" s="59">
        <f t="shared" si="92"/>
        <v>191.53228014642559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62.837646295349991</v>
      </c>
      <c r="BQ88" s="21">
        <f>EXP(-LN(2)/25)*BQ87+(1-EXP(-LN(2)/25))/(LN(2)/25)*Calculateur!BL88*Calculateur!BN88*VLOOKUP('Données projet'!$B$11,Paramètres!$A$1:$I$89,3,0)*0.475*44/12</f>
        <v>23.314279188093611</v>
      </c>
      <c r="BR88" s="21">
        <f>EXP(-LN(2)/2)*BR87+(1-EXP(-LN(2)/2))/(LN(2)/2)*BL88*BO88*VLOOKUP('Données projet'!$B$11,Paramètres!$A$1:$I$89,3,0)*0.475*44/12</f>
        <v>0.72279986137521413</v>
      </c>
      <c r="BS88" s="22">
        <f t="shared" si="63"/>
        <v>86.874725344818813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68.620424404221751</v>
      </c>
      <c r="CE88" s="59">
        <f t="shared" si="94"/>
        <v>203.12945099478918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13.059153761829863</v>
      </c>
      <c r="CL88" s="21">
        <f>EXP(-LN(2)/25)*CL87+(1-EXP(-LN(2)/25))/(LN(2)/25)*Calculateur!CG88*Calculateur!CI88*VLOOKUP('Données projet'!$B$12,Paramètres!$A$1:$I$89,3,0)*0.475*44/12</f>
        <v>1.6656072931562884</v>
      </c>
      <c r="CM88" s="21">
        <f>EXP(-LN(2)/2)*CM87+(1-EXP(-LN(2)/2))/(LN(2)/2)*CG88*CJ88*VLOOKUP('Données projet'!$B$12,Paramètres!$A$1:$I$89,3,0)*0.475*44/12</f>
        <v>2.3743516173483823E-9</v>
      </c>
      <c r="CN88" s="22">
        <f t="shared" si="66"/>
        <v>14.724761057360503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6.3000000000000034</v>
      </c>
      <c r="CT88" s="12">
        <f>IF('Données projet'!$A$140&gt;35,CT87+CS88-DB87,IF(A88&lt;'Données projet'!$A$140,$CQ$205^A88,IF(A88='Données projet'!$A$140,'Données projet'!$B$140,CT87+CS88-DB87)))</f>
        <v>309.73846153846108</v>
      </c>
      <c r="CU88" s="17">
        <f>CT88*VLOOKUP('Données projet'!$B$13,Paramètres!$A$1:$I$89,3,0)*VLOOKUP('Données projet'!$B$13,Paramètres!$A$1:$I$89,5,0)</f>
        <v>185.22359999999972</v>
      </c>
      <c r="CV88" s="13">
        <f t="shared" si="95"/>
        <v>46.482398967479604</v>
      </c>
      <c r="CW88" s="20">
        <f t="shared" si="67"/>
        <v>403.55461486835981</v>
      </c>
      <c r="CX88" s="59">
        <f t="shared" si="68"/>
        <v>696.88794820169312</v>
      </c>
      <c r="CY88" s="59">
        <f ca="1">AVERAGE(OFFSET($CX$3,0,0,'Données projet'!$E$13+1,1))-AVERAGE(OFFSET($H$3,0,0,'Données projet'!$E$13+1,1))</f>
        <v>196.25918971690442</v>
      </c>
      <c r="CZ88" s="59">
        <f t="shared" si="96"/>
        <v>148.35701313170205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13.359905470959944</v>
      </c>
      <c r="DG88" s="21">
        <f>EXP(-LN(2)/25)*DG87+(1-EXP(-LN(2)/25))/(LN(2)/25)*Calculateur!DB88*Calculateur!DD88*VLOOKUP('Données projet'!$B$13,Paramètres!$A$1:$I$89,3,0)*0.475*44/12</f>
        <v>24.138153821080348</v>
      </c>
      <c r="DH88" s="21">
        <f>EXP(-LN(2)/2)*DH87+(1-EXP(-LN(2)/2))/(LN(2)/2)*DB88*DE88*VLOOKUP('Données projet'!$B$13,Paramètres!$A$1:$I$89,3,0)*0.475*44/12</f>
        <v>1.6493926873964053</v>
      </c>
      <c r="DI88" s="22">
        <f t="shared" si="69"/>
        <v>39.147451979436703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11">
        <f t="shared" si="86"/>
        <v>12.064355669675374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67">
        <f t="shared" si="56"/>
        <v>384.44401945801803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180.31844548479722</v>
      </c>
      <c r="T89" s="59">
        <f t="shared" si="88"/>
        <v>273.83237400307223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49.781768291942065</v>
      </c>
      <c r="AA89" s="21">
        <f>EXP(-LN(2)/25)*AA88+(1-EXP(-LN(2)/25))/(LN(2)/25)*Calculateur!V89*Calculateur!X89*VLOOKUP('Données projet'!$B$9,Paramètres!$A$1:$I$89,3,0)*0.475*44/12</f>
        <v>70.329674988606101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120.11144328054817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-5.6843418860808015E-14</v>
      </c>
      <c r="AJ89" s="13">
        <f>AI89*VLOOKUP('Données projet'!$B$10,Paramètres!$A$1:$I$89,3,0)*VLOOKUP('Données projet'!$B$10,Paramètres!$A$1:$I$89,5,0)</f>
        <v>-3.1036506698001178E-14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160.54301845388551</v>
      </c>
      <c r="AO89" s="59">
        <f t="shared" si="90"/>
        <v>272.6634844951584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27.119185397520084</v>
      </c>
      <c r="AV89" s="21">
        <f>EXP(-LN(2)/25)*AV88+(1-EXP(-LN(2)/25))/(LN(2)/25)*Calculateur!AQ89*Calculateur!AS89*VLOOKUP('Données projet'!$B$10,Paramètres!$A$1:$I$89,3,0)*0.475*44/12</f>
        <v>41.87706653286007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68.996251930380154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12.124038461538468</v>
      </c>
      <c r="BD89" s="12">
        <f>IF('Données projet'!$A$88&gt;35,BD88+BC89-BL88,IF(A89&lt;'Données projet'!$A$88,$BA$205^A89,IF(A89='Données projet'!$A$88,'Données projet'!$B$88,BD88+BC89-BL88)))</f>
        <v>444.39134615384637</v>
      </c>
      <c r="BE89" s="13">
        <f>BD89*VLOOKUP('Données projet'!$B$11,Paramètres!$A$1:$I$89,3,0)*VLOOKUP('Données projet'!$B$11,Paramètres!$A$1:$I$89,5,0)</f>
        <v>207.9751500000001</v>
      </c>
      <c r="BF89" s="13">
        <f t="shared" si="91"/>
        <v>51.492855825196166</v>
      </c>
      <c r="BG89" s="20">
        <f t="shared" si="61"/>
        <v>451.90677681221678</v>
      </c>
      <c r="BH89" s="59">
        <f t="shared" si="62"/>
        <v>745.24011014555003</v>
      </c>
      <c r="BI89" s="59">
        <f ca="1">AVERAGE(OFFSET($BH$3,0,0,'Données projet'!$E$11+1,1))-AVERAGE(OFFSET($H$3,0,0,'Données projet'!$E$11+1,1))</f>
        <v>207.25176714718668</v>
      </c>
      <c r="BJ89" s="59">
        <f t="shared" si="92"/>
        <v>191.53228014642559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61.605438378677924</v>
      </c>
      <c r="BQ89" s="21">
        <f>EXP(-LN(2)/25)*BQ88+(1-EXP(-LN(2)/25))/(LN(2)/25)*Calculateur!BL89*Calculateur!BN89*VLOOKUP('Données projet'!$B$11,Paramètres!$A$1:$I$89,3,0)*0.475*44/12</f>
        <v>22.676748997650535</v>
      </c>
      <c r="BR89" s="21">
        <f>EXP(-LN(2)/2)*BR88+(1-EXP(-LN(2)/2))/(LN(2)/2)*BL89*BO89*VLOOKUP('Données projet'!$B$11,Paramètres!$A$1:$I$89,3,0)*0.475*44/12</f>
        <v>0.51109668341911041</v>
      </c>
      <c r="BS89" s="22">
        <f t="shared" si="63"/>
        <v>84.793284059747577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68.620424404221751</v>
      </c>
      <c r="CE89" s="59">
        <f t="shared" si="94"/>
        <v>203.12945099478918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12.803071721857666</v>
      </c>
      <c r="CL89" s="21">
        <f>EXP(-LN(2)/25)*CL88+(1-EXP(-LN(2)/25))/(LN(2)/25)*Calculateur!CG89*Calculateur!CI89*VLOOKUP('Données projet'!$B$12,Paramètres!$A$1:$I$89,3,0)*0.475*44/12</f>
        <v>1.6200611741344491</v>
      </c>
      <c r="CM89" s="21">
        <f>EXP(-LN(2)/2)*CM88+(1-EXP(-LN(2)/2))/(LN(2)/2)*CG89*CJ89*VLOOKUP('Données projet'!$B$12,Paramètres!$A$1:$I$89,3,0)*0.475*44/12</f>
        <v>1.6789201295482878E-9</v>
      </c>
      <c r="CN89" s="22">
        <f t="shared" si="66"/>
        <v>14.423132897671035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6.3000000000000034</v>
      </c>
      <c r="CT89" s="12">
        <f>IF('Données projet'!$A$140&gt;35,CT88+CS89-DB88,IF(A89&lt;'Données projet'!$A$140,$CQ$205^A89,IF(A89='Données projet'!$A$140,'Données projet'!$B$140,CT88+CS89-DB88)))</f>
        <v>316.03846153846109</v>
      </c>
      <c r="CU89" s="17">
        <f>CT89*VLOOKUP('Données projet'!$B$13,Paramètres!$A$1:$I$89,3,0)*VLOOKUP('Données projet'!$B$13,Paramètres!$A$1:$I$89,5,0)</f>
        <v>188.99099999999976</v>
      </c>
      <c r="CV89" s="13">
        <f t="shared" si="95"/>
        <v>47.316808194033214</v>
      </c>
      <c r="CW89" s="20">
        <f t="shared" si="67"/>
        <v>411.56943260460747</v>
      </c>
      <c r="CX89" s="59">
        <f t="shared" si="68"/>
        <v>704.90276593794079</v>
      </c>
      <c r="CY89" s="59">
        <f ca="1">AVERAGE(OFFSET($CX$3,0,0,'Données projet'!$E$13+1,1))-AVERAGE(OFFSET($H$3,0,0,'Données projet'!$E$13+1,1))</f>
        <v>196.25918971690442</v>
      </c>
      <c r="CZ89" s="59">
        <f t="shared" si="96"/>
        <v>148.35701313170205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13.097925873412136</v>
      </c>
      <c r="DG89" s="21">
        <f>EXP(-LN(2)/25)*DG88+(1-EXP(-LN(2)/25))/(LN(2)/25)*Calculateur!DB89*Calculateur!DD89*VLOOKUP('Données projet'!$B$13,Paramètres!$A$1:$I$89,3,0)*0.475*44/12</f>
        <v>23.478094735472563</v>
      </c>
      <c r="DH89" s="21">
        <f>EXP(-LN(2)/2)*DH88+(1-EXP(-LN(2)/2))/(LN(2)/2)*DB89*DE89*VLOOKUP('Données projet'!$B$13,Paramètres!$A$1:$I$89,3,0)*0.475*44/12</f>
        <v>1.1662967540975016</v>
      </c>
      <c r="DI89" s="22">
        <f t="shared" si="69"/>
        <v>37.742317362982199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11">
        <f t="shared" si="86"/>
        <v>12.188226385475193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67">
        <f t="shared" si="56"/>
        <v>385.47486095470271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180.31844548479722</v>
      </c>
      <c r="T90" s="59">
        <f t="shared" si="88"/>
        <v>273.83237400307223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48.805578179617555</v>
      </c>
      <c r="AA90" s="21">
        <f>EXP(-LN(2)/25)*AA89+(1-EXP(-LN(2)/25))/(LN(2)/25)*Calculateur!V90*Calculateur!X90*VLOOKUP('Données projet'!$B$9,Paramètres!$A$1:$I$89,3,0)*0.475*44/12</f>
        <v>68.406506327565793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117.21208450718335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-5.6843418860808015E-14</v>
      </c>
      <c r="AJ90" s="13">
        <f>AI90*VLOOKUP('Données projet'!$B$10,Paramètres!$A$1:$I$89,3,0)*VLOOKUP('Données projet'!$B$10,Paramètres!$A$1:$I$89,5,0)</f>
        <v>-3.1036506698001178E-14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160.54301845388551</v>
      </c>
      <c r="AO90" s="59">
        <f t="shared" si="90"/>
        <v>272.6634844951584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26.587394712944512</v>
      </c>
      <c r="AV90" s="21">
        <f>EXP(-LN(2)/25)*AV89+(1-EXP(-LN(2)/25))/(LN(2)/25)*Calculateur!AQ90*Calculateur!AS90*VLOOKUP('Données projet'!$B$10,Paramètres!$A$1:$I$89,3,0)*0.475*44/12</f>
        <v>40.731935946299792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67.319330659244301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>
        <f>VLOOKUP(A90,'Données projet'!$A$87:$I$107,2,0)</f>
        <v>456.51538461538462</v>
      </c>
      <c r="BB90" s="12">
        <f>VLOOKUP(A90,'Données projet'!$A$87:$I$107,9,0)</f>
        <v>12.124038461538468</v>
      </c>
      <c r="BC90" s="12">
        <f t="array" ref="BC90">INDEX(BB:BB,MIN(IF(ISNUMBER(BB90:BB286),ROW(BB90:BB286),"")))</f>
        <v>12.124038461538468</v>
      </c>
      <c r="BD90" s="12">
        <f>IF('Données projet'!$A$88&gt;35,BD89+BC90-BL89,IF(A90&lt;'Données projet'!$A$88,$BA$205^A90,IF(A90='Données projet'!$A$88,'Données projet'!$B$88,BD89+BC90-BL89)))</f>
        <v>456.51538461538485</v>
      </c>
      <c r="BE90" s="13">
        <f>BD90*VLOOKUP('Données projet'!$B$11,Paramètres!$A$1:$I$89,3,0)*VLOOKUP('Données projet'!$B$11,Paramètres!$A$1:$I$89,5,0)</f>
        <v>213.64920000000012</v>
      </c>
      <c r="BF90" s="13">
        <f t="shared" si="91"/>
        <v>52.732226385923781</v>
      </c>
      <c r="BG90" s="20">
        <f t="shared" si="61"/>
        <v>463.94765095548405</v>
      </c>
      <c r="BH90" s="59">
        <f t="shared" si="62"/>
        <v>757.28098428881731</v>
      </c>
      <c r="BI90" s="59">
        <f ca="1">AVERAGE(OFFSET($BH$3,0,0,'Données projet'!$E$11+1,1))-AVERAGE(OFFSET($H$3,0,0,'Données projet'!$E$11+1,1))</f>
        <v>207.25176714718668</v>
      </c>
      <c r="BJ90" s="59">
        <f t="shared" si="92"/>
        <v>191.53228014642559</v>
      </c>
      <c r="BK90" s="15">
        <f>IF(ISNA(VLOOKUP(A90,'Données projet'!$A$87:$I$107,3,0)),0,VLOOKUP(A90,'Données projet'!$A$87:$I$107,3,0))</f>
        <v>7</v>
      </c>
      <c r="BL90" s="15">
        <f>IF(ISNA(VLOOKUP(A90,'Données projet'!$A$87:$I$107,4,0)),0,VLOOKUP(A90,'Données projet'!$A$87:$I$107,4,0))</f>
        <v>77.330769230769235</v>
      </c>
      <c r="BM90" s="16">
        <f>IF(ISNA(VLOOKUP(A90,'Données projet'!$A$87:$I$107,5,0)),0%,VLOOKUP(A90,'Données projet'!$A$87:$I$107,5,0)*VLOOKUP('Données projet'!$B$11,Paramètres!$A$1:$I$89,7,0))</f>
        <v>0.38500000000000001</v>
      </c>
      <c r="BN90" s="16">
        <f>IF(ISNA(VLOOKUP(A90,'Données projet'!$A$87:$I$107,6,0)),0%,VLOOKUP(A90,'Données projet'!$A$87:$I$107,6,0)*VLOOKUP('Données projet'!$B$11,Paramètres!$A$1:$I$89,7,0))</f>
        <v>9.240000000000001E-2</v>
      </c>
      <c r="BO90" s="16">
        <f>IF(ISNA(VLOOKUP(A90,'Données projet'!$A$87:$I$107,7,0)),0%,VLOOKUP(A90,'Données projet'!$A$87:$I$107,7,0))</f>
        <v>0.13200000000000001</v>
      </c>
      <c r="BP90" s="21">
        <f>EXP(-LN(2)/35)*BP89+(1-EXP(-LN(2)/35))/(LN(2)/35)*BL90*BM90*VLOOKUP('Données projet'!$B$11,Paramètres!$A$1:$I$89,3,0)*0.475*44/12</f>
        <v>78.881023431838884</v>
      </c>
      <c r="BQ90" s="21">
        <f>EXP(-LN(2)/25)*BQ89+(1-EXP(-LN(2)/25))/(LN(2)/25)*Calculateur!BL90*Calculateur!BN90*VLOOKUP('Données projet'!$B$11,Paramètres!$A$1:$I$89,3,0)*0.475*44/12</f>
        <v>26.475256830882337</v>
      </c>
      <c r="BR90" s="21">
        <f>EXP(-LN(2)/2)*BR89+(1-EXP(-LN(2)/2))/(LN(2)/2)*BL90*BO90*VLOOKUP('Données projet'!$B$11,Paramètres!$A$1:$I$89,3,0)*0.475*44/12</f>
        <v>5.770283758285955</v>
      </c>
      <c r="BS90" s="22">
        <f t="shared" si="63"/>
        <v>111.12656402100717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68.620424404221751</v>
      </c>
      <c r="CE90" s="59">
        <f t="shared" si="94"/>
        <v>203.12945099478918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12.552011294494703</v>
      </c>
      <c r="CL90" s="21">
        <f>EXP(-LN(2)/25)*CL89+(1-EXP(-LN(2)/25))/(LN(2)/25)*Calculateur!CG90*Calculateur!CI90*VLOOKUP('Données projet'!$B$12,Paramètres!$A$1:$I$89,3,0)*0.475*44/12</f>
        <v>1.5757605161324282</v>
      </c>
      <c r="CM90" s="21">
        <f>EXP(-LN(2)/2)*CM89+(1-EXP(-LN(2)/2))/(LN(2)/2)*CG90*CJ90*VLOOKUP('Données projet'!$B$12,Paramètres!$A$1:$I$89,3,0)*0.475*44/12</f>
        <v>1.1871758086741912E-9</v>
      </c>
      <c r="CN90" s="22">
        <f t="shared" si="66"/>
        <v>14.127771811814307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6.3000000000000034</v>
      </c>
      <c r="CT90" s="12">
        <f>IF('Données projet'!$A$140&gt;35,CT89+CS90-DB89,IF(A90&lt;'Données projet'!$A$140,$CQ$205^A90,IF(A90='Données projet'!$A$140,'Données projet'!$B$140,CT89+CS90-DB89)))</f>
        <v>322.3384615384611</v>
      </c>
      <c r="CU90" s="17">
        <f>CT90*VLOOKUP('Données projet'!$B$13,Paramètres!$A$1:$I$89,3,0)*VLOOKUP('Données projet'!$B$13,Paramètres!$A$1:$I$89,5,0)</f>
        <v>192.75839999999974</v>
      </c>
      <c r="CV90" s="13">
        <f t="shared" si="95"/>
        <v>48.149283407832236</v>
      </c>
      <c r="CW90" s="20">
        <f t="shared" si="67"/>
        <v>419.58088193530733</v>
      </c>
      <c r="CX90" s="59">
        <f t="shared" si="68"/>
        <v>712.91421526864065</v>
      </c>
      <c r="CY90" s="59">
        <f ca="1">AVERAGE(OFFSET($CX$3,0,0,'Données projet'!$E$13+1,1))-AVERAGE(OFFSET($H$3,0,0,'Données projet'!$E$13+1,1))</f>
        <v>196.25918971690442</v>
      </c>
      <c r="CZ90" s="59">
        <f t="shared" si="96"/>
        <v>148.35701313170205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12.841083535980463</v>
      </c>
      <c r="DG90" s="21">
        <f>EXP(-LN(2)/25)*DG89+(1-EXP(-LN(2)/25))/(LN(2)/25)*Calculateur!DB90*Calculateur!DD90*VLOOKUP('Données projet'!$B$13,Paramètres!$A$1:$I$89,3,0)*0.475*44/12</f>
        <v>22.836085000271723</v>
      </c>
      <c r="DH90" s="21">
        <f>EXP(-LN(2)/2)*DH89+(1-EXP(-LN(2)/2))/(LN(2)/2)*DB90*DE90*VLOOKUP('Données projet'!$B$13,Paramètres!$A$1:$I$89,3,0)*0.475*44/12</f>
        <v>0.82469634369820266</v>
      </c>
      <c r="DI90" s="22">
        <f t="shared" si="69"/>
        <v>36.501864879950382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11">
        <f t="shared" si="86"/>
        <v>12.311931477761863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67">
        <f t="shared" si="56"/>
        <v>386.50541399043533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180.31844548479722</v>
      </c>
      <c r="T91" s="59">
        <f t="shared" si="88"/>
        <v>273.83237400307223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47.848530559978556</v>
      </c>
      <c r="AA91" s="21">
        <f>EXP(-LN(2)/25)*AA90+(1-EXP(-LN(2)/25))/(LN(2)/25)*Calculateur!V91*Calculateur!X91*VLOOKUP('Données projet'!$B$9,Paramètres!$A$1:$I$89,3,0)*0.475*44/12</f>
        <v>66.53592681469668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114.38445737467524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-5.6843418860808015E-14</v>
      </c>
      <c r="AJ91" s="13">
        <f>AI91*VLOOKUP('Données projet'!$B$10,Paramètres!$A$1:$I$89,3,0)*VLOOKUP('Données projet'!$B$10,Paramètres!$A$1:$I$89,5,0)</f>
        <v>-3.1036506698001178E-14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160.54301845388551</v>
      </c>
      <c r="AO91" s="59">
        <f t="shared" si="90"/>
        <v>272.6634844951584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26.06603211933318</v>
      </c>
      <c r="AV91" s="21">
        <f>EXP(-LN(2)/25)*AV90+(1-EXP(-LN(2)/25))/(LN(2)/25)*Calculateur!AQ91*Calculateur!AS91*VLOOKUP('Données projet'!$B$10,Paramètres!$A$1:$I$89,3,0)*0.475*44/12</f>
        <v>39.618119015848805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65.684151135181992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11.242307692307691</v>
      </c>
      <c r="BD91" s="12">
        <f>IF('Données projet'!$A$88&gt;35,BD90+BC91-BL90,IF(A91&lt;'Données projet'!$A$88,$BA$205^A91,IF(A91='Données projet'!$A$88,'Données projet'!$B$88,BD90+BC91-BL90)))</f>
        <v>390.42692307692329</v>
      </c>
      <c r="BE91" s="13">
        <f>BD91*VLOOKUP('Données projet'!$B$11,Paramètres!$A$1:$I$89,3,0)*VLOOKUP('Données projet'!$B$11,Paramètres!$A$1:$I$89,5,0)</f>
        <v>182.71980000000011</v>
      </c>
      <c r="BF91" s="13">
        <f t="shared" si="91"/>
        <v>45.926762394770535</v>
      </c>
      <c r="BG91" s="20">
        <f t="shared" si="61"/>
        <v>398.22609617089216</v>
      </c>
      <c r="BH91" s="59">
        <f t="shared" si="62"/>
        <v>691.55942950422548</v>
      </c>
      <c r="BI91" s="59">
        <f ca="1">AVERAGE(OFFSET($BH$3,0,0,'Données projet'!$E$11+1,1))-AVERAGE(OFFSET($H$3,0,0,'Données projet'!$E$11+1,1))</f>
        <v>207.25176714718668</v>
      </c>
      <c r="BJ91" s="59">
        <f t="shared" si="92"/>
        <v>191.53228014642559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77.334214675014081</v>
      </c>
      <c r="BQ91" s="21">
        <f>EXP(-LN(2)/25)*BQ90+(1-EXP(-LN(2)/25))/(LN(2)/25)*Calculateur!BL91*Calculateur!BN91*VLOOKUP('Données projet'!$B$11,Paramètres!$A$1:$I$89,3,0)*0.475*44/12</f>
        <v>25.751289540568614</v>
      </c>
      <c r="BR91" s="21">
        <f>EXP(-LN(2)/2)*BR90+(1-EXP(-LN(2)/2))/(LN(2)/2)*BL91*BO91*VLOOKUP('Données projet'!$B$11,Paramètres!$A$1:$I$89,3,0)*0.475*44/12</f>
        <v>4.080206774854596</v>
      </c>
      <c r="BS91" s="22">
        <f t="shared" si="63"/>
        <v>107.16571099043729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68.620424404221751</v>
      </c>
      <c r="CE91" s="59">
        <f t="shared" si="94"/>
        <v>203.12945099478918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12.305874008980586</v>
      </c>
      <c r="CL91" s="21">
        <f>EXP(-LN(2)/25)*CL90+(1-EXP(-LN(2)/25))/(LN(2)/25)*Calculateur!CG91*Calculateur!CI91*VLOOKUP('Données projet'!$B$12,Paramètres!$A$1:$I$89,3,0)*0.475*44/12</f>
        <v>1.5326712619531428</v>
      </c>
      <c r="CM91" s="21">
        <f>EXP(-LN(2)/2)*CM90+(1-EXP(-LN(2)/2))/(LN(2)/2)*CG91*CJ91*VLOOKUP('Données projet'!$B$12,Paramètres!$A$1:$I$89,3,0)*0.475*44/12</f>
        <v>8.3946006477414391E-10</v>
      </c>
      <c r="CN91" s="22">
        <f t="shared" si="66"/>
        <v>13.838545271773189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6.3000000000000034</v>
      </c>
      <c r="CT91" s="12">
        <f>IF('Données projet'!$A$140&gt;35,CT90+CS91-DB90,IF(A91&lt;'Données projet'!$A$140,$CQ$205^A91,IF(A91='Données projet'!$A$140,'Données projet'!$B$140,CT90+CS91-DB90)))</f>
        <v>328.63846153846112</v>
      </c>
      <c r="CU91" s="17">
        <f>CT91*VLOOKUP('Données projet'!$B$13,Paramètres!$A$1:$I$89,3,0)*VLOOKUP('Données projet'!$B$13,Paramètres!$A$1:$I$89,5,0)</f>
        <v>196.52579999999975</v>
      </c>
      <c r="CV91" s="13">
        <f t="shared" si="95"/>
        <v>48.9798667658537</v>
      </c>
      <c r="CW91" s="20">
        <f t="shared" si="67"/>
        <v>427.58903628386139</v>
      </c>
      <c r="CX91" s="59">
        <f t="shared" si="68"/>
        <v>720.9223696171947</v>
      </c>
      <c r="CY91" s="59">
        <f ca="1">AVERAGE(OFFSET($CX$3,0,0,'Données projet'!$E$13+1,1))-AVERAGE(OFFSET($H$3,0,0,'Données projet'!$E$13+1,1))</f>
        <v>196.25918971690442</v>
      </c>
      <c r="CZ91" s="59">
        <f t="shared" si="96"/>
        <v>148.35701313170205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12.58927772012747</v>
      </c>
      <c r="DG91" s="21">
        <f>EXP(-LN(2)/25)*DG90+(1-EXP(-LN(2)/25))/(LN(2)/25)*Calculateur!DB91*Calculateur!DD91*VLOOKUP('Données projet'!$B$13,Paramètres!$A$1:$I$89,3,0)*0.475*44/12</f>
        <v>22.211631055041774</v>
      </c>
      <c r="DH91" s="21">
        <f>EXP(-LN(2)/2)*DH90+(1-EXP(-LN(2)/2))/(LN(2)/2)*DB91*DE91*VLOOKUP('Données projet'!$B$13,Paramètres!$A$1:$I$89,3,0)*0.475*44/12</f>
        <v>0.58314837704875078</v>
      </c>
      <c r="DI91" s="22">
        <f t="shared" si="69"/>
        <v>35.384057152217999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11">
        <f t="shared" si="86"/>
        <v>12.435473046397316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67">
        <f t="shared" si="56"/>
        <v>387.53568222247543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180.31844548479722</v>
      </c>
      <c r="T92" s="59">
        <f t="shared" si="88"/>
        <v>273.83237400307223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46.910250060419266</v>
      </c>
      <c r="AA92" s="21">
        <f>EXP(-LN(2)/25)*AA91+(1-EXP(-LN(2)/25))/(LN(2)/25)*Calculateur!V92*Calculateur!X92*VLOOKUP('Données projet'!$B$9,Paramètres!$A$1:$I$89,3,0)*0.475*44/12</f>
        <v>64.716498396976476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111.62674845739573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-5.6843418860808015E-14</v>
      </c>
      <c r="AJ92" s="13">
        <f>AI92*VLOOKUP('Données projet'!$B$10,Paramètres!$A$1:$I$89,3,0)*VLOOKUP('Données projet'!$B$10,Paramètres!$A$1:$I$89,5,0)</f>
        <v>-3.1036506698001178E-14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160.54301845388551</v>
      </c>
      <c r="AO92" s="59">
        <f t="shared" si="90"/>
        <v>272.6634844951584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25.554893128182783</v>
      </c>
      <c r="AV92" s="21">
        <f>EXP(-LN(2)/25)*AV91+(1-EXP(-LN(2)/25))/(LN(2)/25)*Calculateur!AQ92*Calculateur!AS92*VLOOKUP('Données projet'!$B$10,Paramètres!$A$1:$I$89,3,0)*0.475*44/12</f>
        <v>38.534759467934087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64.089652596116878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11.242307692307691</v>
      </c>
      <c r="BD92" s="12">
        <f>IF('Données projet'!$A$88&gt;35,BD91+BC92-BL91,IF(A92&lt;'Données projet'!$A$88,$BA$205^A92,IF(A92='Données projet'!$A$88,'Données projet'!$B$88,BD91+BC92-BL91)))</f>
        <v>401.66923076923098</v>
      </c>
      <c r="BE92" s="13">
        <f>BD92*VLOOKUP('Données projet'!$B$11,Paramètres!$A$1:$I$89,3,0)*VLOOKUP('Données projet'!$B$11,Paramètres!$A$1:$I$89,5,0)</f>
        <v>187.98120000000011</v>
      </c>
      <c r="BF92" s="13">
        <f t="shared" si="91"/>
        <v>47.093347732155607</v>
      </c>
      <c r="BG92" s="20">
        <f t="shared" si="61"/>
        <v>409.42150396683786</v>
      </c>
      <c r="BH92" s="59">
        <f t="shared" si="62"/>
        <v>702.75483730017118</v>
      </c>
      <c r="BI92" s="59">
        <f ca="1">AVERAGE(OFFSET($BH$3,0,0,'Données projet'!$E$11+1,1))-AVERAGE(OFFSET($H$3,0,0,'Données projet'!$E$11+1,1))</f>
        <v>207.25176714718668</v>
      </c>
      <c r="BJ92" s="59">
        <f t="shared" si="92"/>
        <v>191.53228014642559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75.817737894450431</v>
      </c>
      <c r="BQ92" s="21">
        <f>EXP(-LN(2)/25)*BQ91+(1-EXP(-LN(2)/25))/(LN(2)/25)*Calculateur!BL92*Calculateur!BN92*VLOOKUP('Données projet'!$B$11,Paramètres!$A$1:$I$89,3,0)*0.475*44/12</f>
        <v>25.047119173880304</v>
      </c>
      <c r="BR92" s="21">
        <f>EXP(-LN(2)/2)*BR91+(1-EXP(-LN(2)/2))/(LN(2)/2)*BL92*BO92*VLOOKUP('Données projet'!$B$11,Paramètres!$A$1:$I$89,3,0)*0.475*44/12</f>
        <v>2.8851418791429779</v>
      </c>
      <c r="BS92" s="22">
        <f t="shared" si="63"/>
        <v>103.74999894747371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68.620424404221751</v>
      </c>
      <c r="CE92" s="59">
        <f t="shared" si="94"/>
        <v>203.12945099478918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12.064563325506482</v>
      </c>
      <c r="CL92" s="21">
        <f>EXP(-LN(2)/25)*CL91+(1-EXP(-LN(2)/25))/(LN(2)/25)*Calculateur!CG92*Calculateur!CI92*VLOOKUP('Données projet'!$B$12,Paramètres!$A$1:$I$89,3,0)*0.475*44/12</f>
        <v>1.4907602856953555</v>
      </c>
      <c r="CM92" s="21">
        <f>EXP(-LN(2)/2)*CM91+(1-EXP(-LN(2)/2))/(LN(2)/2)*CG92*CJ92*VLOOKUP('Données projet'!$B$12,Paramètres!$A$1:$I$89,3,0)*0.475*44/12</f>
        <v>5.9358790433709558E-10</v>
      </c>
      <c r="CN92" s="22">
        <f t="shared" si="66"/>
        <v>13.555323611795425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6.3000000000000034</v>
      </c>
      <c r="CT92" s="12">
        <f>IF('Données projet'!$A$140&gt;35,CT91+CS92-DB91,IF(A92&lt;'Données projet'!$A$140,$CQ$205^A92,IF(A92='Données projet'!$A$140,'Données projet'!$B$140,CT91+CS92-DB91)))</f>
        <v>334.93846153846113</v>
      </c>
      <c r="CU92" s="17">
        <f>CT92*VLOOKUP('Données projet'!$B$13,Paramètres!$A$1:$I$89,3,0)*VLOOKUP('Données projet'!$B$13,Paramètres!$A$1:$I$89,5,0)</f>
        <v>200.29319999999979</v>
      </c>
      <c r="CV92" s="13">
        <f t="shared" si="95"/>
        <v>49.808598716300573</v>
      </c>
      <c r="CW92" s="20">
        <f t="shared" si="67"/>
        <v>435.5939660975564</v>
      </c>
      <c r="CX92" s="59">
        <f t="shared" si="68"/>
        <v>728.92729943088966</v>
      </c>
      <c r="CY92" s="59">
        <f ca="1">AVERAGE(OFFSET($CX$3,0,0,'Données projet'!$E$13+1,1))-AVERAGE(OFFSET($H$3,0,0,'Données projet'!$E$13+1,1))</f>
        <v>196.25918971690442</v>
      </c>
      <c r="CZ92" s="59">
        <f t="shared" si="96"/>
        <v>148.35701313170205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12.342409662736971</v>
      </c>
      <c r="DG92" s="21">
        <f>EXP(-LN(2)/25)*DG91+(1-EXP(-LN(2)/25))/(LN(2)/25)*Calculateur!DB92*Calculateur!DD92*VLOOKUP('Données projet'!$B$13,Paramètres!$A$1:$I$89,3,0)*0.475*44/12</f>
        <v>21.604252835782745</v>
      </c>
      <c r="DH92" s="21">
        <f>EXP(-LN(2)/2)*DH91+(1-EXP(-LN(2)/2))/(LN(2)/2)*DB92*DE92*VLOOKUP('Données projet'!$B$13,Paramètres!$A$1:$I$89,3,0)*0.475*44/12</f>
        <v>0.41234817184910133</v>
      </c>
      <c r="DI92" s="22">
        <f t="shared" si="69"/>
        <v>34.359010670368818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11">
        <f t="shared" si="86"/>
        <v>12.558853141338776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67">
        <f t="shared" si="56"/>
        <v>388.56566922116514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180.31844548479722</v>
      </c>
      <c r="T93" s="59">
        <f t="shared" si="88"/>
        <v>273.83237400307223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45.990368669161739</v>
      </c>
      <c r="AA93" s="21">
        <f>EXP(-LN(2)/25)*AA92+(1-EXP(-LN(2)/25))/(LN(2)/25)*Calculateur!V93*Calculateur!X93*VLOOKUP('Données projet'!$B$9,Paramètres!$A$1:$I$89,3,0)*0.475*44/12</f>
        <v>62.946822345018418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108.93719101418016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-5.6843418860808015E-14</v>
      </c>
      <c r="AJ93" s="13">
        <f>AI93*VLOOKUP('Données projet'!$B$10,Paramètres!$A$1:$I$89,3,0)*VLOOKUP('Données projet'!$B$10,Paramètres!$A$1:$I$89,5,0)</f>
        <v>-3.1036506698001178E-14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160.54301845388551</v>
      </c>
      <c r="AO93" s="59">
        <f t="shared" si="90"/>
        <v>272.6634844951584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25.053777260884843</v>
      </c>
      <c r="AV93" s="21">
        <f>EXP(-LN(2)/25)*AV92+(1-EXP(-LN(2)/25))/(LN(2)/25)*Calculateur!AQ93*Calculateur!AS93*VLOOKUP('Données projet'!$B$10,Paramètres!$A$1:$I$89,3,0)*0.475*44/12</f>
        <v>37.481024443828503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62.534801704713345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11.242307692307691</v>
      </c>
      <c r="BD93" s="12">
        <f>IF('Données projet'!$A$88&gt;35,BD92+BC93-BL92,IF(A93&lt;'Données projet'!$A$88,$BA$205^A93,IF(A93='Données projet'!$A$88,'Données projet'!$B$88,BD92+BC93-BL92)))</f>
        <v>412.91153846153867</v>
      </c>
      <c r="BE93" s="13">
        <f>BD93*VLOOKUP('Données projet'!$B$11,Paramètres!$A$1:$I$89,3,0)*VLOOKUP('Données projet'!$B$11,Paramètres!$A$1:$I$89,5,0)</f>
        <v>193.2426000000001</v>
      </c>
      <c r="BF93" s="13">
        <f t="shared" si="91"/>
        <v>48.256138093290417</v>
      </c>
      <c r="BG93" s="20">
        <f t="shared" si="61"/>
        <v>420.6103021791476</v>
      </c>
      <c r="BH93" s="59">
        <f t="shared" si="62"/>
        <v>713.94363551248091</v>
      </c>
      <c r="BI93" s="59">
        <f ca="1">AVERAGE(OFFSET($BH$3,0,0,'Données projet'!$E$11+1,1))-AVERAGE(OFFSET($H$3,0,0,'Données projet'!$E$11+1,1))</f>
        <v>207.25176714718668</v>
      </c>
      <c r="BJ93" s="59">
        <f t="shared" si="92"/>
        <v>191.53228014642559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74.330998298594139</v>
      </c>
      <c r="BQ93" s="21">
        <f>EXP(-LN(2)/25)*BQ92+(1-EXP(-LN(2)/25))/(LN(2)/25)*Calculateur!BL93*Calculateur!BN93*VLOOKUP('Données projet'!$B$11,Paramètres!$A$1:$I$89,3,0)*0.475*44/12</f>
        <v>24.362204382899797</v>
      </c>
      <c r="BR93" s="21">
        <f>EXP(-LN(2)/2)*BR92+(1-EXP(-LN(2)/2))/(LN(2)/2)*BL93*BO93*VLOOKUP('Données projet'!$B$11,Paramètres!$A$1:$I$89,3,0)*0.475*44/12</f>
        <v>2.0401033874272985</v>
      </c>
      <c r="BS93" s="22">
        <f t="shared" si="63"/>
        <v>100.73330606892124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68.620424404221751</v>
      </c>
      <c r="CE93" s="59">
        <f t="shared" si="94"/>
        <v>203.12945099478918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11.827984597350321</v>
      </c>
      <c r="CL93" s="21">
        <f>EXP(-LN(2)/25)*CL92+(1-EXP(-LN(2)/25))/(LN(2)/25)*Calculateur!CG93*Calculateur!CI93*VLOOKUP('Données projet'!$B$12,Paramètres!$A$1:$I$89,3,0)*0.475*44/12</f>
        <v>1.4499953672873398</v>
      </c>
      <c r="CM93" s="21">
        <f>EXP(-LN(2)/2)*CM92+(1-EXP(-LN(2)/2))/(LN(2)/2)*CG93*CJ93*VLOOKUP('Données projet'!$B$12,Paramètres!$A$1:$I$89,3,0)*0.475*44/12</f>
        <v>4.1973003238707196E-10</v>
      </c>
      <c r="CN93" s="22">
        <f t="shared" si="66"/>
        <v>13.277979965057391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6.3000000000000034</v>
      </c>
      <c r="CT93" s="12">
        <f>IF('Données projet'!$A$140&gt;35,CT92+CS93-DB92,IF(A93&lt;'Données projet'!$A$140,$CQ$205^A93,IF(A93='Données projet'!$A$140,'Données projet'!$B$140,CT92+CS93-DB92)))</f>
        <v>341.23846153846114</v>
      </c>
      <c r="CU93" s="17">
        <f>CT93*VLOOKUP('Données projet'!$B$13,Paramètres!$A$1:$I$89,3,0)*VLOOKUP('Données projet'!$B$13,Paramètres!$A$1:$I$89,5,0)</f>
        <v>204.06059999999977</v>
      </c>
      <c r="CV93" s="13">
        <f t="shared" si="95"/>
        <v>50.635518098680173</v>
      </c>
      <c r="CW93" s="20">
        <f t="shared" si="67"/>
        <v>443.59573902186753</v>
      </c>
      <c r="CX93" s="59">
        <f t="shared" si="68"/>
        <v>736.92907235520079</v>
      </c>
      <c r="CY93" s="59">
        <f ca="1">AVERAGE(OFFSET($CX$3,0,0,'Données projet'!$E$13+1,1))-AVERAGE(OFFSET($H$3,0,0,'Données projet'!$E$13+1,1))</f>
        <v>196.25918971690442</v>
      </c>
      <c r="CZ93" s="59">
        <f t="shared" si="96"/>
        <v>148.35701313170205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12.100382537377252</v>
      </c>
      <c r="DG93" s="21">
        <f>EXP(-LN(2)/25)*DG92+(1-EXP(-LN(2)/25))/(LN(2)/25)*Calculateur!DB93*Calculateur!DD93*VLOOKUP('Données projet'!$B$13,Paramètres!$A$1:$I$89,3,0)*0.475*44/12</f>
        <v>21.013483405869987</v>
      </c>
      <c r="DH93" s="21">
        <f>EXP(-LN(2)/2)*DH92+(1-EXP(-LN(2)/2))/(LN(2)/2)*DB93*DE93*VLOOKUP('Données projet'!$B$13,Paramètres!$A$1:$I$89,3,0)*0.475*44/12</f>
        <v>0.29157418852437539</v>
      </c>
      <c r="DI93" s="22">
        <f t="shared" si="69"/>
        <v>33.405440131771613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11">
        <f t="shared" si="86"/>
        <v>12.682073764365786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67">
        <f t="shared" si="56"/>
        <v>389.59537847293717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180.31844548479722</v>
      </c>
      <c r="T94" s="59">
        <f t="shared" si="88"/>
        <v>273.83237400307223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45.088525590914522</v>
      </c>
      <c r="AA94" s="21">
        <f>EXP(-LN(2)/25)*AA93+(1-EXP(-LN(2)/25))/(LN(2)/25)*Calculateur!V94*Calculateur!X94*VLOOKUP('Données projet'!$B$9,Paramètres!$A$1:$I$89,3,0)*0.475*44/12</f>
        <v>61.225538177764371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106.31406376867889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-5.6843418860808015E-14</v>
      </c>
      <c r="AJ94" s="13">
        <f>AI94*VLOOKUP('Données projet'!$B$10,Paramètres!$A$1:$I$89,3,0)*VLOOKUP('Données projet'!$B$10,Paramètres!$A$1:$I$89,5,0)</f>
        <v>-3.1036506698001178E-14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160.54301845388551</v>
      </c>
      <c r="AO94" s="59">
        <f t="shared" si="90"/>
        <v>272.6634844951584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24.562487970094118</v>
      </c>
      <c r="AV94" s="21">
        <f>EXP(-LN(2)/25)*AV93+(1-EXP(-LN(2)/25))/(LN(2)/25)*Calculateur!AQ94*Calculateur!AS94*VLOOKUP('Données projet'!$B$10,Paramètres!$A$1:$I$89,3,0)*0.475*44/12</f>
        <v>36.4561038593706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61.018591829464718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11.242307692307691</v>
      </c>
      <c r="BD94" s="12">
        <f>IF('Données projet'!$A$88&gt;35,BD93+BC94-BL93,IF(A94&lt;'Données projet'!$A$88,$BA$205^A94,IF(A94='Données projet'!$A$88,'Données projet'!$B$88,BD93+BC94-BL93)))</f>
        <v>424.15384615384636</v>
      </c>
      <c r="BE94" s="13">
        <f>BD94*VLOOKUP('Données projet'!$B$11,Paramètres!$A$1:$I$89,3,0)*VLOOKUP('Données projet'!$B$11,Paramètres!$A$1:$I$89,5,0)</f>
        <v>198.5040000000001</v>
      </c>
      <c r="BF94" s="13">
        <f t="shared" si="91"/>
        <v>49.415248676990458</v>
      </c>
      <c r="BG94" s="20">
        <f t="shared" si="61"/>
        <v>431.79269144575846</v>
      </c>
      <c r="BH94" s="59">
        <f t="shared" si="62"/>
        <v>725.12602477909172</v>
      </c>
      <c r="BI94" s="59">
        <f ca="1">AVERAGE(OFFSET($BH$3,0,0,'Données projet'!$E$11+1,1))-AVERAGE(OFFSET($H$3,0,0,'Données projet'!$E$11+1,1))</f>
        <v>207.25176714718668</v>
      </c>
      <c r="BJ94" s="59">
        <f t="shared" si="92"/>
        <v>191.53228014642559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72.873412759390973</v>
      </c>
      <c r="BQ94" s="21">
        <f>EXP(-LN(2)/25)*BQ93+(1-EXP(-LN(2)/25))/(LN(2)/25)*Calculateur!BL94*Calculateur!BN94*VLOOKUP('Données projet'!$B$11,Paramètres!$A$1:$I$89,3,0)*0.475*44/12</f>
        <v>23.696018622896755</v>
      </c>
      <c r="BR94" s="21">
        <f>EXP(-LN(2)/2)*BR93+(1-EXP(-LN(2)/2))/(LN(2)/2)*BL94*BO94*VLOOKUP('Données projet'!$B$11,Paramètres!$A$1:$I$89,3,0)*0.475*44/12</f>
        <v>1.4425709395714892</v>
      </c>
      <c r="BS94" s="22">
        <f t="shared" si="63"/>
        <v>98.012002321859228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68.620424404221751</v>
      </c>
      <c r="CE94" s="59">
        <f t="shared" si="94"/>
        <v>203.12945099478918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11.596045033754526</v>
      </c>
      <c r="CL94" s="21">
        <f>EXP(-LN(2)/25)*CL93+(1-EXP(-LN(2)/25))/(LN(2)/25)*Calculateur!CG94*Calculateur!CI94*VLOOKUP('Données projet'!$B$12,Paramètres!$A$1:$I$89,3,0)*0.475*44/12</f>
        <v>1.4103451677169252</v>
      </c>
      <c r="CM94" s="21">
        <f>EXP(-LN(2)/2)*CM93+(1-EXP(-LN(2)/2))/(LN(2)/2)*CG94*CJ94*VLOOKUP('Données projet'!$B$12,Paramètres!$A$1:$I$89,3,0)*0.475*44/12</f>
        <v>2.9679395216854779E-10</v>
      </c>
      <c r="CN94" s="22">
        <f t="shared" si="66"/>
        <v>13.006390201768244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6.3000000000000034</v>
      </c>
      <c r="CT94" s="12">
        <f>IF('Données projet'!$A$140&gt;35,CT93+CS94-DB93,IF(A94&lt;'Données projet'!$A$140,$CQ$205^A94,IF(A94='Données projet'!$A$140,'Données projet'!$B$140,CT93+CS94-DB93)))</f>
        <v>347.53846153846115</v>
      </c>
      <c r="CU94" s="17">
        <f>CT94*VLOOKUP('Données projet'!$B$13,Paramètres!$A$1:$I$89,3,0)*VLOOKUP('Données projet'!$B$13,Paramètres!$A$1:$I$89,5,0)</f>
        <v>207.82799999999978</v>
      </c>
      <c r="CV94" s="13">
        <f t="shared" si="95"/>
        <v>51.460662236282737</v>
      </c>
      <c r="CW94" s="20">
        <f t="shared" si="67"/>
        <v>451.59442006152534</v>
      </c>
      <c r="CX94" s="59">
        <f t="shared" si="68"/>
        <v>744.92775339485866</v>
      </c>
      <c r="CY94" s="59">
        <f ca="1">AVERAGE(OFFSET($CX$3,0,0,'Données projet'!$E$13+1,1))-AVERAGE(OFFSET($H$3,0,0,'Données projet'!$E$13+1,1))</f>
        <v>196.25918971690442</v>
      </c>
      <c r="CZ94" s="59">
        <f t="shared" si="96"/>
        <v>148.35701313170205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11.863101416323868</v>
      </c>
      <c r="DG94" s="21">
        <f>EXP(-LN(2)/25)*DG93+(1-EXP(-LN(2)/25))/(LN(2)/25)*Calculateur!DB94*Calculateur!DD94*VLOOKUP('Données projet'!$B$13,Paramètres!$A$1:$I$89,3,0)*0.475*44/12</f>
        <v>20.438868597085406</v>
      </c>
      <c r="DH94" s="21">
        <f>EXP(-LN(2)/2)*DH93+(1-EXP(-LN(2)/2))/(LN(2)/2)*DB94*DE94*VLOOKUP('Données projet'!$B$13,Paramètres!$A$1:$I$89,3,0)*0.475*44/12</f>
        <v>0.20617408592455067</v>
      </c>
      <c r="DI94" s="22">
        <f t="shared" si="69"/>
        <v>32.508144099333826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11">
        <f t="shared" si="86"/>
        <v>12.805136870729203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67">
        <f t="shared" si="56"/>
        <v>390.62481338318679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180.31844548479722</v>
      </c>
      <c r="T95" s="59">
        <f t="shared" si="88"/>
        <v>273.83237400307223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44.204367105361769</v>
      </c>
      <c r="AA95" s="21">
        <f>EXP(-LN(2)/25)*AA94+(1-EXP(-LN(2)/25))/(LN(2)/25)*Calculateur!V95*Calculateur!X95*VLOOKUP('Données projet'!$B$9,Paramètres!$A$1:$I$89,3,0)*0.475*44/12</f>
        <v>59.551322616582283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103.75568972194405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-5.6843418860808015E-14</v>
      </c>
      <c r="AJ95" s="13">
        <f>AI95*VLOOKUP('Données projet'!$B$10,Paramètres!$A$1:$I$89,3,0)*VLOOKUP('Données projet'!$B$10,Paramètres!$A$1:$I$89,5,0)</f>
        <v>-3.1036506698001178E-14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160.54301845388551</v>
      </c>
      <c r="AO95" s="59">
        <f t="shared" si="90"/>
        <v>272.6634844951584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24.080832562638921</v>
      </c>
      <c r="AV95" s="21">
        <f>EXP(-LN(2)/25)*AV94+(1-EXP(-LN(2)/25))/(LN(2)/25)*Calculateur!AQ95*Calculateur!AS95*VLOOKUP('Données projet'!$B$10,Paramètres!$A$1:$I$89,3,0)*0.475*44/12</f>
        <v>35.459209782192929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59.540042344831846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11.242307692307691</v>
      </c>
      <c r="BD95" s="12">
        <f>IF('Données projet'!$A$88&gt;35,BD94+BC95-BL94,IF(A95&lt;'Données projet'!$A$88,$BA$205^A95,IF(A95='Données projet'!$A$88,'Données projet'!$B$88,BD94+BC95-BL94)))</f>
        <v>435.39615384615405</v>
      </c>
      <c r="BE95" s="13">
        <f>BD95*VLOOKUP('Données projet'!$B$11,Paramètres!$A$1:$I$89,3,0)*VLOOKUP('Données projet'!$B$11,Paramètres!$A$1:$I$89,5,0)</f>
        <v>203.76540000000008</v>
      </c>
      <c r="BF95" s="13">
        <f t="shared" si="91"/>
        <v>50.570788227585879</v>
      </c>
      <c r="BG95" s="20">
        <f t="shared" si="61"/>
        <v>442.96886116304557</v>
      </c>
      <c r="BH95" s="59">
        <f t="shared" si="62"/>
        <v>736.30219449637889</v>
      </c>
      <c r="BI95" s="59">
        <f ca="1">AVERAGE(OFFSET($BH$3,0,0,'Données projet'!$E$11+1,1))-AVERAGE(OFFSET($H$3,0,0,'Données projet'!$E$11+1,1))</f>
        <v>207.25176714718668</v>
      </c>
      <c r="BJ95" s="59">
        <f t="shared" si="92"/>
        <v>191.53228014642559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71.444409583572181</v>
      </c>
      <c r="BQ95" s="21">
        <f>EXP(-LN(2)/25)*BQ94+(1-EXP(-LN(2)/25))/(LN(2)/25)*Calculateur!BL95*Calculateur!BN95*VLOOKUP('Données projet'!$B$11,Paramètres!$A$1:$I$89,3,0)*0.475*44/12</f>
        <v>23.048049747534183</v>
      </c>
      <c r="BR95" s="21">
        <f>EXP(-LN(2)/2)*BR94+(1-EXP(-LN(2)/2))/(LN(2)/2)*BL95*BO95*VLOOKUP('Données projet'!$B$11,Paramètres!$A$1:$I$89,3,0)*0.475*44/12</f>
        <v>1.0200516937136495</v>
      </c>
      <c r="BS95" s="22">
        <f t="shared" si="63"/>
        <v>95.512511024820014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68.620424404221751</v>
      </c>
      <c r="CE95" s="59">
        <f t="shared" si="94"/>
        <v>203.12945099478918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11.368653663531681</v>
      </c>
      <c r="CL95" s="21">
        <f>EXP(-LN(2)/25)*CL94+(1-EXP(-LN(2)/25))/(LN(2)/25)*Calculateur!CG95*Calculateur!CI95*VLOOKUP('Données projet'!$B$12,Paramètres!$A$1:$I$89,3,0)*0.475*44/12</f>
        <v>1.3717792049388768</v>
      </c>
      <c r="CM95" s="21">
        <f>EXP(-LN(2)/2)*CM94+(1-EXP(-LN(2)/2))/(LN(2)/2)*CG95*CJ95*VLOOKUP('Données projet'!$B$12,Paramètres!$A$1:$I$89,3,0)*0.475*44/12</f>
        <v>2.0986501619353598E-10</v>
      </c>
      <c r="CN95" s="22">
        <f t="shared" si="66"/>
        <v>12.740432868680424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6.3000000000000034</v>
      </c>
      <c r="CT95" s="12">
        <f>IF('Données projet'!$A$140&gt;35,CT94+CS95-DB94,IF(A95&lt;'Données projet'!$A$140,$CQ$205^A95,IF(A95='Données projet'!$A$140,'Données projet'!$B$140,CT94+CS95-DB94)))</f>
        <v>353.83846153846116</v>
      </c>
      <c r="CU95" s="17">
        <f>CT95*VLOOKUP('Données projet'!$B$13,Paramètres!$A$1:$I$89,3,0)*VLOOKUP('Données projet'!$B$13,Paramètres!$A$1:$I$89,5,0)</f>
        <v>211.59539999999981</v>
      </c>
      <c r="CV95" s="13">
        <f t="shared" si="95"/>
        <v>52.284067021764741</v>
      </c>
      <c r="CW95" s="20">
        <f t="shared" si="67"/>
        <v>459.59007172957325</v>
      </c>
      <c r="CX95" s="59">
        <f t="shared" si="68"/>
        <v>752.92340506290657</v>
      </c>
      <c r="CY95" s="59">
        <f ca="1">AVERAGE(OFFSET($CX$3,0,0,'Données projet'!$E$13+1,1))-AVERAGE(OFFSET($H$3,0,0,'Données projet'!$E$13+1,1))</f>
        <v>196.25918971690442</v>
      </c>
      <c r="CZ95" s="59">
        <f t="shared" si="96"/>
        <v>148.35701313170205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11.630473233327148</v>
      </c>
      <c r="DG95" s="21">
        <f>EXP(-LN(2)/25)*DG94+(1-EXP(-LN(2)/25))/(LN(2)/25)*Calculateur!DB95*Calculateur!DD95*VLOOKUP('Données projet'!$B$13,Paramètres!$A$1:$I$89,3,0)*0.475*44/12</f>
        <v>19.879966660464721</v>
      </c>
      <c r="DH95" s="21">
        <f>EXP(-LN(2)/2)*DH94+(1-EXP(-LN(2)/2))/(LN(2)/2)*DB95*DE95*VLOOKUP('Données projet'!$B$13,Paramètres!$A$1:$I$89,3,0)*0.475*44/12</f>
        <v>0.14578709426218769</v>
      </c>
      <c r="DI95" s="22">
        <f t="shared" si="69"/>
        <v>31.656226988054055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11">
        <f t="shared" si="86"/>
        <v>12.928044370726413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67">
        <f t="shared" si="56"/>
        <v>391.65397727901529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180.31844548479722</v>
      </c>
      <c r="T96" s="59">
        <f t="shared" si="88"/>
        <v>273.83237400307223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43.337546428427281</v>
      </c>
      <c r="AA96" s="21">
        <f>EXP(-LN(2)/25)*AA95+(1-EXP(-LN(2)/25))/(LN(2)/25)*Calculateur!V96*Calculateur!X96*VLOOKUP('Données projet'!$B$9,Paramètres!$A$1:$I$89,3,0)*0.475*44/12</f>
        <v>57.922888567963888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101.26043499639117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-5.6843418860808015E-14</v>
      </c>
      <c r="AJ96" s="13">
        <f>AI96*VLOOKUP('Données projet'!$B$10,Paramètres!$A$1:$I$89,3,0)*VLOOKUP('Données projet'!$B$10,Paramètres!$A$1:$I$89,5,0)</f>
        <v>-3.1036506698001178E-14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160.54301845388551</v>
      </c>
      <c r="AO96" s="59">
        <f t="shared" si="90"/>
        <v>272.6634844951584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23.608622123943128</v>
      </c>
      <c r="AV96" s="21">
        <f>EXP(-LN(2)/25)*AV95+(1-EXP(-LN(2)/25))/(LN(2)/25)*Calculateur!AQ96*Calculateur!AS96*VLOOKUP('Données projet'!$B$10,Paramètres!$A$1:$I$89,3,0)*0.475*44/12</f>
        <v>34.489575825980062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58.09819794992319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11.242307692307691</v>
      </c>
      <c r="BD96" s="12">
        <f>IF('Données projet'!$A$88&gt;35,BD95+BC96-BL95,IF(A96&lt;'Données projet'!$A$88,$BA$205^A96,IF(A96='Données projet'!$A$88,'Données projet'!$B$88,BD95+BC96-BL95)))</f>
        <v>446.63846153846174</v>
      </c>
      <c r="BE96" s="13">
        <f>BD96*VLOOKUP('Données projet'!$B$11,Paramètres!$A$1:$I$89,3,0)*VLOOKUP('Données projet'!$B$11,Paramètres!$A$1:$I$89,5,0)</f>
        <v>209.02680000000009</v>
      </c>
      <c r="BF96" s="13">
        <f t="shared" si="91"/>
        <v>51.722859553755349</v>
      </c>
      <c r="BG96" s="20">
        <f t="shared" si="61"/>
        <v>454.13899038945743</v>
      </c>
      <c r="BH96" s="59">
        <f t="shared" si="62"/>
        <v>747.47232372279075</v>
      </c>
      <c r="BI96" s="59">
        <f ca="1">AVERAGE(OFFSET($BH$3,0,0,'Données projet'!$E$11+1,1))-AVERAGE(OFFSET($H$3,0,0,'Données projet'!$E$11+1,1))</f>
        <v>207.25176714718668</v>
      </c>
      <c r="BJ96" s="59">
        <f t="shared" si="92"/>
        <v>191.53228014642559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70.043428288425332</v>
      </c>
      <c r="BQ96" s="21">
        <f>EXP(-LN(2)/25)*BQ95+(1-EXP(-LN(2)/25))/(LN(2)/25)*Calculateur!BL96*Calculateur!BN96*VLOOKUP('Données projet'!$B$11,Paramètres!$A$1:$I$89,3,0)*0.475*44/12</f>
        <v>22.417799615143601</v>
      </c>
      <c r="BR96" s="21">
        <f>EXP(-LN(2)/2)*BR95+(1-EXP(-LN(2)/2))/(LN(2)/2)*BL96*BO96*VLOOKUP('Données projet'!$B$11,Paramètres!$A$1:$I$89,3,0)*0.475*44/12</f>
        <v>0.72128546978574481</v>
      </c>
      <c r="BS96" s="22">
        <f t="shared" si="63"/>
        <v>93.182513373354666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68.620424404221751</v>
      </c>
      <c r="CE96" s="59">
        <f t="shared" si="94"/>
        <v>203.12945099478918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11.145721299383865</v>
      </c>
      <c r="CL96" s="21">
        <f>EXP(-LN(2)/25)*CL95+(1-EXP(-LN(2)/25))/(LN(2)/25)*Calculateur!CG96*Calculateur!CI96*VLOOKUP('Données projet'!$B$12,Paramètres!$A$1:$I$89,3,0)*0.475*44/12</f>
        <v>1.3342678304410902</v>
      </c>
      <c r="CM96" s="21">
        <f>EXP(-LN(2)/2)*CM95+(1-EXP(-LN(2)/2))/(LN(2)/2)*CG96*CJ96*VLOOKUP('Données projet'!$B$12,Paramètres!$A$1:$I$89,3,0)*0.475*44/12</f>
        <v>1.483969760842739E-10</v>
      </c>
      <c r="CN96" s="22">
        <f t="shared" si="66"/>
        <v>12.479989129973353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6.3000000000000034</v>
      </c>
      <c r="CT96" s="12">
        <f>IF('Données projet'!$A$140&gt;35,CT95+CS96-DB95,IF(A96&lt;'Données projet'!$A$140,$CQ$205^A96,IF(A96='Données projet'!$A$140,'Données projet'!$B$140,CT95+CS96-DB95)))</f>
        <v>360.13846153846117</v>
      </c>
      <c r="CU96" s="17">
        <f>CT96*VLOOKUP('Données projet'!$B$13,Paramètres!$A$1:$I$89,3,0)*VLOOKUP('Données projet'!$B$13,Paramètres!$A$1:$I$89,5,0)</f>
        <v>215.36279999999979</v>
      </c>
      <c r="CV96" s="13">
        <f t="shared" si="95"/>
        <v>53.105766996464759</v>
      </c>
      <c r="CW96" s="20">
        <f t="shared" si="67"/>
        <v>467.58275418550915</v>
      </c>
      <c r="CX96" s="59">
        <f t="shared" si="68"/>
        <v>760.91608751884246</v>
      </c>
      <c r="CY96" s="59">
        <f ca="1">AVERAGE(OFFSET($CX$3,0,0,'Données projet'!$E$13+1,1))-AVERAGE(OFFSET($H$3,0,0,'Données projet'!$E$13+1,1))</f>
        <v>196.25918971690442</v>
      </c>
      <c r="CZ96" s="59">
        <f t="shared" si="96"/>
        <v>148.35701313170205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11.402406747109811</v>
      </c>
      <c r="DG96" s="21">
        <f>EXP(-LN(2)/25)*DG95+(1-EXP(-LN(2)/25))/(LN(2)/25)*Calculateur!DB96*Calculateur!DD96*VLOOKUP('Données projet'!$B$13,Paramètres!$A$1:$I$89,3,0)*0.475*44/12</f>
        <v>19.336347926692302</v>
      </c>
      <c r="DH96" s="21">
        <f>EXP(-LN(2)/2)*DH95+(1-EXP(-LN(2)/2))/(LN(2)/2)*DB96*DE96*VLOOKUP('Données projet'!$B$13,Paramètres!$A$1:$I$89,3,0)*0.475*44/12</f>
        <v>0.10308704296227533</v>
      </c>
      <c r="DI96" s="22">
        <f t="shared" si="69"/>
        <v>30.841841716764389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11">
        <f t="shared" si="86"/>
        <v>13.050798131206898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67">
        <f t="shared" si="56"/>
        <v>392.68287341185214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180.31844548479722</v>
      </c>
      <c r="T97" s="59">
        <f t="shared" si="88"/>
        <v>273.83237400307223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42.487723576259071</v>
      </c>
      <c r="AA97" s="21">
        <f>EXP(-LN(2)/25)*AA96+(1-EXP(-LN(2)/25))/(LN(2)/25)*Calculateur!V97*Calculateur!X97*VLOOKUP('Données projet'!$B$9,Paramètres!$A$1:$I$89,3,0)*0.475*44/12</f>
        <v>56.338984134040587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98.826707710299658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-5.6843418860808015E-14</v>
      </c>
      <c r="AJ97" s="13">
        <f>AI97*VLOOKUP('Données projet'!$B$10,Paramètres!$A$1:$I$89,3,0)*VLOOKUP('Données projet'!$B$10,Paramètres!$A$1:$I$89,5,0)</f>
        <v>-3.1036506698001178E-14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160.54301845388551</v>
      </c>
      <c r="AO97" s="59">
        <f t="shared" si="90"/>
        <v>272.6634844951584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23.145671443930233</v>
      </c>
      <c r="AV97" s="21">
        <f>EXP(-LN(2)/25)*AV96+(1-EXP(-LN(2)/25))/(LN(2)/25)*Calculateur!AQ97*Calculateur!AS97*VLOOKUP('Données projet'!$B$10,Paramètres!$A$1:$I$89,3,0)*0.475*44/12</f>
        <v>33.546456561290668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56.692128005220901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11.242307692307691</v>
      </c>
      <c r="BD97" s="12">
        <f>IF('Données projet'!$A$88&gt;35,BD96+BC97-BL96,IF(A97&lt;'Données projet'!$A$88,$BA$205^A97,IF(A97='Données projet'!$A$88,'Données projet'!$B$88,BD96+BC97-BL96)))</f>
        <v>457.88076923076943</v>
      </c>
      <c r="BE97" s="13">
        <f>BD97*VLOOKUP('Données projet'!$B$11,Paramètres!$A$1:$I$89,3,0)*VLOOKUP('Données projet'!$B$11,Paramètres!$A$1:$I$89,5,0)</f>
        <v>214.28820000000007</v>
      </c>
      <c r="BF97" s="13">
        <f t="shared" si="91"/>
        <v>52.871559993650941</v>
      </c>
      <c r="BG97" s="20">
        <f t="shared" si="61"/>
        <v>465.3032486556088</v>
      </c>
      <c r="BH97" s="59">
        <f t="shared" si="62"/>
        <v>758.63658198894211</v>
      </c>
      <c r="BI97" s="59">
        <f ca="1">AVERAGE(OFFSET($BH$3,0,0,'Données projet'!$E$11+1,1))-AVERAGE(OFFSET($H$3,0,0,'Données projet'!$E$11+1,1))</f>
        <v>207.25176714718668</v>
      </c>
      <c r="BJ97" s="59">
        <f t="shared" si="92"/>
        <v>191.53228014642559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68.669919381962089</v>
      </c>
      <c r="BQ97" s="21">
        <f>EXP(-LN(2)/25)*BQ96+(1-EXP(-LN(2)/25))/(LN(2)/25)*Calculateur!BL97*Calculateur!BN97*VLOOKUP('Données projet'!$B$11,Paramètres!$A$1:$I$89,3,0)*0.475*44/12</f>
        <v>21.804783705766653</v>
      </c>
      <c r="BR97" s="21">
        <f>EXP(-LN(2)/2)*BR96+(1-EXP(-LN(2)/2))/(LN(2)/2)*BL97*BO97*VLOOKUP('Données projet'!$B$11,Paramètres!$A$1:$I$89,3,0)*0.475*44/12</f>
        <v>0.51002584685682484</v>
      </c>
      <c r="BS97" s="22">
        <f t="shared" si="63"/>
        <v>90.984728934585561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68.620424404221751</v>
      </c>
      <c r="CE97" s="59">
        <f t="shared" si="94"/>
        <v>203.12945099478918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10.927160502921671</v>
      </c>
      <c r="CL97" s="21">
        <f>EXP(-LN(2)/25)*CL96+(1-EXP(-LN(2)/25))/(LN(2)/25)*Calculateur!CG97*Calculateur!CI97*VLOOKUP('Données projet'!$B$12,Paramètres!$A$1:$I$89,3,0)*0.475*44/12</f>
        <v>1.2977822064515829</v>
      </c>
      <c r="CM97" s="21">
        <f>EXP(-LN(2)/2)*CM96+(1-EXP(-LN(2)/2))/(LN(2)/2)*CG97*CJ97*VLOOKUP('Données projet'!$B$12,Paramètres!$A$1:$I$89,3,0)*0.475*44/12</f>
        <v>1.0493250809676799E-10</v>
      </c>
      <c r="CN97" s="22">
        <f t="shared" si="66"/>
        <v>12.224942709478187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6.3000000000000034</v>
      </c>
      <c r="CT97" s="12">
        <f>IF('Données projet'!$A$140&gt;35,CT96+CS97-DB96,IF(A97&lt;'Données projet'!$A$140,$CQ$205^A97,IF(A97='Données projet'!$A$140,'Données projet'!$B$140,CT96+CS97-DB96)))</f>
        <v>366.43846153846118</v>
      </c>
      <c r="CU97" s="17">
        <f>CT97*VLOOKUP('Données projet'!$B$13,Paramètres!$A$1:$I$89,3,0)*VLOOKUP('Données projet'!$B$13,Paramètres!$A$1:$I$89,5,0)</f>
        <v>219.1301999999998</v>
      </c>
      <c r="CV97" s="13">
        <f t="shared" si="95"/>
        <v>53.925795424011568</v>
      </c>
      <c r="CW97" s="20">
        <f t="shared" si="67"/>
        <v>475.57252536348642</v>
      </c>
      <c r="CX97" s="59">
        <f t="shared" si="68"/>
        <v>768.90585869681968</v>
      </c>
      <c r="CY97" s="59">
        <f ca="1">AVERAGE(OFFSET($CX$3,0,0,'Données projet'!$E$13+1,1))-AVERAGE(OFFSET($H$3,0,0,'Données projet'!$E$13+1,1))</f>
        <v>196.25918971690442</v>
      </c>
      <c r="CZ97" s="59">
        <f t="shared" si="96"/>
        <v>148.35701313170205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11.178812505580376</v>
      </c>
      <c r="DG97" s="21">
        <f>EXP(-LN(2)/25)*DG96+(1-EXP(-LN(2)/25))/(LN(2)/25)*Calculateur!DB97*Calculateur!DD97*VLOOKUP('Données projet'!$B$13,Paramètres!$A$1:$I$89,3,0)*0.475*44/12</f>
        <v>18.807594475782558</v>
      </c>
      <c r="DH97" s="21">
        <f>EXP(-LN(2)/2)*DH96+(1-EXP(-LN(2)/2))/(LN(2)/2)*DB97*DE97*VLOOKUP('Données projet'!$B$13,Paramètres!$A$1:$I$89,3,0)*0.475*44/12</f>
        <v>7.2893547131093847E-2</v>
      </c>
      <c r="DI97" s="22">
        <f t="shared" si="69"/>
        <v>30.059300528494028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11">
        <f t="shared" si="86"/>
        <v>13.173399977011883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67">
        <f t="shared" si="56"/>
        <v>393.7115049599625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180.31844548479722</v>
      </c>
      <c r="T98" s="59">
        <f t="shared" si="88"/>
        <v>273.83237400307223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41.654565231881122</v>
      </c>
      <c r="AA98" s="21">
        <f>EXP(-LN(2)/25)*AA97+(1-EXP(-LN(2)/25))/(LN(2)/25)*Calculateur!V98*Calculateur!X98*VLOOKUP('Données projet'!$B$9,Paramètres!$A$1:$I$89,3,0)*0.475*44/12</f>
        <v>54.798391650156837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96.452956882037967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-5.6843418860808015E-14</v>
      </c>
      <c r="AJ98" s="13">
        <f>AI98*VLOOKUP('Données projet'!$B$10,Paramètres!$A$1:$I$89,3,0)*VLOOKUP('Données projet'!$B$10,Paramètres!$A$1:$I$89,5,0)</f>
        <v>-3.1036506698001178E-14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160.54301845388551</v>
      </c>
      <c r="AO98" s="59">
        <f t="shared" si="90"/>
        <v>272.6634844951584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22.691798944380359</v>
      </c>
      <c r="AV98" s="21">
        <f>EXP(-LN(2)/25)*AV97+(1-EXP(-LN(2)/25))/(LN(2)/25)*Calculateur!AQ98*Calculateur!AS98*VLOOKUP('Données projet'!$B$10,Paramètres!$A$1:$I$89,3,0)*0.475*44/12</f>
        <v>32.629126942490693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55.320925886871052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469.12307692307689</v>
      </c>
      <c r="BB98" s="12">
        <f>VLOOKUP(A98,'Données projet'!$A$87:$I$107,9,0)</f>
        <v>11.242307692307691</v>
      </c>
      <c r="BC98" s="12">
        <f t="array" ref="BC98">INDEX(BB:BB,MIN(IF(ISNUMBER(BB98:BB294),ROW(BB98:BB294),"")))</f>
        <v>11.242307692307691</v>
      </c>
      <c r="BD98" s="12">
        <f>IF('Données projet'!$A$88&gt;35,BD97+BC98-BL97,IF(A98&lt;'Données projet'!$A$88,$BA$205^A98,IF(A98='Données projet'!$A$88,'Données projet'!$B$88,BD97+BC98-BL97)))</f>
        <v>469.12307692307712</v>
      </c>
      <c r="BE98" s="13">
        <f>BD98*VLOOKUP('Données projet'!$B$11,Paramètres!$A$1:$I$89,3,0)*VLOOKUP('Données projet'!$B$11,Paramètres!$A$1:$I$89,5,0)</f>
        <v>219.54960000000008</v>
      </c>
      <c r="BF98" s="13">
        <f t="shared" si="91"/>
        <v>54.016981833057052</v>
      </c>
      <c r="BG98" s="20">
        <f t="shared" si="61"/>
        <v>476.46179669257441</v>
      </c>
      <c r="BH98" s="59">
        <f t="shared" si="62"/>
        <v>769.79513002590772</v>
      </c>
      <c r="BI98" s="59">
        <f ca="1">AVERAGE(OFFSET($BH$3,0,0,'Données projet'!$E$11+1,1))-AVERAGE(OFFSET($H$3,0,0,'Données projet'!$E$11+1,1))</f>
        <v>207.25176714718668</v>
      </c>
      <c r="BJ98" s="59">
        <f t="shared" si="92"/>
        <v>191.53228014642559</v>
      </c>
      <c r="BK98" s="15">
        <f>IF(ISNA(VLOOKUP(A98,'Données projet'!$A$87:$I$107,3,0)),0,VLOOKUP(A98,'Données projet'!$A$87:$I$107,3,0))</f>
        <v>8</v>
      </c>
      <c r="BL98" s="15">
        <f>IF(ISNA(VLOOKUP(A98,'Données projet'!$A$87:$I$107,4,0)),0,VLOOKUP(A98,'Données projet'!$A$87:$I$107,4,0))</f>
        <v>234.42307692307691</v>
      </c>
      <c r="BM98" s="16">
        <f>IF(ISNA(VLOOKUP(A98,'Données projet'!$A$87:$I$107,5,0)),0%,VLOOKUP(A98,'Données projet'!$A$87:$I$107,5,0)*VLOOKUP('Données projet'!$B$11,Paramètres!$A$1:$I$89,7,0))</f>
        <v>0.38500000000000001</v>
      </c>
      <c r="BN98" s="16">
        <f>IF(ISNA(VLOOKUP(A98,'Données projet'!$A$87:$I$107,6,0)),0%,VLOOKUP(A98,'Données projet'!$A$87:$I$107,6,0)*VLOOKUP('Données projet'!$B$11,Paramètres!$A$1:$I$89,7,0))</f>
        <v>9.240000000000001E-2</v>
      </c>
      <c r="BO98" s="16">
        <f>IF(ISNA(VLOOKUP(A98,'Données projet'!$A$87:$I$107,7,0)),0%,VLOOKUP(A98,'Données projet'!$A$87:$I$107,7,0))</f>
        <v>0.13200000000000001</v>
      </c>
      <c r="BP98" s="21">
        <f>EXP(-LN(2)/35)*BP97+(1-EXP(-LN(2)/35))/(LN(2)/35)*BL98*BM98*VLOOKUP('Données projet'!$B$11,Paramètres!$A$1:$I$89,3,0)*0.475*44/12</f>
        <v>123.35523791381158</v>
      </c>
      <c r="BQ98" s="21">
        <f>EXP(-LN(2)/25)*BQ97+(1-EXP(-LN(2)/25))/(LN(2)/25)*Calculateur!BL98*Calculateur!BN98*VLOOKUP('Données projet'!$B$11,Paramètres!$A$1:$I$89,3,0)*0.475*44/12</f>
        <v>34.603236712868167</v>
      </c>
      <c r="BR98" s="21">
        <f>EXP(-LN(2)/2)*BR97+(1-EXP(-LN(2)/2))/(LN(2)/2)*BL98*BO98*VLOOKUP('Données projet'!$B$11,Paramètres!$A$1:$I$89,3,0)*0.475*44/12</f>
        <v>16.757313842627845</v>
      </c>
      <c r="BS98" s="22">
        <f t="shared" si="63"/>
        <v>174.71578846930757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68.620424404221751</v>
      </c>
      <c r="CE98" s="59">
        <f t="shared" si="94"/>
        <v>203.12945099478918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10.71288555036918</v>
      </c>
      <c r="CL98" s="21">
        <f>EXP(-LN(2)/25)*CL97+(1-EXP(-LN(2)/25))/(LN(2)/25)*Calculateur!CG98*Calculateur!CI98*VLOOKUP('Données projet'!$B$12,Paramètres!$A$1:$I$89,3,0)*0.475*44/12</f>
        <v>1.2622942837687643</v>
      </c>
      <c r="CM98" s="21">
        <f>EXP(-LN(2)/2)*CM97+(1-EXP(-LN(2)/2))/(LN(2)/2)*CG98*CJ98*VLOOKUP('Données projet'!$B$12,Paramètres!$A$1:$I$89,3,0)*0.475*44/12</f>
        <v>7.4198488042136948E-11</v>
      </c>
      <c r="CN98" s="22">
        <f t="shared" si="66"/>
        <v>11.975179834212142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372.73846153846154</v>
      </c>
      <c r="CR98" s="12">
        <f>VLOOKUP(A98,'Données projet'!$A$139:$I$159,9,0)</f>
        <v>6.3000000000000034</v>
      </c>
      <c r="CS98" s="12">
        <f t="array" ref="CS98">INDEX(CR:CR,MIN(IF(ISNUMBER(CR98:CR294),ROW(CR98:CR294),"")))</f>
        <v>6.3000000000000034</v>
      </c>
      <c r="CT98" s="12">
        <f>IF('Données projet'!$A$140&gt;35,CT97+CS98-DB97,IF(A98&lt;'Données projet'!$A$140,$CQ$205^A98,IF(A98='Données projet'!$A$140,'Données projet'!$B$140,CT97+CS98-DB97)))</f>
        <v>372.73846153846119</v>
      </c>
      <c r="CU98" s="17">
        <f>CT98*VLOOKUP('Données projet'!$B$13,Paramètres!$A$1:$I$89,3,0)*VLOOKUP('Données projet'!$B$13,Paramètres!$A$1:$I$89,5,0)</f>
        <v>222.89759999999981</v>
      </c>
      <c r="CV98" s="13">
        <f t="shared" si="95"/>
        <v>54.744184358727416</v>
      </c>
      <c r="CW98" s="20">
        <f t="shared" si="67"/>
        <v>483.55944109144997</v>
      </c>
      <c r="CX98" s="59">
        <f t="shared" si="68"/>
        <v>776.89277442478328</v>
      </c>
      <c r="CY98" s="59">
        <f ca="1">AVERAGE(OFFSET($CX$3,0,0,'Données projet'!$E$13+1,1))-AVERAGE(OFFSET($H$3,0,0,'Données projet'!$E$13+1,1))</f>
        <v>196.25918971690442</v>
      </c>
      <c r="CZ98" s="59">
        <f t="shared" si="96"/>
        <v>148.35701313170205</v>
      </c>
      <c r="DA98" s="15">
        <f>IF(ISNA(VLOOKUP(A98,'Données projet'!$A$139:$I$159,3,0)),0,VLOOKUP(A98,'Données projet'!$A$139:$I$159,3,0))</f>
        <v>5</v>
      </c>
      <c r="DB98" s="15">
        <f>IF(ISNA(VLOOKUP(A98,'Données projet'!$A$139:$I$159,4,0)),0,VLOOKUP(A98,'Données projet'!$A$139:$I$159,4,0))</f>
        <v>203.73846153846154</v>
      </c>
      <c r="DC98" s="16">
        <f>IF(ISNA(VLOOKUP(A98,'Données projet'!$A$139:$I$159,5,0)),0%,VLOOKUP(A98,'Données projet'!$A$139:$I$159,5,0)*VLOOKUP('Données projet'!$B$13,Paramètres!$A$1:$I$89,7,0))</f>
        <v>0.315</v>
      </c>
      <c r="DD98" s="16">
        <f>IF(ISNA(VLOOKUP(A98,'Données projet'!$A$139:$I$159,6,0)),0%,VLOOKUP(A98,'Données projet'!$A$139:$I$159,6,0)*VLOOKUP('Données projet'!$B$13,Paramètres!$A$1:$I$89,7,0))</f>
        <v>9.4500000000000001E-2</v>
      </c>
      <c r="DE98" s="16">
        <f>IF(ISNA(VLOOKUP(A98,'Données projet'!$A$139:$I$159,7,0)),0%,VLOOKUP(A98,'Données projet'!$A$139:$I$159,7,0))</f>
        <v>0.09</v>
      </c>
      <c r="DF98" s="21">
        <f>EXP(-LN(2)/35)*DF97+(1-EXP(-LN(2)/35))/(LN(2)/35)*DB98*DC98*VLOOKUP('Données projet'!$B$13,Paramètres!$A$1:$I$89,3,0)*0.475*44/12</f>
        <v>61.870777366400453</v>
      </c>
      <c r="DG98" s="21">
        <f>EXP(-LN(2)/25)*DG97+(1-EXP(-LN(2)/25))/(LN(2)/25)*Calculateur!DB98*Calculateur!DD98*VLOOKUP('Données projet'!$B$13,Paramètres!$A$1:$I$89,3,0)*0.475*44/12</f>
        <v>33.506515174618336</v>
      </c>
      <c r="DH98" s="21">
        <f>EXP(-LN(2)/2)*DH97+(1-EXP(-LN(2)/2))/(LN(2)/2)*DB98*DE98*VLOOKUP('Données projet'!$B$13,Paramètres!$A$1:$I$89,3,0)*0.475*44/12</f>
        <v>12.466701639247532</v>
      </c>
      <c r="DI98" s="22">
        <f t="shared" si="69"/>
        <v>107.84399418026632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11">
        <f t="shared" si="86"/>
        <v>13.295851692351626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67">
        <f t="shared" si="56"/>
        <v>394.73987503084589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180.31844548479722</v>
      </c>
      <c r="T99" s="59">
        <f t="shared" si="88"/>
        <v>273.83237400307223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40.837744614460014</v>
      </c>
      <c r="AA99" s="21">
        <f>EXP(-LN(2)/25)*AA98+(1-EXP(-LN(2)/25))/(LN(2)/25)*Calculateur!V99*Calculateur!X99*VLOOKUP('Données projet'!$B$9,Paramètres!$A$1:$I$89,3,0)*0.475*44/12</f>
        <v>53.299926748761123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94.137671363221131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-5.6843418860808015E-14</v>
      </c>
      <c r="AJ99" s="13">
        <f>AI99*VLOOKUP('Données projet'!$B$10,Paramètres!$A$1:$I$89,3,0)*VLOOKUP('Données projet'!$B$10,Paramètres!$A$1:$I$89,5,0)</f>
        <v>-3.1036506698001178E-14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160.54301845388551</v>
      </c>
      <c r="AO99" s="59">
        <f t="shared" si="90"/>
        <v>272.6634844951584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22.246826607711768</v>
      </c>
      <c r="AV99" s="21">
        <f>EXP(-LN(2)/25)*AV98+(1-EXP(-LN(2)/25))/(LN(2)/25)*Calculateur!AQ99*Calculateur!AS99*VLOOKUP('Données projet'!$B$10,Paramètres!$A$1:$I$89,3,0)*0.475*44/12</f>
        <v>31.736881750357075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53.983708358068839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7.5015384615384617</v>
      </c>
      <c r="BD99" s="12">
        <f>IF('Données projet'!$A$88&gt;35,BD98+BC99-BL98,IF(A99&lt;'Données projet'!$A$88,$BA$205^A99,IF(A99='Données projet'!$A$88,'Données projet'!$B$88,BD98+BC99-BL98)))</f>
        <v>242.20153846153869</v>
      </c>
      <c r="BE99" s="13">
        <f>BD99*VLOOKUP('Données projet'!$B$11,Paramètres!$A$1:$I$89,3,0)*VLOOKUP('Données projet'!$B$11,Paramètres!$A$1:$I$89,5,0)</f>
        <v>113.35032000000011</v>
      </c>
      <c r="BF99" s="13">
        <f t="shared" si="91"/>
        <v>30.118962463528121</v>
      </c>
      <c r="BG99" s="20">
        <f t="shared" si="61"/>
        <v>249.87566695731167</v>
      </c>
      <c r="BH99" s="59">
        <f t="shared" si="62"/>
        <v>543.20900029064501</v>
      </c>
      <c r="BI99" s="59">
        <f ca="1">AVERAGE(OFFSET($BH$3,0,0,'Données projet'!$E$11+1,1))-AVERAGE(OFFSET($H$3,0,0,'Données projet'!$E$11+1,1))</f>
        <v>207.25176714718668</v>
      </c>
      <c r="BJ99" s="59">
        <f t="shared" si="92"/>
        <v>191.53228014642559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120.93631693758761</v>
      </c>
      <c r="BQ99" s="21">
        <f>EXP(-LN(2)/25)*BQ98+(1-EXP(-LN(2)/25))/(LN(2)/25)*Calculateur!BL99*Calculateur!BN99*VLOOKUP('Données projet'!$B$11,Paramètres!$A$1:$I$89,3,0)*0.475*44/12</f>
        <v>33.657009385249658</v>
      </c>
      <c r="BR99" s="21">
        <f>EXP(-LN(2)/2)*BR98+(1-EXP(-LN(2)/2))/(LN(2)/2)*BL99*BO99*VLOOKUP('Données projet'!$B$11,Paramètres!$A$1:$I$89,3,0)*0.475*44/12</f>
        <v>11.849210252593352</v>
      </c>
      <c r="BS99" s="22">
        <f t="shared" si="63"/>
        <v>166.44253657543061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68.620424404221751</v>
      </c>
      <c r="CE99" s="59">
        <f t="shared" si="94"/>
        <v>203.12945099478918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10.502812398941426</v>
      </c>
      <c r="CL99" s="21">
        <f>EXP(-LN(2)/25)*CL98+(1-EXP(-LN(2)/25))/(LN(2)/25)*Calculateur!CG99*Calculateur!CI99*VLOOKUP('Données projet'!$B$12,Paramètres!$A$1:$I$89,3,0)*0.475*44/12</f>
        <v>1.227776780197936</v>
      </c>
      <c r="CM99" s="21">
        <f>EXP(-LN(2)/2)*CM98+(1-EXP(-LN(2)/2))/(LN(2)/2)*CG99*CJ99*VLOOKUP('Données projet'!$B$12,Paramètres!$A$1:$I$89,3,0)*0.475*44/12</f>
        <v>5.2466254048383994E-11</v>
      </c>
      <c r="CN99" s="22">
        <f t="shared" si="66"/>
        <v>11.730589179191828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4.4823076923076943</v>
      </c>
      <c r="CT99" s="12">
        <f>IF('Données projet'!$A$140&gt;35,CT98+CS99-DB98,IF(A99&lt;'Données projet'!$A$140,$CQ$205^A99,IF(A99='Données projet'!$A$140,'Données projet'!$B$140,CT98+CS99-DB98)))</f>
        <v>173.48230769230736</v>
      </c>
      <c r="CU99" s="17">
        <f>CT99*VLOOKUP('Données projet'!$B$13,Paramètres!$A$1:$I$89,3,0)*VLOOKUP('Données projet'!$B$13,Paramètres!$A$1:$I$89,5,0)</f>
        <v>103.74241999999981</v>
      </c>
      <c r="CV99" s="13">
        <f t="shared" si="95"/>
        <v>27.85166208829316</v>
      </c>
      <c r="CW99" s="20">
        <f t="shared" si="67"/>
        <v>229.19302630377692</v>
      </c>
      <c r="CX99" s="59">
        <f t="shared" si="68"/>
        <v>522.5263596371102</v>
      </c>
      <c r="CY99" s="59">
        <f ca="1">AVERAGE(OFFSET($CX$3,0,0,'Données projet'!$E$13+1,1))-AVERAGE(OFFSET($H$3,0,0,'Données projet'!$E$13+1,1))</f>
        <v>196.25918971690442</v>
      </c>
      <c r="CZ99" s="59">
        <f t="shared" si="96"/>
        <v>148.35701313170205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60.657529159693269</v>
      </c>
      <c r="DG99" s="21">
        <f>EXP(-LN(2)/25)*DG98+(1-EXP(-LN(2)/25))/(LN(2)/25)*Calculateur!DB99*Calculateur!DD99*VLOOKUP('Données projet'!$B$13,Paramètres!$A$1:$I$89,3,0)*0.475*44/12</f>
        <v>32.590277755137343</v>
      </c>
      <c r="DH99" s="21">
        <f>EXP(-LN(2)/2)*DH98+(1-EXP(-LN(2)/2))/(LN(2)/2)*DB99*DE99*VLOOKUP('Données projet'!$B$13,Paramètres!$A$1:$I$89,3,0)*0.475*44/12</f>
        <v>8.8152892681413793</v>
      </c>
      <c r="DI99" s="22">
        <f t="shared" si="69"/>
        <v>102.063096182972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11">
        <f t="shared" si="86"/>
        <v>13.418155022123713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67">
        <f t="shared" si="56"/>
        <v>395.76798666353227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180.31844548479722</v>
      </c>
      <c r="T100" s="59">
        <f t="shared" si="88"/>
        <v>273.83237400307223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40.036941351135148</v>
      </c>
      <c r="AA100" s="21">
        <f>EXP(-LN(2)/25)*AA99+(1-EXP(-LN(2)/25))/(LN(2)/25)*Calculateur!V100*Calculateur!X100*VLOOKUP('Données projet'!$B$9,Paramètres!$A$1:$I$89,3,0)*0.475*44/12</f>
        <v>51.84243744889492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91.879378800030068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-5.6843418860808015E-14</v>
      </c>
      <c r="AJ100" s="13">
        <f>AI100*VLOOKUP('Données projet'!$B$10,Paramètres!$A$1:$I$89,3,0)*VLOOKUP('Données projet'!$B$10,Paramètres!$A$1:$I$89,5,0)</f>
        <v>-3.1036506698001178E-14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160.54301845388551</v>
      </c>
      <c r="AO100" s="59">
        <f t="shared" si="90"/>
        <v>272.6634844951584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21.810579907158921</v>
      </c>
      <c r="AV100" s="21">
        <f>EXP(-LN(2)/25)*AV99+(1-EXP(-LN(2)/25))/(LN(2)/25)*Calculateur!AQ100*Calculateur!AS100*VLOOKUP('Données projet'!$B$10,Paramètres!$A$1:$I$89,3,0)*0.475*44/12</f>
        <v>30.869035049923486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52.679614957082407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7.5015384615384617</v>
      </c>
      <c r="BD100" s="12">
        <f>IF('Données projet'!$A$88&gt;35,BD99+BC100-BL99,IF(A100&lt;'Données projet'!$A$88,$BA$205^A100,IF(A100='Données projet'!$A$88,'Données projet'!$B$88,BD99+BC100-BL99)))</f>
        <v>249.70307692307716</v>
      </c>
      <c r="BE100" s="13">
        <f>BD100*VLOOKUP('Données projet'!$B$11,Paramètres!$A$1:$I$89,3,0)*VLOOKUP('Données projet'!$B$11,Paramètres!$A$1:$I$89,5,0)</f>
        <v>116.86104000000012</v>
      </c>
      <c r="BF100" s="13">
        <f t="shared" si="91"/>
        <v>30.941762857231797</v>
      </c>
      <c r="BG100" s="20">
        <f t="shared" si="61"/>
        <v>257.42321497634555</v>
      </c>
      <c r="BH100" s="59">
        <f t="shared" si="62"/>
        <v>550.75654830967892</v>
      </c>
      <c r="BI100" s="59">
        <f ca="1">AVERAGE(OFFSET($BH$3,0,0,'Données projet'!$E$11+1,1))-AVERAGE(OFFSET($H$3,0,0,'Données projet'!$E$11+1,1))</f>
        <v>207.25176714718668</v>
      </c>
      <c r="BJ100" s="59">
        <f t="shared" si="92"/>
        <v>191.53228014642559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118.56482952631127</v>
      </c>
      <c r="BQ100" s="21">
        <f>EXP(-LN(2)/25)*BQ99+(1-EXP(-LN(2)/25))/(LN(2)/25)*Calculateur!BL100*Calculateur!BN100*VLOOKUP('Données projet'!$B$11,Paramètres!$A$1:$I$89,3,0)*0.475*44/12</f>
        <v>32.736656693664806</v>
      </c>
      <c r="BR100" s="21">
        <f>EXP(-LN(2)/2)*BR99+(1-EXP(-LN(2)/2))/(LN(2)/2)*BL100*BO100*VLOOKUP('Données projet'!$B$11,Paramètres!$A$1:$I$89,3,0)*0.475*44/12</f>
        <v>8.3786569213139241</v>
      </c>
      <c r="BS100" s="22">
        <f t="shared" si="63"/>
        <v>159.68014314129002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68.620424404221751</v>
      </c>
      <c r="CE100" s="59">
        <f t="shared" si="94"/>
        <v>203.12945099478918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10.2968586538812</v>
      </c>
      <c r="CL100" s="21">
        <f>EXP(-LN(2)/25)*CL99+(1-EXP(-LN(2)/25))/(LN(2)/25)*Calculateur!CG100*Calculateur!CI100*VLOOKUP('Données projet'!$B$12,Paramètres!$A$1:$I$89,3,0)*0.475*44/12</f>
        <v>1.1942031595774487</v>
      </c>
      <c r="CM100" s="21">
        <f>EXP(-LN(2)/2)*CM99+(1-EXP(-LN(2)/2))/(LN(2)/2)*CG100*CJ100*VLOOKUP('Données projet'!$B$12,Paramètres!$A$1:$I$89,3,0)*0.475*44/12</f>
        <v>3.7099244021068474E-11</v>
      </c>
      <c r="CN100" s="22">
        <f t="shared" si="66"/>
        <v>11.491061813495747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4.4823076923076943</v>
      </c>
      <c r="CT100" s="12">
        <f>IF('Données projet'!$A$140&gt;35,CT99+CS100-DB99,IF(A100&lt;'Données projet'!$A$140,$CQ$205^A100,IF(A100='Données projet'!$A$140,'Données projet'!$B$140,CT99+CS100-DB99)))</f>
        <v>177.96461538461506</v>
      </c>
      <c r="CU100" s="17">
        <f>CT100*VLOOKUP('Données projet'!$B$13,Paramètres!$A$1:$I$89,3,0)*VLOOKUP('Données projet'!$B$13,Paramètres!$A$1:$I$89,5,0)</f>
        <v>106.42283999999981</v>
      </c>
      <c r="CV100" s="13">
        <f t="shared" si="95"/>
        <v>28.486563000749264</v>
      </c>
      <c r="CW100" s="20">
        <f t="shared" si="67"/>
        <v>234.96721022630467</v>
      </c>
      <c r="CX100" s="59">
        <f t="shared" si="68"/>
        <v>528.30054355963796</v>
      </c>
      <c r="CY100" s="59">
        <f ca="1">AVERAGE(OFFSET($CX$3,0,0,'Données projet'!$E$13+1,1))-AVERAGE(OFFSET($H$3,0,0,'Données projet'!$E$13+1,1))</f>
        <v>196.25918971690442</v>
      </c>
      <c r="CZ100" s="59">
        <f t="shared" si="96"/>
        <v>148.35701313170205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59.468072010311275</v>
      </c>
      <c r="DG100" s="21">
        <f>EXP(-LN(2)/25)*DG99+(1-EXP(-LN(2)/25))/(LN(2)/25)*Calculateur!DB100*Calculateur!DD100*VLOOKUP('Données projet'!$B$13,Paramètres!$A$1:$I$89,3,0)*0.475*44/12</f>
        <v>31.699094896074893</v>
      </c>
      <c r="DH100" s="21">
        <f>EXP(-LN(2)/2)*DH99+(1-EXP(-LN(2)/2))/(LN(2)/2)*DB100*DE100*VLOOKUP('Données projet'!$B$13,Paramètres!$A$1:$I$89,3,0)*0.475*44/12</f>
        <v>6.2333508196237677</v>
      </c>
      <c r="DI100" s="22">
        <f t="shared" si="69"/>
        <v>97.400517726009937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11">
        <f t="shared" si="86"/>
        <v>13.540311673175431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67">
        <f t="shared" si="56"/>
        <v>396.79584283078071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180.31844548479722</v>
      </c>
      <c r="T101" s="59">
        <f t="shared" si="88"/>
        <v>273.83237400307223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39.251841351362323</v>
      </c>
      <c r="AA101" s="21">
        <f>EXP(-LN(2)/25)*AA100+(1-EXP(-LN(2)/25))/(LN(2)/25)*Calculateur!V101*Calculateur!X101*VLOOKUP('Données projet'!$B$9,Paramètres!$A$1:$I$89,3,0)*0.475*44/12</f>
        <v>50.424803270579588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89.676644621941904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-5.6843418860808015E-14</v>
      </c>
      <c r="AJ101" s="13">
        <f>AI101*VLOOKUP('Données projet'!$B$10,Paramètres!$A$1:$I$89,3,0)*VLOOKUP('Données projet'!$B$10,Paramètres!$A$1:$I$89,5,0)</f>
        <v>-3.1036506698001178E-14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160.54301845388551</v>
      </c>
      <c r="AO101" s="59">
        <f t="shared" si="90"/>
        <v>272.6634844951584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21.382887738319702</v>
      </c>
      <c r="AV101" s="21">
        <f>EXP(-LN(2)/25)*AV100+(1-EXP(-LN(2)/25))/(LN(2)/25)*Calculateur!AQ101*Calculateur!AS101*VLOOKUP('Données projet'!$B$10,Paramètres!$A$1:$I$89,3,0)*0.475*44/12</f>
        <v>30.024919663151326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51.407807401471032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7.5015384615384617</v>
      </c>
      <c r="BD101" s="12">
        <f>IF('Données projet'!$A$88&gt;35,BD100+BC101-BL100,IF(A101&lt;'Données projet'!$A$88,$BA$205^A101,IF(A101='Données projet'!$A$88,'Données projet'!$B$88,BD100+BC101-BL100)))</f>
        <v>257.20461538461564</v>
      </c>
      <c r="BE101" s="13">
        <f>BD101*VLOOKUP('Données projet'!$B$11,Paramètres!$A$1:$I$89,3,0)*VLOOKUP('Données projet'!$B$11,Paramètres!$A$1:$I$89,5,0)</f>
        <v>120.37176000000012</v>
      </c>
      <c r="BF101" s="13">
        <f t="shared" si="91"/>
        <v>31.761690593555869</v>
      </c>
      <c r="BG101" s="20">
        <f t="shared" si="61"/>
        <v>264.96575978377672</v>
      </c>
      <c r="BH101" s="59">
        <f t="shared" si="62"/>
        <v>558.29909311711003</v>
      </c>
      <c r="BI101" s="59">
        <f ca="1">AVERAGE(OFFSET($BH$3,0,0,'Données projet'!$E$11+1,1))-AVERAGE(OFFSET($H$3,0,0,'Données projet'!$E$11+1,1))</f>
        <v>207.25176714718668</v>
      </c>
      <c r="BJ101" s="59">
        <f t="shared" si="92"/>
        <v>191.53228014642559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116.23984553670557</v>
      </c>
      <c r="BQ101" s="21">
        <f>EXP(-LN(2)/25)*BQ100+(1-EXP(-LN(2)/25))/(LN(2)/25)*Calculateur!BL101*Calculateur!BN101*VLOOKUP('Données projet'!$B$11,Paramètres!$A$1:$I$89,3,0)*0.475*44/12</f>
        <v>31.841471094830588</v>
      </c>
      <c r="BR101" s="21">
        <f>EXP(-LN(2)/2)*BR100+(1-EXP(-LN(2)/2))/(LN(2)/2)*BL101*BO101*VLOOKUP('Données projet'!$B$11,Paramètres!$A$1:$I$89,3,0)*0.475*44/12</f>
        <v>5.9246051262966777</v>
      </c>
      <c r="BS101" s="22">
        <f t="shared" si="63"/>
        <v>154.00592175783285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68.620424404221751</v>
      </c>
      <c r="CE101" s="59">
        <f t="shared" si="94"/>
        <v>203.12945099478918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10.094943536142225</v>
      </c>
      <c r="CL101" s="21">
        <f>EXP(-LN(2)/25)*CL100+(1-EXP(-LN(2)/25))/(LN(2)/25)*Calculateur!CG101*Calculateur!CI101*VLOOKUP('Données projet'!$B$12,Paramètres!$A$1:$I$89,3,0)*0.475*44/12</f>
        <v>1.1615476113783887</v>
      </c>
      <c r="CM101" s="21">
        <f>EXP(-LN(2)/2)*CM100+(1-EXP(-LN(2)/2))/(LN(2)/2)*CG101*CJ101*VLOOKUP('Données projet'!$B$12,Paramètres!$A$1:$I$89,3,0)*0.475*44/12</f>
        <v>2.6233127024191997E-11</v>
      </c>
      <c r="CN101" s="22">
        <f t="shared" si="66"/>
        <v>11.256491147546846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4.4823076923076943</v>
      </c>
      <c r="CT101" s="12">
        <f>IF('Données projet'!$A$140&gt;35,CT100+CS101-DB100,IF(A101&lt;'Données projet'!$A$140,$CQ$205^A101,IF(A101='Données projet'!$A$140,'Données projet'!$B$140,CT100+CS101-DB100)))</f>
        <v>182.44692307692276</v>
      </c>
      <c r="CU101" s="17">
        <f>CT101*VLOOKUP('Données projet'!$B$13,Paramètres!$A$1:$I$89,3,0)*VLOOKUP('Données projet'!$B$13,Paramètres!$A$1:$I$89,5,0)</f>
        <v>109.10325999999981</v>
      </c>
      <c r="CV101" s="13">
        <f t="shared" si="95"/>
        <v>29.119605086053163</v>
      </c>
      <c r="CW101" s="20">
        <f t="shared" si="67"/>
        <v>240.73815669154223</v>
      </c>
      <c r="CX101" s="59">
        <f t="shared" si="68"/>
        <v>534.07149002487552</v>
      </c>
      <c r="CY101" s="59">
        <f ca="1">AVERAGE(OFFSET($CX$3,0,0,'Données projet'!$E$13+1,1))-AVERAGE(OFFSET($H$3,0,0,'Données projet'!$E$13+1,1))</f>
        <v>196.25918971690442</v>
      </c>
      <c r="CZ101" s="59">
        <f t="shared" si="96"/>
        <v>148.35701313170205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58.301939390131437</v>
      </c>
      <c r="DG101" s="21">
        <f>EXP(-LN(2)/25)*DG100+(1-EXP(-LN(2)/25))/(LN(2)/25)*Calculateur!DB101*Calculateur!DD101*VLOOKUP('Données projet'!$B$13,Paramètres!$A$1:$I$89,3,0)*0.475*44/12</f>
        <v>30.832281479158773</v>
      </c>
      <c r="DH101" s="21">
        <f>EXP(-LN(2)/2)*DH100+(1-EXP(-LN(2)/2))/(LN(2)/2)*DB101*DE101*VLOOKUP('Données projet'!$B$13,Paramètres!$A$1:$I$89,3,0)*0.475*44/12</f>
        <v>4.4076446340706905</v>
      </c>
      <c r="DI101" s="22">
        <f t="shared" si="69"/>
        <v>93.541865503360896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11">
        <f t="shared" si="86"/>
        <v>13.662323315513085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67">
        <f t="shared" si="56"/>
        <v>397.82344644118547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180.31844548479722</v>
      </c>
      <c r="T102" s="59">
        <f t="shared" si="88"/>
        <v>273.83237400307223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38.482136683721329</v>
      </c>
      <c r="AA102" s="21">
        <f>EXP(-LN(2)/25)*AA101+(1-EXP(-LN(2)/25))/(LN(2)/25)*Calculateur!V102*Calculateur!X102*VLOOKUP('Données projet'!$B$9,Paramètres!$A$1:$I$89,3,0)*0.475*44/12</f>
        <v>49.04593437342043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87.528071057141759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-5.6843418860808015E-14</v>
      </c>
      <c r="AJ102" s="13">
        <f>AI102*VLOOKUP('Données projet'!$B$10,Paramètres!$A$1:$I$89,3,0)*VLOOKUP('Données projet'!$B$10,Paramètres!$A$1:$I$89,5,0)</f>
        <v>-3.1036506698001178E-14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160.54301845388551</v>
      </c>
      <c r="AO102" s="59">
        <f t="shared" si="90"/>
        <v>272.6634844951584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20.963582352044956</v>
      </c>
      <c r="AV102" s="21">
        <f>EXP(-LN(2)/25)*AV101+(1-EXP(-LN(2)/25))/(LN(2)/25)*Calculateur!AQ102*Calculateur!AS102*VLOOKUP('Données projet'!$B$10,Paramètres!$A$1:$I$89,3,0)*0.475*44/12</f>
        <v>29.203886656020551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50.16746900806551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7.5015384615384617</v>
      </c>
      <c r="BD102" s="12">
        <f>IF('Données projet'!$A$88&gt;35,BD101+BC102-BL101,IF(A102&lt;'Données projet'!$A$88,$BA$205^A102,IF(A102='Données projet'!$A$88,'Données projet'!$B$88,BD101+BC102-BL101)))</f>
        <v>264.70615384615411</v>
      </c>
      <c r="BE102" s="13">
        <f>BD102*VLOOKUP('Données projet'!$B$11,Paramètres!$A$1:$I$89,3,0)*VLOOKUP('Données projet'!$B$11,Paramètres!$A$1:$I$89,5,0)</f>
        <v>123.88248000000011</v>
      </c>
      <c r="BF102" s="13">
        <f t="shared" si="91"/>
        <v>32.578839075986679</v>
      </c>
      <c r="BG102" s="20">
        <f t="shared" si="61"/>
        <v>272.50346405734365</v>
      </c>
      <c r="BH102" s="59">
        <f t="shared" si="62"/>
        <v>565.83679739067702</v>
      </c>
      <c r="BI102" s="59">
        <f ca="1">AVERAGE(OFFSET($BH$3,0,0,'Données projet'!$E$11+1,1))-AVERAGE(OFFSET($H$3,0,0,'Données projet'!$E$11+1,1))</f>
        <v>207.25176714718668</v>
      </c>
      <c r="BJ102" s="59">
        <f t="shared" si="92"/>
        <v>191.53228014642559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113.96045306503584</v>
      </c>
      <c r="BQ102" s="21">
        <f>EXP(-LN(2)/25)*BQ101+(1-EXP(-LN(2)/25))/(LN(2)/25)*Calculateur!BL102*Calculateur!BN102*VLOOKUP('Données projet'!$B$11,Paramètres!$A$1:$I$89,3,0)*0.475*44/12</f>
        <v>30.970764393272255</v>
      </c>
      <c r="BR102" s="21">
        <f>EXP(-LN(2)/2)*BR101+(1-EXP(-LN(2)/2))/(LN(2)/2)*BL102*BO102*VLOOKUP('Données projet'!$B$11,Paramètres!$A$1:$I$89,3,0)*0.475*44/12</f>
        <v>4.189328460656963</v>
      </c>
      <c r="BS102" s="22">
        <f t="shared" si="63"/>
        <v>149.12054591896504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68.620424404221751</v>
      </c>
      <c r="CE102" s="59">
        <f t="shared" si="94"/>
        <v>203.12945099478918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9.8969878507060489</v>
      </c>
      <c r="CL102" s="21">
        <f>EXP(-LN(2)/25)*CL101+(1-EXP(-LN(2)/25))/(LN(2)/25)*Calculateur!CG102*Calculateur!CI102*VLOOKUP('Données projet'!$B$12,Paramètres!$A$1:$I$89,3,0)*0.475*44/12</f>
        <v>1.1297850308621125</v>
      </c>
      <c r="CM102" s="21">
        <f>EXP(-LN(2)/2)*CM101+(1-EXP(-LN(2)/2))/(LN(2)/2)*CG102*CJ102*VLOOKUP('Données projet'!$B$12,Paramètres!$A$1:$I$89,3,0)*0.475*44/12</f>
        <v>1.8549622010534237E-11</v>
      </c>
      <c r="CN102" s="22">
        <f t="shared" si="66"/>
        <v>11.026772881586712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4.4823076923076943</v>
      </c>
      <c r="CT102" s="12">
        <f>IF('Données projet'!$A$140&gt;35,CT101+CS102-DB101,IF(A102&lt;'Données projet'!$A$140,$CQ$205^A102,IF(A102='Données projet'!$A$140,'Données projet'!$B$140,CT101+CS102-DB101)))</f>
        <v>186.92923076923046</v>
      </c>
      <c r="CU102" s="17">
        <f>CT102*VLOOKUP('Données projet'!$B$13,Paramètres!$A$1:$I$89,3,0)*VLOOKUP('Données projet'!$B$13,Paramètres!$A$1:$I$89,5,0)</f>
        <v>111.78367999999982</v>
      </c>
      <c r="CV102" s="13">
        <f t="shared" si="95"/>
        <v>29.750839264569581</v>
      </c>
      <c r="CW102" s="20">
        <f t="shared" si="67"/>
        <v>246.50595438579171</v>
      </c>
      <c r="CX102" s="59">
        <f t="shared" si="68"/>
        <v>539.83928771912497</v>
      </c>
      <c r="CY102" s="59">
        <f ca="1">AVERAGE(OFFSET($CX$3,0,0,'Données projet'!$E$13+1,1))-AVERAGE(OFFSET($H$3,0,0,'Données projet'!$E$13+1,1))</f>
        <v>196.25918971690442</v>
      </c>
      <c r="CZ102" s="59">
        <f t="shared" si="96"/>
        <v>148.35701313170205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57.158673919362663</v>
      </c>
      <c r="DG102" s="21">
        <f>EXP(-LN(2)/25)*DG101+(1-EXP(-LN(2)/25))/(LN(2)/25)*Calculateur!DB102*Calculateur!DD102*VLOOKUP('Données projet'!$B$13,Paramètres!$A$1:$I$89,3,0)*0.475*44/12</f>
        <v>29.989171120711962</v>
      </c>
      <c r="DH102" s="21">
        <f>EXP(-LN(2)/2)*DH101+(1-EXP(-LN(2)/2))/(LN(2)/2)*DB102*DE102*VLOOKUP('Données projet'!$B$13,Paramètres!$A$1:$I$89,3,0)*0.475*44/12</f>
        <v>3.1166754098118843</v>
      </c>
      <c r="DI102" s="22">
        <f t="shared" si="69"/>
        <v>90.264520449886518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11">
        <f t="shared" si="86"/>
        <v>13.784191583461164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67">
        <f t="shared" si="56"/>
        <v>398.85080034119505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180.31844548479722</v>
      </c>
      <c r="T103" s="59">
        <f t="shared" si="88"/>
        <v>273.83237400307223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37.727525455139286</v>
      </c>
      <c r="AA103" s="21">
        <f>EXP(-LN(2)/25)*AA102+(1-EXP(-LN(2)/25))/(LN(2)/25)*Calculateur!V103*Calculateur!X103*VLOOKUP('Données projet'!$B$9,Paramètres!$A$1:$I$89,3,0)*0.475*44/12</f>
        <v>47.704770718765658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85.432296173904945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-5.6843418860808015E-14</v>
      </c>
      <c r="AJ103" s="13">
        <f>AI103*VLOOKUP('Données projet'!$B$10,Paramètres!$A$1:$I$89,3,0)*VLOOKUP('Données projet'!$B$10,Paramètres!$A$1:$I$89,5,0)</f>
        <v>-3.1036506698001178E-14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160.54301845388551</v>
      </c>
      <c r="AO103" s="59">
        <f t="shared" si="90"/>
        <v>272.6634844951584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20.552499288644025</v>
      </c>
      <c r="AV103" s="21">
        <f>EXP(-LN(2)/25)*AV102+(1-EXP(-LN(2)/25))/(LN(2)/25)*Calculateur!AQ103*Calculateur!AS103*VLOOKUP('Données projet'!$B$10,Paramètres!$A$1:$I$89,3,0)*0.475*44/12</f>
        <v>28.405304839646014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48.957804128290036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7.5015384615384617</v>
      </c>
      <c r="BD103" s="12">
        <f>IF('Données projet'!$A$88&gt;35,BD102+BC103-BL102,IF(A103&lt;'Données projet'!$A$88,$BA$205^A103,IF(A103='Données projet'!$A$88,'Données projet'!$B$88,BD102+BC103-BL102)))</f>
        <v>272.20769230769258</v>
      </c>
      <c r="BE103" s="13">
        <f>BD103*VLOOKUP('Données projet'!$B$11,Paramètres!$A$1:$I$89,3,0)*VLOOKUP('Données projet'!$B$11,Paramètres!$A$1:$I$89,5,0)</f>
        <v>127.39320000000012</v>
      </c>
      <c r="BF103" s="13">
        <f t="shared" si="91"/>
        <v>33.393296112922592</v>
      </c>
      <c r="BG103" s="20">
        <f t="shared" si="61"/>
        <v>280.03648073000704</v>
      </c>
      <c r="BH103" s="59">
        <f t="shared" si="62"/>
        <v>573.3698140633403</v>
      </c>
      <c r="BI103" s="59">
        <f ca="1">AVERAGE(OFFSET($BH$3,0,0,'Données projet'!$E$11+1,1))-AVERAGE(OFFSET($H$3,0,0,'Données projet'!$E$11+1,1))</f>
        <v>207.25176714718668</v>
      </c>
      <c r="BJ103" s="59">
        <f t="shared" si="92"/>
        <v>191.53228014642559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111.7257580894434</v>
      </c>
      <c r="BQ103" s="21">
        <f>EXP(-LN(2)/25)*BQ102+(1-EXP(-LN(2)/25))/(LN(2)/25)*Calculateur!BL103*Calculateur!BN103*VLOOKUP('Données projet'!$B$11,Paramètres!$A$1:$I$89,3,0)*0.475*44/12</f>
        <v>30.12386721225651</v>
      </c>
      <c r="BR103" s="21">
        <f>EXP(-LN(2)/2)*BR102+(1-EXP(-LN(2)/2))/(LN(2)/2)*BL103*BO103*VLOOKUP('Données projet'!$B$11,Paramètres!$A$1:$I$89,3,0)*0.475*44/12</f>
        <v>2.9623025631483393</v>
      </c>
      <c r="BS103" s="22">
        <f t="shared" si="63"/>
        <v>144.81192786484826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68.620424404221751</v>
      </c>
      <c r="CE103" s="59">
        <f t="shared" si="94"/>
        <v>203.12945099478918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9.7029139555202306</v>
      </c>
      <c r="CL103" s="21">
        <f>EXP(-LN(2)/25)*CL102+(1-EXP(-LN(2)/25))/(LN(2)/25)*Calculateur!CG103*Calculateur!CI103*VLOOKUP('Données projet'!$B$12,Paramètres!$A$1:$I$89,3,0)*0.475*44/12</f>
        <v>1.0988909997803753</v>
      </c>
      <c r="CM103" s="21">
        <f>EXP(-LN(2)/2)*CM102+(1-EXP(-LN(2)/2))/(LN(2)/2)*CG103*CJ103*VLOOKUP('Données projet'!$B$12,Paramètres!$A$1:$I$89,3,0)*0.475*44/12</f>
        <v>1.3116563512095999E-11</v>
      </c>
      <c r="CN103" s="22">
        <f t="shared" si="66"/>
        <v>10.801804955313722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4.4823076923076943</v>
      </c>
      <c r="CT103" s="12">
        <f>IF('Données projet'!$A$140&gt;35,CT102+CS103-DB102,IF(A103&lt;'Données projet'!$A$140,$CQ$205^A103,IF(A103='Données projet'!$A$140,'Données projet'!$B$140,CT102+CS103-DB102)))</f>
        <v>191.41153846153816</v>
      </c>
      <c r="CU103" s="17">
        <f>CT103*VLOOKUP('Données projet'!$B$13,Paramètres!$A$1:$I$89,3,0)*VLOOKUP('Données projet'!$B$13,Paramètres!$A$1:$I$89,5,0)</f>
        <v>114.46409999999982</v>
      </c>
      <c r="CV103" s="13">
        <f t="shared" si="95"/>
        <v>30.380313875395188</v>
      </c>
      <c r="CW103" s="20">
        <f t="shared" si="67"/>
        <v>252.27068749964624</v>
      </c>
      <c r="CX103" s="59">
        <f t="shared" si="68"/>
        <v>545.60402083297959</v>
      </c>
      <c r="CY103" s="59">
        <f ca="1">AVERAGE(OFFSET($CX$3,0,0,'Données projet'!$E$13+1,1))-AVERAGE(OFFSET($H$3,0,0,'Données projet'!$E$13+1,1))</f>
        <v>196.25918971690442</v>
      </c>
      <c r="CZ103" s="59">
        <f t="shared" si="96"/>
        <v>148.35701313170205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56.03782718715258</v>
      </c>
      <c r="DG103" s="21">
        <f>EXP(-LN(2)/25)*DG102+(1-EXP(-LN(2)/25))/(LN(2)/25)*Calculateur!DB103*Calculateur!DD103*VLOOKUP('Données projet'!$B$13,Paramètres!$A$1:$I$89,3,0)*0.475*44/12</f>
        <v>29.169115659354127</v>
      </c>
      <c r="DH103" s="21">
        <f>EXP(-LN(2)/2)*DH102+(1-EXP(-LN(2)/2))/(LN(2)/2)*DB103*DE103*VLOOKUP('Données projet'!$B$13,Paramètres!$A$1:$I$89,3,0)*0.475*44/12</f>
        <v>2.2038223170353457</v>
      </c>
      <c r="DI103" s="22">
        <f t="shared" si="69"/>
        <v>87.410765163542052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11">
        <f t="shared" si="86"/>
        <v>13.905918076773704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67">
        <f t="shared" si="56"/>
        <v>399.87790731704769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180.31844548479722</v>
      </c>
      <c r="T104" s="59">
        <f t="shared" si="88"/>
        <v>273.83237400307223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36.987711692482335</v>
      </c>
      <c r="AA104" s="21">
        <f>EXP(-LN(2)/25)*AA103+(1-EXP(-LN(2)/25))/(LN(2)/25)*Calculateur!V104*Calculateur!X104*VLOOKUP('Données projet'!$B$9,Paramètres!$A$1:$I$89,3,0)*0.475*44/12</f>
        <v>46.400281254776154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83.387992947258482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-5.6843418860808015E-14</v>
      </c>
      <c r="AJ104" s="13">
        <f>AI104*VLOOKUP('Données projet'!$B$10,Paramètres!$A$1:$I$89,3,0)*VLOOKUP('Données projet'!$B$10,Paramètres!$A$1:$I$89,5,0)</f>
        <v>-3.1036506698001178E-14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160.54301845388551</v>
      </c>
      <c r="AO104" s="59">
        <f t="shared" si="90"/>
        <v>272.6634844951584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20.149477313380476</v>
      </c>
      <c r="AV104" s="21">
        <f>EXP(-LN(2)/25)*AV103+(1-EXP(-LN(2)/25))/(LN(2)/25)*Calculateur!AQ104*Calculateur!AS104*VLOOKUP('Données projet'!$B$10,Paramètres!$A$1:$I$89,3,0)*0.475*44/12</f>
        <v>27.628560285035835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47.778037598416311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7.5015384615384617</v>
      </c>
      <c r="BD104" s="12">
        <f>IF('Données projet'!$A$88&gt;35,BD103+BC104-BL103,IF(A104&lt;'Données projet'!$A$88,$BA$205^A104,IF(A104='Données projet'!$A$88,'Données projet'!$B$88,BD103+BC104-BL103)))</f>
        <v>279.70923076923106</v>
      </c>
      <c r="BE104" s="13">
        <f>BD104*VLOOKUP('Données projet'!$B$11,Paramètres!$A$1:$I$89,3,0)*VLOOKUP('Données projet'!$B$11,Paramètres!$A$1:$I$89,5,0)</f>
        <v>130.90392000000014</v>
      </c>
      <c r="BF104" s="13">
        <f t="shared" si="91"/>
        <v>34.205144397668505</v>
      </c>
      <c r="BG104" s="20">
        <f t="shared" si="61"/>
        <v>287.56495382593954</v>
      </c>
      <c r="BH104" s="59">
        <f t="shared" si="62"/>
        <v>580.89828715927285</v>
      </c>
      <c r="BI104" s="59">
        <f ca="1">AVERAGE(OFFSET($BH$3,0,0,'Données projet'!$E$11+1,1))-AVERAGE(OFFSET($H$3,0,0,'Données projet'!$E$11+1,1))</f>
        <v>207.25176714718668</v>
      </c>
      <c r="BJ104" s="59">
        <f t="shared" si="92"/>
        <v>191.53228014642559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109.534884119293</v>
      </c>
      <c r="BQ104" s="21">
        <f>EXP(-LN(2)/25)*BQ103+(1-EXP(-LN(2)/25))/(LN(2)/25)*Calculateur!BL104*Calculateur!BN104*VLOOKUP('Données projet'!$B$11,Paramètres!$A$1:$I$89,3,0)*0.475*44/12</f>
        <v>29.300128479192029</v>
      </c>
      <c r="BR104" s="21">
        <f>EXP(-LN(2)/2)*BR103+(1-EXP(-LN(2)/2))/(LN(2)/2)*BL104*BO104*VLOOKUP('Données projet'!$B$11,Paramètres!$A$1:$I$89,3,0)*0.475*44/12</f>
        <v>2.0946642303284819</v>
      </c>
      <c r="BS104" s="22">
        <f t="shared" si="63"/>
        <v>140.92967682881351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68.620424404221751</v>
      </c>
      <c r="CE104" s="59">
        <f t="shared" si="94"/>
        <v>203.12945099478918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9.5126457310456196</v>
      </c>
      <c r="CL104" s="21">
        <f>EXP(-LN(2)/25)*CL103+(1-EXP(-LN(2)/25))/(LN(2)/25)*Calculateur!CG104*Calculateur!CI104*VLOOKUP('Données projet'!$B$12,Paramètres!$A$1:$I$89,3,0)*0.475*44/12</f>
        <v>1.0688417676032147</v>
      </c>
      <c r="CM104" s="21">
        <f>EXP(-LN(2)/2)*CM103+(1-EXP(-LN(2)/2))/(LN(2)/2)*CG104*CJ104*VLOOKUP('Données projet'!$B$12,Paramètres!$A$1:$I$89,3,0)*0.475*44/12</f>
        <v>9.2748110052671185E-12</v>
      </c>
      <c r="CN104" s="22">
        <f t="shared" si="66"/>
        <v>10.581487498658108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4.4823076923076943</v>
      </c>
      <c r="CT104" s="12">
        <f>IF('Données projet'!$A$140&gt;35,CT103+CS104-DB103,IF(A104&lt;'Données projet'!$A$140,$CQ$205^A104,IF(A104='Données projet'!$A$140,'Données projet'!$B$140,CT103+CS104-DB103)))</f>
        <v>195.89384615384586</v>
      </c>
      <c r="CU104" s="17">
        <f>CT104*VLOOKUP('Données projet'!$B$13,Paramètres!$A$1:$I$89,3,0)*VLOOKUP('Données projet'!$B$13,Paramètres!$A$1:$I$89,5,0)</f>
        <v>117.14451999999983</v>
      </c>
      <c r="CV104" s="13">
        <f t="shared" si="95"/>
        <v>31.008074864544625</v>
      </c>
      <c r="CW104" s="20">
        <f t="shared" si="67"/>
        <v>258.03243605574824</v>
      </c>
      <c r="CX104" s="59">
        <f t="shared" si="68"/>
        <v>551.36576938908161</v>
      </c>
      <c r="CY104" s="59">
        <f ca="1">AVERAGE(OFFSET($CX$3,0,0,'Données projet'!$E$13+1,1))-AVERAGE(OFFSET($H$3,0,0,'Données projet'!$E$13+1,1))</f>
        <v>196.25918971690442</v>
      </c>
      <c r="CZ104" s="59">
        <f t="shared" si="96"/>
        <v>148.35701313170205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54.93895957571214</v>
      </c>
      <c r="DG104" s="21">
        <f>EXP(-LN(2)/25)*DG103+(1-EXP(-LN(2)/25))/(LN(2)/25)*Calculateur!DB104*Calculateur!DD104*VLOOKUP('Données projet'!$B$13,Paramètres!$A$1:$I$89,3,0)*0.475*44/12</f>
        <v>28.371484657711964</v>
      </c>
      <c r="DH104" s="21">
        <f>EXP(-LN(2)/2)*DH103+(1-EXP(-LN(2)/2))/(LN(2)/2)*DB104*DE104*VLOOKUP('Données projet'!$B$13,Paramètres!$A$1:$I$89,3,0)*0.475*44/12</f>
        <v>1.5583377049059424</v>
      </c>
      <c r="DI104" s="22">
        <f t="shared" si="69"/>
        <v>84.868781938330045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11">
        <f t="shared" si="86"/>
        <v>14.027504361700455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67">
        <f t="shared" si="56"/>
        <v>400.90477009662845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180.31844548479722</v>
      </c>
      <c r="T105" s="59">
        <f t="shared" si="88"/>
        <v>273.83237400307223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36.262405226469248</v>
      </c>
      <c r="AA105" s="21">
        <f>EXP(-LN(2)/25)*AA104+(1-EXP(-LN(2)/25))/(LN(2)/25)*Calculateur!V105*Calculateur!X105*VLOOKUP('Données projet'!$B$9,Paramètres!$A$1:$I$89,3,0)*0.475*44/12</f>
        <v>45.131463123779561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81.393868350248809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-5.6843418860808015E-14</v>
      </c>
      <c r="AJ105" s="13">
        <f>AI105*VLOOKUP('Données projet'!$B$10,Paramètres!$A$1:$I$89,3,0)*VLOOKUP('Données projet'!$B$10,Paramètres!$A$1:$I$89,5,0)</f>
        <v>-3.1036506698001178E-14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160.54301845388551</v>
      </c>
      <c r="AO105" s="59">
        <f t="shared" si="90"/>
        <v>272.6634844951584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19.754358353232714</v>
      </c>
      <c r="AV105" s="21">
        <f>EXP(-LN(2)/25)*AV104+(1-EXP(-LN(2)/25))/(LN(2)/25)*Calculateur!AQ105*Calculateur!AS105*VLOOKUP('Données projet'!$B$10,Paramètres!$A$1:$I$89,3,0)*0.475*44/12</f>
        <v>26.873055851118689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46.627414204351403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7.5015384615384617</v>
      </c>
      <c r="BD105" s="12">
        <f>IF('Données projet'!$A$88&gt;35,BD104+BC105-BL104,IF(A105&lt;'Données projet'!$A$88,$BA$205^A105,IF(A105='Données projet'!$A$88,'Données projet'!$B$88,BD104+BC105-BL104)))</f>
        <v>287.21076923076953</v>
      </c>
      <c r="BE105" s="13">
        <f>BD105*VLOOKUP('Données projet'!$B$11,Paramètres!$A$1:$I$89,3,0)*VLOOKUP('Données projet'!$B$11,Paramètres!$A$1:$I$89,5,0)</f>
        <v>134.41464000000013</v>
      </c>
      <c r="BF105" s="13">
        <f t="shared" si="91"/>
        <v>35.014461935490388</v>
      </c>
      <c r="BG105" s="20">
        <f t="shared" si="61"/>
        <v>295.08901920431265</v>
      </c>
      <c r="BH105" s="59">
        <f t="shared" si="62"/>
        <v>588.42235253764602</v>
      </c>
      <c r="BI105" s="59">
        <f ca="1">AVERAGE(OFFSET($BH$3,0,0,'Données projet'!$E$11+1,1))-AVERAGE(OFFSET($H$3,0,0,'Données projet'!$E$11+1,1))</f>
        <v>207.25176714718668</v>
      </c>
      <c r="BJ105" s="59">
        <f t="shared" si="92"/>
        <v>191.53228014642559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107.38697185139607</v>
      </c>
      <c r="BQ105" s="21">
        <f>EXP(-LN(2)/25)*BQ104+(1-EXP(-LN(2)/25))/(LN(2)/25)*Calculateur!BL105*Calculateur!BN105*VLOOKUP('Données projet'!$B$11,Paramètres!$A$1:$I$89,3,0)*0.475*44/12</f>
        <v>28.498914925101733</v>
      </c>
      <c r="BR105" s="21">
        <f>EXP(-LN(2)/2)*BR104+(1-EXP(-LN(2)/2))/(LN(2)/2)*BL105*BO105*VLOOKUP('Données projet'!$B$11,Paramètres!$A$1:$I$89,3,0)*0.475*44/12</f>
        <v>1.4811512815741699</v>
      </c>
      <c r="BS105" s="22">
        <f t="shared" si="63"/>
        <v>137.36703805807198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68.620424404221751</v>
      </c>
      <c r="CE105" s="59">
        <f t="shared" si="94"/>
        <v>203.12945099478918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9.3261085504007966</v>
      </c>
      <c r="CL105" s="21">
        <f>EXP(-LN(2)/25)*CL104+(1-EXP(-LN(2)/25))/(LN(2)/25)*Calculateur!CG105*Calculateur!CI105*VLOOKUP('Données projet'!$B$12,Paramètres!$A$1:$I$89,3,0)*0.475*44/12</f>
        <v>1.039614233260159</v>
      </c>
      <c r="CM105" s="21">
        <f>EXP(-LN(2)/2)*CM104+(1-EXP(-LN(2)/2))/(LN(2)/2)*CG105*CJ105*VLOOKUP('Données projet'!$B$12,Paramètres!$A$1:$I$89,3,0)*0.475*44/12</f>
        <v>6.5582817560479993E-12</v>
      </c>
      <c r="CN105" s="22">
        <f t="shared" si="66"/>
        <v>10.365722783667515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4.4823076923076943</v>
      </c>
      <c r="CT105" s="12">
        <f>IF('Données projet'!$A$140&gt;35,CT104+CS105-DB104,IF(A105&lt;'Données projet'!$A$140,$CQ$205^A105,IF(A105='Données projet'!$A$140,'Données projet'!$B$140,CT104+CS105-DB104)))</f>
        <v>200.37615384615356</v>
      </c>
      <c r="CU105" s="17">
        <f>CT105*VLOOKUP('Données projet'!$B$13,Paramètres!$A$1:$I$89,3,0)*VLOOKUP('Données projet'!$B$13,Paramètres!$A$1:$I$89,5,0)</f>
        <v>119.82493999999983</v>
      </c>
      <c r="CV105" s="13">
        <f t="shared" si="95"/>
        <v>31.634165955427772</v>
      </c>
      <c r="CW105" s="20">
        <f t="shared" si="67"/>
        <v>263.79127620570301</v>
      </c>
      <c r="CX105" s="59">
        <f t="shared" si="68"/>
        <v>557.12460953903633</v>
      </c>
      <c r="CY105" s="59">
        <f ca="1">AVERAGE(OFFSET($CX$3,0,0,'Données projet'!$E$13+1,1))-AVERAGE(OFFSET($H$3,0,0,'Données projet'!$E$13+1,1))</f>
        <v>196.25918971690442</v>
      </c>
      <c r="CZ105" s="59">
        <f t="shared" si="96"/>
        <v>148.35701313170205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53.861640087888979</v>
      </c>
      <c r="DG105" s="21">
        <f>EXP(-LN(2)/25)*DG104+(1-EXP(-LN(2)/25))/(LN(2)/25)*Calculateur!DB105*Calculateur!DD105*VLOOKUP('Données projet'!$B$13,Paramètres!$A$1:$I$89,3,0)*0.475*44/12</f>
        <v>27.595664917755297</v>
      </c>
      <c r="DH105" s="21">
        <f>EXP(-LN(2)/2)*DH104+(1-EXP(-LN(2)/2))/(LN(2)/2)*DB105*DE105*VLOOKUP('Données projet'!$B$13,Paramètres!$A$1:$I$89,3,0)*0.475*44/12</f>
        <v>1.1019111585176729</v>
      </c>
      <c r="DI105" s="22">
        <f t="shared" si="69"/>
        <v>82.559216164161938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11">
        <f t="shared" si="86"/>
        <v>14.148951972010016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67">
        <f t="shared" si="56"/>
        <v>401.93139135125097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180.31844548479722</v>
      </c>
      <c r="T106" s="59">
        <f t="shared" si="88"/>
        <v>273.83237400307223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35.551321577861415</v>
      </c>
      <c r="AA106" s="21">
        <f>EXP(-LN(2)/25)*AA105+(1-EXP(-LN(2)/25))/(LN(2)/25)*Calculateur!V106*Calculateur!X106*VLOOKUP('Données projet'!$B$9,Paramètres!$A$1:$I$89,3,0)*0.475*44/12</f>
        <v>43.897340891299315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79.448662469160723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-5.6843418860808015E-14</v>
      </c>
      <c r="AJ106" s="13">
        <f>AI106*VLOOKUP('Données projet'!$B$10,Paramètres!$A$1:$I$89,3,0)*VLOOKUP('Données projet'!$B$10,Paramètres!$A$1:$I$89,5,0)</f>
        <v>-3.1036506698001178E-14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160.54301845388551</v>
      </c>
      <c r="AO106" s="59">
        <f t="shared" si="90"/>
        <v>272.6634844951584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19.366987434894678</v>
      </c>
      <c r="AV106" s="21">
        <f>EXP(-LN(2)/25)*AV105+(1-EXP(-LN(2)/25))/(LN(2)/25)*Calculateur!AQ106*Calculateur!AS106*VLOOKUP('Données projet'!$B$10,Paramètres!$A$1:$I$89,3,0)*0.475*44/12</f>
        <v>26.138210725677261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45.505198160571936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7.5015384615384617</v>
      </c>
      <c r="BD106" s="12">
        <f>IF('Données projet'!$A$88&gt;35,BD105+BC106-BL105,IF(A106&lt;'Données projet'!$A$88,$BA$205^A106,IF(A106='Données projet'!$A$88,'Données projet'!$B$88,BD105+BC106-BL105)))</f>
        <v>294.712307692308</v>
      </c>
      <c r="BE106" s="13">
        <f>BD106*VLOOKUP('Données projet'!$B$11,Paramètres!$A$1:$I$89,3,0)*VLOOKUP('Données projet'!$B$11,Paramètres!$A$1:$I$89,5,0)</f>
        <v>137.92536000000015</v>
      </c>
      <c r="BF106" s="13">
        <f t="shared" si="91"/>
        <v>35.82132242479814</v>
      </c>
      <c r="BG106" s="20">
        <f t="shared" si="61"/>
        <v>302.6088052231903</v>
      </c>
      <c r="BH106" s="59">
        <f t="shared" si="62"/>
        <v>595.94213855652356</v>
      </c>
      <c r="BI106" s="59">
        <f ca="1">AVERAGE(OFFSET($BH$3,0,0,'Données projet'!$E$11+1,1))-AVERAGE(OFFSET($H$3,0,0,'Données projet'!$E$11+1,1))</f>
        <v>207.25176714718668</v>
      </c>
      <c r="BJ106" s="59">
        <f t="shared" si="92"/>
        <v>191.53228014642559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105.28117883297547</v>
      </c>
      <c r="BQ106" s="21">
        <f>EXP(-LN(2)/25)*BQ105+(1-EXP(-LN(2)/25))/(LN(2)/25)*Calculateur!BL106*Calculateur!BN106*VLOOKUP('Données projet'!$B$11,Paramètres!$A$1:$I$89,3,0)*0.475*44/12</f>
        <v>27.719610597782026</v>
      </c>
      <c r="BR106" s="21">
        <f>EXP(-LN(2)/2)*BR105+(1-EXP(-LN(2)/2))/(LN(2)/2)*BL106*BO106*VLOOKUP('Données projet'!$B$11,Paramètres!$A$1:$I$89,3,0)*0.475*44/12</f>
        <v>1.047332115164241</v>
      </c>
      <c r="BS106" s="22">
        <f t="shared" si="63"/>
        <v>134.04812154592173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68.620424404221751</v>
      </c>
      <c r="CE106" s="59">
        <f t="shared" si="94"/>
        <v>203.12945099478918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9.1432292500919736</v>
      </c>
      <c r="CL106" s="21">
        <f>EXP(-LN(2)/25)*CL105+(1-EXP(-LN(2)/25))/(LN(2)/25)*Calculateur!CG106*Calculateur!CI106*VLOOKUP('Données projet'!$B$12,Paramètres!$A$1:$I$89,3,0)*0.475*44/12</f>
        <v>1.0111859273807235</v>
      </c>
      <c r="CM106" s="21">
        <f>EXP(-LN(2)/2)*CM105+(1-EXP(-LN(2)/2))/(LN(2)/2)*CG106*CJ106*VLOOKUP('Données projet'!$B$12,Paramètres!$A$1:$I$89,3,0)*0.475*44/12</f>
        <v>4.6374055026335593E-12</v>
      </c>
      <c r="CN106" s="22">
        <f t="shared" si="66"/>
        <v>10.154415177477334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4.4823076923076943</v>
      </c>
      <c r="CT106" s="12">
        <f>IF('Données projet'!$A$140&gt;35,CT105+CS106-DB105,IF(A106&lt;'Données projet'!$A$140,$CQ$205^A106,IF(A106='Données projet'!$A$140,'Données projet'!$B$140,CT105+CS106-DB105)))</f>
        <v>204.85846153846126</v>
      </c>
      <c r="CU106" s="17">
        <f>CT106*VLOOKUP('Données projet'!$B$13,Paramètres!$A$1:$I$89,3,0)*VLOOKUP('Données projet'!$B$13,Paramètres!$A$1:$I$89,5,0)</f>
        <v>122.50535999999984</v>
      </c>
      <c r="CV106" s="13">
        <f t="shared" si="95"/>
        <v>32.258628803642537</v>
      </c>
      <c r="CW106" s="20">
        <f t="shared" si="67"/>
        <v>269.54728049967713</v>
      </c>
      <c r="CX106" s="59">
        <f t="shared" si="68"/>
        <v>562.88061383301044</v>
      </c>
      <c r="CY106" s="59">
        <f ca="1">AVERAGE(OFFSET($CX$3,0,0,'Données projet'!$E$13+1,1))-AVERAGE(OFFSET($H$3,0,0,'Données projet'!$E$13+1,1))</f>
        <v>196.25918971690442</v>
      </c>
      <c r="CZ106" s="59">
        <f t="shared" si="96"/>
        <v>148.35701313170205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52.805446178122033</v>
      </c>
      <c r="DG106" s="21">
        <f>EXP(-LN(2)/25)*DG105+(1-EXP(-LN(2)/25))/(LN(2)/25)*Calculateur!DB106*Calculateur!DD106*VLOOKUP('Données projet'!$B$13,Paramètres!$A$1:$I$89,3,0)*0.475*44/12</f>
        <v>26.841060009386332</v>
      </c>
      <c r="DH106" s="21">
        <f>EXP(-LN(2)/2)*DH105+(1-EXP(-LN(2)/2))/(LN(2)/2)*DB106*DE106*VLOOKUP('Données projet'!$B$13,Paramètres!$A$1:$I$89,3,0)*0.475*44/12</f>
        <v>0.77916885245297118</v>
      </c>
      <c r="DI106" s="22">
        <f t="shared" si="69"/>
        <v>80.425675039961334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11">
        <f t="shared" si="86"/>
        <v>14.270262409972092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67">
        <f t="shared" si="56"/>
        <v>402.95777369736822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180.31844548479722</v>
      </c>
      <c r="T107" s="59">
        <f t="shared" si="88"/>
        <v>273.83237400307223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34.854181845884582</v>
      </c>
      <c r="AA107" s="21">
        <f>EXP(-LN(2)/25)*AA106+(1-EXP(-LN(2)/25))/(LN(2)/25)*Calculateur!V107*Calculateur!X107*VLOOKUP('Données projet'!$B$9,Paramètres!$A$1:$I$89,3,0)*0.475*44/12</f>
        <v>42.696965796165905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77.551147642050495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-5.6843418860808015E-14</v>
      </c>
      <c r="AJ107" s="13">
        <f>AI107*VLOOKUP('Données projet'!$B$10,Paramètres!$A$1:$I$89,3,0)*VLOOKUP('Données projet'!$B$10,Paramètres!$A$1:$I$89,5,0)</f>
        <v>-3.1036506698001178E-14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160.54301845388551</v>
      </c>
      <c r="AO107" s="59">
        <f t="shared" si="90"/>
        <v>272.6634844951584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18.987212623992324</v>
      </c>
      <c r="AV107" s="21">
        <f>EXP(-LN(2)/25)*AV106+(1-EXP(-LN(2)/25))/(LN(2)/25)*Calculateur!AQ107*Calculateur!AS107*VLOOKUP('Données projet'!$B$10,Paramètres!$A$1:$I$89,3,0)*0.475*44/12</f>
        <v>25.423459978834853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44.410672602827177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7.5015384615384617</v>
      </c>
      <c r="BD107" s="12">
        <f>IF('Données projet'!$A$88&gt;35,BD106+BC107-BL106,IF(A107&lt;'Données projet'!$A$88,$BA$205^A107,IF(A107='Données projet'!$A$88,'Données projet'!$B$88,BD106+BC107-BL106)))</f>
        <v>302.21384615384648</v>
      </c>
      <c r="BE107" s="13">
        <f>BD107*VLOOKUP('Données projet'!$B$11,Paramètres!$A$1:$I$89,3,0)*VLOOKUP('Données projet'!$B$11,Paramètres!$A$1:$I$89,5,0)</f>
        <v>141.43608000000015</v>
      </c>
      <c r="BF107" s="13">
        <f t="shared" si="91"/>
        <v>36.625795598426585</v>
      </c>
      <c r="BG107" s="20">
        <f t="shared" si="61"/>
        <v>310.12443333392656</v>
      </c>
      <c r="BH107" s="59">
        <f t="shared" si="62"/>
        <v>603.45776666725988</v>
      </c>
      <c r="BI107" s="59">
        <f ca="1">AVERAGE(OFFSET($BH$3,0,0,'Données projet'!$E$11+1,1))-AVERAGE(OFFSET($H$3,0,0,'Données projet'!$E$11+1,1))</f>
        <v>207.25176714718668</v>
      </c>
      <c r="BJ107" s="59">
        <f t="shared" si="92"/>
        <v>191.53228014642559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103.21667913123919</v>
      </c>
      <c r="BQ107" s="21">
        <f>EXP(-LN(2)/25)*BQ106+(1-EXP(-LN(2)/25))/(LN(2)/25)*Calculateur!BL107*Calculateur!BN107*VLOOKUP('Données projet'!$B$11,Paramètres!$A$1:$I$89,3,0)*0.475*44/12</f>
        <v>26.96161638827471</v>
      </c>
      <c r="BR107" s="21">
        <f>EXP(-LN(2)/2)*BR106+(1-EXP(-LN(2)/2))/(LN(2)/2)*BL107*BO107*VLOOKUP('Données projet'!$B$11,Paramètres!$A$1:$I$89,3,0)*0.475*44/12</f>
        <v>0.74057564078708493</v>
      </c>
      <c r="BS107" s="22">
        <f t="shared" si="63"/>
        <v>130.91887116030099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68.620424404221751</v>
      </c>
      <c r="CE107" s="59">
        <f t="shared" si="94"/>
        <v>203.12945099478918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8.9639361013168468</v>
      </c>
      <c r="CL107" s="21">
        <f>EXP(-LN(2)/25)*CL106+(1-EXP(-LN(2)/25))/(LN(2)/25)*Calculateur!CG107*Calculateur!CI107*VLOOKUP('Données projet'!$B$12,Paramètres!$A$1:$I$89,3,0)*0.475*44/12</f>
        <v>0.98353499502054087</v>
      </c>
      <c r="CM107" s="21">
        <f>EXP(-LN(2)/2)*CM106+(1-EXP(-LN(2)/2))/(LN(2)/2)*CG107*CJ107*VLOOKUP('Données projet'!$B$12,Paramètres!$A$1:$I$89,3,0)*0.475*44/12</f>
        <v>3.2791408780239997E-12</v>
      </c>
      <c r="CN107" s="22">
        <f t="shared" si="66"/>
        <v>9.9474710963406672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4.4823076923076943</v>
      </c>
      <c r="CT107" s="12">
        <f>IF('Données projet'!$A$140&gt;35,CT106+CS107-DB106,IF(A107&lt;'Données projet'!$A$140,$CQ$205^A107,IF(A107='Données projet'!$A$140,'Données projet'!$B$140,CT106+CS107-DB106)))</f>
        <v>209.34076923076896</v>
      </c>
      <c r="CU107" s="17">
        <f>CT107*VLOOKUP('Données projet'!$B$13,Paramètres!$A$1:$I$89,3,0)*VLOOKUP('Données projet'!$B$13,Paramètres!$A$1:$I$89,5,0)</f>
        <v>125.18577999999984</v>
      </c>
      <c r="CV107" s="13">
        <f t="shared" si="95"/>
        <v>32.881503137838287</v>
      </c>
      <c r="CW107" s="20">
        <f t="shared" si="67"/>
        <v>275.30051813173475</v>
      </c>
      <c r="CX107" s="59">
        <f t="shared" si="68"/>
        <v>568.63385146506812</v>
      </c>
      <c r="CY107" s="59">
        <f ca="1">AVERAGE(OFFSET($CX$3,0,0,'Données projet'!$E$13+1,1))-AVERAGE(OFFSET($H$3,0,0,'Données projet'!$E$13+1,1))</f>
        <v>196.25918971690442</v>
      </c>
      <c r="CZ107" s="59">
        <f t="shared" si="96"/>
        <v>148.35701313170205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51.769963586710936</v>
      </c>
      <c r="DG107" s="21">
        <f>EXP(-LN(2)/25)*DG106+(1-EXP(-LN(2)/25))/(LN(2)/25)*Calculateur!DB107*Calculateur!DD107*VLOOKUP('Données projet'!$B$13,Paramètres!$A$1:$I$89,3,0)*0.475*44/12</f>
        <v>26.107089811919664</v>
      </c>
      <c r="DH107" s="21">
        <f>EXP(-LN(2)/2)*DH106+(1-EXP(-LN(2)/2))/(LN(2)/2)*DB107*DE107*VLOOKUP('Données projet'!$B$13,Paramètres!$A$1:$I$89,3,0)*0.475*44/12</f>
        <v>0.55095557925883643</v>
      </c>
      <c r="DI107" s="22">
        <f t="shared" si="69"/>
        <v>78.428008977889448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11">
        <f t="shared" si="86"/>
        <v>14.3914371473009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67">
        <f t="shared" si="56"/>
        <v>403.98391969821591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180.31844548479722</v>
      </c>
      <c r="T108" s="59">
        <f t="shared" si="88"/>
        <v>273.83237400307223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34.170712598838563</v>
      </c>
      <c r="AA108" s="21">
        <f>EXP(-LN(2)/25)*AA107+(1-EXP(-LN(2)/25))/(LN(2)/25)*Calculateur!V108*Calculateur!X108*VLOOKUP('Données projet'!$B$9,Paramètres!$A$1:$I$89,3,0)*0.475*44/12</f>
        <v>41.5294150211339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75.700127619972463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-5.6843418860808015E-14</v>
      </c>
      <c r="AJ108" s="13">
        <f>AI108*VLOOKUP('Données projet'!$B$10,Paramètres!$A$1:$I$89,3,0)*VLOOKUP('Données projet'!$B$10,Paramètres!$A$1:$I$89,5,0)</f>
        <v>-3.1036506698001178E-14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160.54301845388551</v>
      </c>
      <c r="AO108" s="59">
        <f t="shared" si="90"/>
        <v>272.6634844951584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18.614884965491999</v>
      </c>
      <c r="AV108" s="21">
        <f>EXP(-LN(2)/25)*AV107+(1-EXP(-LN(2)/25))/(LN(2)/25)*Calculateur!AQ108*Calculateur!AS108*VLOOKUP('Données projet'!$B$10,Paramètres!$A$1:$I$89,3,0)*0.475*44/12</f>
        <v>24.72825412875196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43.343139094243959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309.71538461538461</v>
      </c>
      <c r="BB108" s="12">
        <f>VLOOKUP(A108,'Données projet'!$A$87:$I$107,9,0)</f>
        <v>7.5015384615384617</v>
      </c>
      <c r="BC108" s="12">
        <f t="array" ref="BC108">INDEX(BB:BB,MIN(IF(ISNUMBER(BB108:BB304),ROW(BB108:BB304),"")))</f>
        <v>7.5015384615384617</v>
      </c>
      <c r="BD108" s="12">
        <f>IF('Données projet'!$A$88&gt;35,BD107+BC108-BL107,IF(A108&lt;'Données projet'!$A$88,$BA$205^A108,IF(A108='Données projet'!$A$88,'Données projet'!$B$88,BD107+BC108-BL107)))</f>
        <v>309.71538461538495</v>
      </c>
      <c r="BE108" s="13">
        <f>BD108*VLOOKUP('Données projet'!$B$11,Paramètres!$A$1:$I$89,3,0)*VLOOKUP('Données projet'!$B$11,Paramètres!$A$1:$I$89,5,0)</f>
        <v>144.94680000000017</v>
      </c>
      <c r="BF108" s="13">
        <f t="shared" si="91"/>
        <v>37.427947530076956</v>
      </c>
      <c r="BG108" s="20">
        <f t="shared" si="61"/>
        <v>317.63601861488428</v>
      </c>
      <c r="BH108" s="59">
        <f t="shared" si="62"/>
        <v>610.96935194821754</v>
      </c>
      <c r="BI108" s="59">
        <f ca="1">AVERAGE(OFFSET($BH$3,0,0,'Données projet'!$E$11+1,1))-AVERAGE(OFFSET($H$3,0,0,'Données projet'!$E$11+1,1))</f>
        <v>207.25176714718668</v>
      </c>
      <c r="BJ108" s="59">
        <f t="shared" si="92"/>
        <v>191.53228014642559</v>
      </c>
      <c r="BK108" s="15">
        <f>IF(ISNA(VLOOKUP(A108,'Données projet'!$A$87:$I$107,3,0)),0,VLOOKUP(A108,'Données projet'!$A$87:$I$107,3,0))</f>
        <v>9</v>
      </c>
      <c r="BL108" s="15">
        <f>IF(ISNA(VLOOKUP(A108,'Données projet'!$A$87:$I$107,4,0)),0,VLOOKUP(A108,'Données projet'!$A$87:$I$107,4,0))</f>
        <v>309.71538461538461</v>
      </c>
      <c r="BM108" s="16">
        <f>IF(ISNA(VLOOKUP(A108,'Données projet'!$A$87:$I$107,5,0)),0%,VLOOKUP(A108,'Données projet'!$A$87:$I$107,5,0)*VLOOKUP('Données projet'!$B$11,Paramètres!$A$1:$I$89,7,0))</f>
        <v>0.38500000000000001</v>
      </c>
      <c r="BN108" s="16">
        <f>IF(ISNA(VLOOKUP(A108,'Données projet'!$A$87:$I$107,6,0)),0%,VLOOKUP(A108,'Données projet'!$A$87:$I$107,6,0)*VLOOKUP('Données projet'!$B$11,Paramètres!$A$1:$I$89,7,0))</f>
        <v>9.240000000000001E-2</v>
      </c>
      <c r="BO108" s="16">
        <f>IF(ISNA(VLOOKUP(A108,'Données projet'!$A$87:$I$107,7,0)),0%,VLOOKUP(A108,'Données projet'!$A$87:$I$107,7,0))</f>
        <v>0.13200000000000001</v>
      </c>
      <c r="BP108" s="21">
        <f>EXP(-LN(2)/35)*BP107+(1-EXP(-LN(2)/35))/(LN(2)/35)*BL108*BM108*VLOOKUP('Données projet'!$B$11,Paramètres!$A$1:$I$89,3,0)*0.475*44/12</f>
        <v>175.22095304116948</v>
      </c>
      <c r="BQ108" s="21">
        <f>EXP(-LN(2)/25)*BQ107+(1-EXP(-LN(2)/25))/(LN(2)/25)*Calculateur!BL108*Calculateur!BN108*VLOOKUP('Données projet'!$B$11,Paramètres!$A$1:$I$89,3,0)*0.475*44/12</f>
        <v>43.921184557541437</v>
      </c>
      <c r="BR108" s="21">
        <f>EXP(-LN(2)/2)*BR107+(1-EXP(-LN(2)/2))/(LN(2)/2)*BL108*BO108*VLOOKUP('Données projet'!$B$11,Paramètres!$A$1:$I$89,3,0)*0.475*44/12</f>
        <v>22.186641244152522</v>
      </c>
      <c r="BS108" s="22">
        <f t="shared" si="63"/>
        <v>241.32877884286344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68.620424404221751</v>
      </c>
      <c r="CE108" s="59">
        <f t="shared" si="94"/>
        <v>203.12945099478918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8.7881587818311786</v>
      </c>
      <c r="CL108" s="21">
        <f>EXP(-LN(2)/25)*CL107+(1-EXP(-LN(2)/25))/(LN(2)/25)*Calculateur!CG108*Calculateur!CI108*VLOOKUP('Données projet'!$B$12,Paramètres!$A$1:$I$89,3,0)*0.475*44/12</f>
        <v>0.95664017885984665</v>
      </c>
      <c r="CM108" s="21">
        <f>EXP(-LN(2)/2)*CM107+(1-EXP(-LN(2)/2))/(LN(2)/2)*CG108*CJ108*VLOOKUP('Données projet'!$B$12,Paramètres!$A$1:$I$89,3,0)*0.475*44/12</f>
        <v>2.3187027513167796E-12</v>
      </c>
      <c r="CN108" s="22">
        <f t="shared" si="66"/>
        <v>9.7447989606933429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213.82307692307694</v>
      </c>
      <c r="CR108" s="12">
        <f>VLOOKUP(A108,'Données projet'!$A$139:$I$159,9,0)</f>
        <v>4.4823076923076943</v>
      </c>
      <c r="CS108" s="12">
        <f t="array" ref="CS108">INDEX(CR:CR,MIN(IF(ISNUMBER(CR108:CR304),ROW(CR108:CR304),"")))</f>
        <v>4.4823076923076943</v>
      </c>
      <c r="CT108" s="12">
        <f>IF('Données projet'!$A$140&gt;35,CT107+CS108-DB107,IF(A108&lt;'Données projet'!$A$140,$CQ$205^A108,IF(A108='Données projet'!$A$140,'Données projet'!$B$140,CT107+CS108-DB107)))</f>
        <v>213.82307692307666</v>
      </c>
      <c r="CU108" s="17">
        <f>CT108*VLOOKUP('Données projet'!$B$13,Paramètres!$A$1:$I$89,3,0)*VLOOKUP('Données projet'!$B$13,Paramètres!$A$1:$I$89,5,0)</f>
        <v>127.86619999999985</v>
      </c>
      <c r="CV108" s="13">
        <f t="shared" si="95"/>
        <v>33.502826888174496</v>
      </c>
      <c r="CW108" s="20">
        <f t="shared" si="67"/>
        <v>281.05105516357031</v>
      </c>
      <c r="CX108" s="59">
        <f t="shared" si="68"/>
        <v>574.38438849690363</v>
      </c>
      <c r="CY108" s="59">
        <f ca="1">AVERAGE(OFFSET($CX$3,0,0,'Données projet'!$E$13+1,1))-AVERAGE(OFFSET($H$3,0,0,'Données projet'!$E$13+1,1))</f>
        <v>196.25918971690442</v>
      </c>
      <c r="CZ108" s="59">
        <f t="shared" si="96"/>
        <v>148.35701313170205</v>
      </c>
      <c r="DA108" s="15">
        <f>IF(ISNA(VLOOKUP(A108,'Données projet'!$A$139:$I$159,3,0)),0,VLOOKUP(A108,'Données projet'!$A$139:$I$159,3,0))</f>
        <v>6</v>
      </c>
      <c r="DB108" s="15">
        <f>IF(ISNA(VLOOKUP(A108,'Données projet'!$A$139:$I$159,4,0)),0,VLOOKUP(A108,'Données projet'!$A$139:$I$159,4,0))</f>
        <v>213.82307692307694</v>
      </c>
      <c r="DC108" s="16">
        <f>IF(ISNA(VLOOKUP(A108,'Données projet'!$A$139:$I$159,5,0)),0%,VLOOKUP(A108,'Données projet'!$A$139:$I$159,5,0)*VLOOKUP('Données projet'!$B$13,Paramètres!$A$1:$I$89,7,0))</f>
        <v>0.3735</v>
      </c>
      <c r="DD108" s="16">
        <f>IF(ISNA(VLOOKUP(A108,'Données projet'!$A$139:$I$159,6,0)),0%,VLOOKUP(A108,'Données projet'!$A$139:$I$159,6,0)*VLOOKUP('Données projet'!$B$13,Paramètres!$A$1:$I$89,7,0))</f>
        <v>4.9500000000000002E-2</v>
      </c>
      <c r="DE108" s="16">
        <f>IF(ISNA(VLOOKUP(A108,'Données projet'!$A$139:$I$159,7,0)),0%,VLOOKUP(A108,'Données projet'!$A$139:$I$159,7,0))</f>
        <v>0.06</v>
      </c>
      <c r="DF108" s="21">
        <f>EXP(-LN(2)/35)*DF107+(1-EXP(-LN(2)/35))/(LN(2)/35)*DB108*DC108*VLOOKUP('Données projet'!$B$13,Paramètres!$A$1:$I$89,3,0)*0.475*44/12</f>
        <v>114.10888553292348</v>
      </c>
      <c r="DG108" s="21">
        <f>EXP(-LN(2)/25)*DG107+(1-EXP(-LN(2)/25))/(LN(2)/25)*Calculateur!DB108*Calculateur!DD108*VLOOKUP('Données projet'!$B$13,Paramètres!$A$1:$I$89,3,0)*0.475*44/12</f>
        <v>33.756456952351478</v>
      </c>
      <c r="DH108" s="21">
        <f>EXP(-LN(2)/2)*DH107+(1-EXP(-LN(2)/2))/(LN(2)/2)*DB108*DE108*VLOOKUP('Données projet'!$B$13,Paramètres!$A$1:$I$89,3,0)*0.475*44/12</f>
        <v>9.0760389103452006</v>
      </c>
      <c r="DI108" s="22">
        <f t="shared" si="69"/>
        <v>156.94138139562017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11">
        <f t="shared" si="86"/>
        <v>14.512477626061624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67">
        <f t="shared" si="56"/>
        <v>405.00983186539088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180.31844548479722</v>
      </c>
      <c r="T109" s="59">
        <f t="shared" si="88"/>
        <v>273.83237400307223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33.500645766852038</v>
      </c>
      <c r="AA109" s="21">
        <f>EXP(-LN(2)/25)*AA108+(1-EXP(-LN(2)/25))/(LN(2)/25)*Calculateur!V109*Calculateur!X109*VLOOKUP('Données projet'!$B$9,Paramètres!$A$1:$I$89,3,0)*0.475*44/12</f>
        <v>40.393790983443978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73.894436750296023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-5.6843418860808015E-14</v>
      </c>
      <c r="AJ109" s="13">
        <f>AI109*VLOOKUP('Données projet'!$B$10,Paramètres!$A$1:$I$89,3,0)*VLOOKUP('Données projet'!$B$10,Paramètres!$A$1:$I$89,5,0)</f>
        <v>-3.1036506698001178E-14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160.54301845388551</v>
      </c>
      <c r="AO109" s="59">
        <f t="shared" si="90"/>
        <v>272.6634844951584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18.24985842527742</v>
      </c>
      <c r="AV109" s="21">
        <f>EXP(-LN(2)/25)*AV108+(1-EXP(-LN(2)/25))/(LN(2)/25)*Calculateur!AQ109*Calculateur!AS109*VLOOKUP('Données projet'!$B$10,Paramètres!$A$1:$I$89,3,0)*0.475*44/12</f>
        <v>24.052058719198872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42.301917144476292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3.4106051316484809E-13</v>
      </c>
      <c r="BE109" s="13">
        <f>BD109*VLOOKUP('Données projet'!$B$11,Paramètres!$A$1:$I$89,3,0)*VLOOKUP('Données projet'!$B$11,Paramètres!$A$1:$I$89,5,0)</f>
        <v>1.5961632016114892E-13</v>
      </c>
      <c r="BF109" s="13">
        <f t="shared" si="91"/>
        <v>2.2708641912150958E-12</v>
      </c>
      <c r="BG109" s="20">
        <f t="shared" si="61"/>
        <v>4.2330868906469593E-12</v>
      </c>
      <c r="BH109" s="59">
        <f t="shared" si="62"/>
        <v>293.33333333333752</v>
      </c>
      <c r="BI109" s="59">
        <f ca="1">AVERAGE(OFFSET($BH$3,0,0,'Données projet'!$E$11+1,1))-AVERAGE(OFFSET($H$3,0,0,'Données projet'!$E$11+1,1))</f>
        <v>207.25176714718668</v>
      </c>
      <c r="BJ109" s="59">
        <f t="shared" si="92"/>
        <v>191.53228014642559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171.78497702626055</v>
      </c>
      <c r="BQ109" s="21">
        <f>EXP(-LN(2)/25)*BQ108+(1-EXP(-LN(2)/25))/(LN(2)/25)*Calculateur!BL109*Calculateur!BN109*VLOOKUP('Données projet'!$B$11,Paramètres!$A$1:$I$89,3,0)*0.475*44/12</f>
        <v>42.72015745610075</v>
      </c>
      <c r="BR109" s="21">
        <f>EXP(-LN(2)/2)*BR108+(1-EXP(-LN(2)/2))/(LN(2)/2)*BL109*BO109*VLOOKUP('Données projet'!$B$11,Paramètres!$A$1:$I$89,3,0)*0.475*44/12</f>
        <v>15.688324475493388</v>
      </c>
      <c r="BS109" s="22">
        <f t="shared" si="63"/>
        <v>230.19345895785472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68.620424404221751</v>
      </c>
      <c r="CE109" s="59">
        <f t="shared" si="94"/>
        <v>203.12945099478918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8.6158283483670459</v>
      </c>
      <c r="CL109" s="21">
        <f>EXP(-LN(2)/25)*CL108+(1-EXP(-LN(2)/25))/(LN(2)/25)*Calculateur!CG109*Calculateur!CI109*VLOOKUP('Données projet'!$B$12,Paramètres!$A$1:$I$89,3,0)*0.475*44/12</f>
        <v>0.93048080286140356</v>
      </c>
      <c r="CM109" s="21">
        <f>EXP(-LN(2)/2)*CM108+(1-EXP(-LN(2)/2))/(LN(2)/2)*CG109*CJ109*VLOOKUP('Données projet'!$B$12,Paramètres!$A$1:$I$89,3,0)*0.475*44/12</f>
        <v>1.6395704390119998E-12</v>
      </c>
      <c r="CN109" s="22">
        <f t="shared" si="66"/>
        <v>9.5463091512300888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-2.8421709430404007E-13</v>
      </c>
      <c r="CU109" s="17">
        <f>CT109*VLOOKUP('Données projet'!$B$13,Paramètres!$A$1:$I$89,3,0)*VLOOKUP('Données projet'!$B$13,Paramètres!$A$1:$I$89,5,0)</f>
        <v>-1.69961822393816E-13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196.25918971690442</v>
      </c>
      <c r="CZ109" s="59">
        <f t="shared" si="96"/>
        <v>148.35701313170205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111.87127988717064</v>
      </c>
      <c r="DG109" s="21">
        <f>EXP(-LN(2)/25)*DG108+(1-EXP(-LN(2)/25))/(LN(2)/25)*Calculateur!DB109*Calculateur!DD109*VLOOKUP('Données projet'!$B$13,Paramètres!$A$1:$I$89,3,0)*0.475*44/12</f>
        <v>32.833384861814508</v>
      </c>
      <c r="DH109" s="21">
        <f>EXP(-LN(2)/2)*DH108+(1-EXP(-LN(2)/2))/(LN(2)/2)*DB109*DE109*VLOOKUP('Données projet'!$B$13,Paramètres!$A$1:$I$89,3,0)*0.475*44/12</f>
        <v>6.4177286598180556</v>
      </c>
      <c r="DI109" s="22">
        <f t="shared" si="69"/>
        <v>151.12239340880322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11">
        <f t="shared" si="86"/>
        <v>14.633385259541638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67">
        <f t="shared" si="56"/>
        <v>406.03551266036857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180.31844548479722</v>
      </c>
      <c r="T110" s="59">
        <f t="shared" si="88"/>
        <v>273.83237400307223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32.843718536740361</v>
      </c>
      <c r="AA110" s="21">
        <f>EXP(-LN(2)/25)*AA109+(1-EXP(-LN(2)/25))/(LN(2)/25)*Calculateur!V110*Calculateur!X110*VLOOKUP('Données projet'!$B$9,Paramètres!$A$1:$I$89,3,0)*0.475*44/12</f>
        <v>39.289220644784557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72.132939181524918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-5.6843418860808015E-14</v>
      </c>
      <c r="AJ110" s="13">
        <f>AI110*VLOOKUP('Données projet'!$B$10,Paramètres!$A$1:$I$89,3,0)*VLOOKUP('Données projet'!$B$10,Paramètres!$A$1:$I$89,5,0)</f>
        <v>-3.1036506698001178E-14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160.54301845388551</v>
      </c>
      <c r="AO110" s="59">
        <f t="shared" si="90"/>
        <v>272.6634844951584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17.891989832872245</v>
      </c>
      <c r="AV110" s="21">
        <f>EXP(-LN(2)/25)*AV109+(1-EXP(-LN(2)/25))/(LN(2)/25)*Calculateur!AQ110*Calculateur!AS110*VLOOKUP('Données projet'!$B$10,Paramètres!$A$1:$I$89,3,0)*0.475*44/12</f>
        <v>23.394353908679584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41.286343741551832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3.4106051316484809E-13</v>
      </c>
      <c r="BE110" s="13">
        <f>BD110*VLOOKUP('Données projet'!$B$11,Paramètres!$A$1:$I$89,3,0)*VLOOKUP('Données projet'!$B$11,Paramètres!$A$1:$I$89,5,0)</f>
        <v>1.5961632016114892E-13</v>
      </c>
      <c r="BF110" s="13">
        <f t="shared" si="91"/>
        <v>2.2708641912150958E-12</v>
      </c>
      <c r="BG110" s="20">
        <f t="shared" si="61"/>
        <v>4.2330868906469593E-12</v>
      </c>
      <c r="BH110" s="59">
        <f t="shared" si="62"/>
        <v>293.33333333333752</v>
      </c>
      <c r="BI110" s="59">
        <f ca="1">AVERAGE(OFFSET($BH$3,0,0,'Données projet'!$E$11+1,1))-AVERAGE(OFFSET($H$3,0,0,'Données projet'!$E$11+1,1))</f>
        <v>207.25176714718668</v>
      </c>
      <c r="BJ110" s="59">
        <f t="shared" si="92"/>
        <v>191.53228014642559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168.41637840526556</v>
      </c>
      <c r="BQ110" s="21">
        <f>EXP(-LN(2)/25)*BQ109+(1-EXP(-LN(2)/25))/(LN(2)/25)*Calculateur!BL110*Calculateur!BN110*VLOOKUP('Données projet'!$B$11,Paramètres!$A$1:$I$89,3,0)*0.475*44/12</f>
        <v>41.551972503908232</v>
      </c>
      <c r="BR110" s="21">
        <f>EXP(-LN(2)/2)*BR109+(1-EXP(-LN(2)/2))/(LN(2)/2)*BL110*BO110*VLOOKUP('Données projet'!$B$11,Paramètres!$A$1:$I$89,3,0)*0.475*44/12</f>
        <v>11.093320622076263</v>
      </c>
      <c r="BS110" s="22">
        <f t="shared" si="63"/>
        <v>221.06167153125006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68.620424404221751</v>
      </c>
      <c r="CE110" s="59">
        <f t="shared" si="94"/>
        <v>203.12945099478918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8.4468772095919586</v>
      </c>
      <c r="CL110" s="21">
        <f>EXP(-LN(2)/25)*CL109+(1-EXP(-LN(2)/25))/(LN(2)/25)*Calculateur!CG110*Calculateur!CI110*VLOOKUP('Données projet'!$B$12,Paramètres!$A$1:$I$89,3,0)*0.475*44/12</f>
        <v>0.90503675637529968</v>
      </c>
      <c r="CM110" s="21">
        <f>EXP(-LN(2)/2)*CM109+(1-EXP(-LN(2)/2))/(LN(2)/2)*CG110*CJ110*VLOOKUP('Données projet'!$B$12,Paramètres!$A$1:$I$89,3,0)*0.475*44/12</f>
        <v>1.1593513756583898E-12</v>
      </c>
      <c r="CN110" s="22">
        <f t="shared" si="66"/>
        <v>9.3519139659684178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-2.8421709430404007E-13</v>
      </c>
      <c r="CU110" s="17">
        <f>CT110*VLOOKUP('Données projet'!$B$13,Paramètres!$A$1:$I$89,3,0)*VLOOKUP('Données projet'!$B$13,Paramètres!$A$1:$I$89,5,0)</f>
        <v>-1.69961822393816E-13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196.25918971690442</v>
      </c>
      <c r="CZ110" s="59">
        <f t="shared" si="96"/>
        <v>148.35701313170205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109.67755232332634</v>
      </c>
      <c r="DG110" s="21">
        <f>EXP(-LN(2)/25)*DG109+(1-EXP(-LN(2)/25))/(LN(2)/25)*Calculateur!DB110*Calculateur!DD110*VLOOKUP('Données projet'!$B$13,Paramètres!$A$1:$I$89,3,0)*0.475*44/12</f>
        <v>31.935554226135523</v>
      </c>
      <c r="DH110" s="21">
        <f>EXP(-LN(2)/2)*DH109+(1-EXP(-LN(2)/2))/(LN(2)/2)*DB110*DE110*VLOOKUP('Données projet'!$B$13,Paramètres!$A$1:$I$89,3,0)*0.475*44/12</f>
        <v>4.5380194551726012</v>
      </c>
      <c r="DI110" s="22">
        <f t="shared" si="69"/>
        <v>146.15112600463445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11">
        <f t="shared" si="86"/>
        <v>14.754161433088285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67">
        <f t="shared" si="56"/>
        <v>407.06096449596231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180.31844548479722</v>
      </c>
      <c r="T111" s="59">
        <f t="shared" si="88"/>
        <v>273.83237400307223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32.19967324892513</v>
      </c>
      <c r="AA111" s="21">
        <f>EXP(-LN(2)/25)*AA110+(1-EXP(-LN(2)/25))/(LN(2)/25)*Calculateur!V111*Calculateur!X111*VLOOKUP('Données projet'!$B$9,Paramètres!$A$1:$I$89,3,0)*0.475*44/12</f>
        <v>38.214854840122605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70.414528089047735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-5.6843418860808015E-14</v>
      </c>
      <c r="AJ111" s="13">
        <f>AI111*VLOOKUP('Données projet'!$B$10,Paramètres!$A$1:$I$89,3,0)*VLOOKUP('Données projet'!$B$10,Paramètres!$A$1:$I$89,5,0)</f>
        <v>-3.1036506698001178E-14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160.54301845388551</v>
      </c>
      <c r="AO111" s="59">
        <f t="shared" si="90"/>
        <v>272.6634844951584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17.541138825285845</v>
      </c>
      <c r="AV111" s="21">
        <f>EXP(-LN(2)/25)*AV110+(1-EXP(-LN(2)/25))/(LN(2)/25)*Calculateur!AQ111*Calculateur!AS111*VLOOKUP('Données projet'!$B$10,Paramètres!$A$1:$I$89,3,0)*0.475*44/12</f>
        <v>22.754634070791138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40.295772896076983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3.4106051316484809E-13</v>
      </c>
      <c r="BE111" s="13">
        <f>BD111*VLOOKUP('Données projet'!$B$11,Paramètres!$A$1:$I$89,3,0)*VLOOKUP('Données projet'!$B$11,Paramètres!$A$1:$I$89,5,0)</f>
        <v>1.5961632016114892E-13</v>
      </c>
      <c r="BF111" s="13">
        <f t="shared" si="91"/>
        <v>2.2708641912150958E-12</v>
      </c>
      <c r="BG111" s="20">
        <f t="shared" si="61"/>
        <v>4.2330868906469593E-12</v>
      </c>
      <c r="BH111" s="59">
        <f t="shared" si="62"/>
        <v>293.33333333333752</v>
      </c>
      <c r="BI111" s="59">
        <f ca="1">AVERAGE(OFFSET($BH$3,0,0,'Données projet'!$E$11+1,1))-AVERAGE(OFFSET($H$3,0,0,'Données projet'!$E$11+1,1))</f>
        <v>207.25176714718668</v>
      </c>
      <c r="BJ111" s="59">
        <f t="shared" si="92"/>
        <v>191.53228014642559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165.113835948586</v>
      </c>
      <c r="BQ111" s="21">
        <f>EXP(-LN(2)/25)*BQ110+(1-EXP(-LN(2)/25))/(LN(2)/25)*Calculateur!BL111*Calculateur!BN111*VLOOKUP('Données projet'!$B$11,Paramètres!$A$1:$I$89,3,0)*0.475*44/12</f>
        <v>40.415731630665597</v>
      </c>
      <c r="BR111" s="21">
        <f>EXP(-LN(2)/2)*BR110+(1-EXP(-LN(2)/2))/(LN(2)/2)*BL111*BO111*VLOOKUP('Données projet'!$B$11,Paramètres!$A$1:$I$89,3,0)*0.475*44/12</f>
        <v>7.844162237746696</v>
      </c>
      <c r="BS111" s="22">
        <f t="shared" si="63"/>
        <v>213.37372981699829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68.620424404221751</v>
      </c>
      <c r="CE111" s="59">
        <f t="shared" si="94"/>
        <v>203.12945099478918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8.2812390995982312</v>
      </c>
      <c r="CL111" s="21">
        <f>EXP(-LN(2)/25)*CL110+(1-EXP(-LN(2)/25))/(LN(2)/25)*Calculateur!CG111*Calculateur!CI111*VLOOKUP('Données projet'!$B$12,Paramètres!$A$1:$I$89,3,0)*0.475*44/12</f>
        <v>0.88028847867840254</v>
      </c>
      <c r="CM111" s="21">
        <f>EXP(-LN(2)/2)*CM110+(1-EXP(-LN(2)/2))/(LN(2)/2)*CG111*CJ111*VLOOKUP('Données projet'!$B$12,Paramètres!$A$1:$I$89,3,0)*0.475*44/12</f>
        <v>8.1978521950599991E-13</v>
      </c>
      <c r="CN111" s="22">
        <f t="shared" si="66"/>
        <v>9.1615275782774521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-2.8421709430404007E-13</v>
      </c>
      <c r="CU111" s="17">
        <f>CT111*VLOOKUP('Données projet'!$B$13,Paramètres!$A$1:$I$89,3,0)*VLOOKUP('Données projet'!$B$13,Paramètres!$A$1:$I$89,5,0)</f>
        <v>-1.69961822393816E-13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196.25918971690442</v>
      </c>
      <c r="CZ111" s="59">
        <f t="shared" si="96"/>
        <v>148.35701313170205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107.52684241896732</v>
      </c>
      <c r="DG111" s="21">
        <f>EXP(-LN(2)/25)*DG110+(1-EXP(-LN(2)/25))/(LN(2)/25)*Calculateur!DB111*Calculateur!DD111*VLOOKUP('Données projet'!$B$13,Paramètres!$A$1:$I$89,3,0)*0.475*44/12</f>
        <v>31.062274816404038</v>
      </c>
      <c r="DH111" s="21">
        <f>EXP(-LN(2)/2)*DH110+(1-EXP(-LN(2)/2))/(LN(2)/2)*DB111*DE111*VLOOKUP('Données projet'!$B$13,Paramètres!$A$1:$I$89,3,0)*0.475*44/12</f>
        <v>3.2088643299090283</v>
      </c>
      <c r="DI111" s="22">
        <f t="shared" si="69"/>
        <v>141.79798156528039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11">
        <f t="shared" si="86"/>
        <v>14.874807504914717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67">
        <f t="shared" si="56"/>
        <v>408.08618973772667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180.31844548479722</v>
      </c>
      <c r="T112" s="59">
        <f t="shared" si="88"/>
        <v>273.83237400307223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31.568257296375116</v>
      </c>
      <c r="AA112" s="21">
        <f>EXP(-LN(2)/25)*AA111+(1-EXP(-LN(2)/25))/(LN(2)/25)*Calculateur!V112*Calculateur!X112*VLOOKUP('Données projet'!$B$9,Paramètres!$A$1:$I$89,3,0)*0.475*44/12</f>
        <v>37.16986762488758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68.738124921262695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-5.6843418860808015E-14</v>
      </c>
      <c r="AJ112" s="13">
        <f>AI112*VLOOKUP('Données projet'!$B$10,Paramètres!$A$1:$I$89,3,0)*VLOOKUP('Données projet'!$B$10,Paramètres!$A$1:$I$89,5,0)</f>
        <v>-3.1036506698001178E-14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160.54301845388551</v>
      </c>
      <c r="AO112" s="59">
        <f t="shared" si="90"/>
        <v>272.6634844951584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17.197167791960229</v>
      </c>
      <c r="AV112" s="21">
        <f>EXP(-LN(2)/25)*AV111+(1-EXP(-LN(2)/25))/(LN(2)/25)*Calculateur!AQ112*Calculateur!AS112*VLOOKUP('Données projet'!$B$10,Paramètres!$A$1:$I$89,3,0)*0.475*44/12</f>
        <v>22.132407405511156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39.329575197471385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3.4106051316484809E-13</v>
      </c>
      <c r="BE112" s="13">
        <f>BD112*VLOOKUP('Données projet'!$B$11,Paramètres!$A$1:$I$89,3,0)*VLOOKUP('Données projet'!$B$11,Paramètres!$A$1:$I$89,5,0)</f>
        <v>1.5961632016114892E-13</v>
      </c>
      <c r="BF112" s="13">
        <f t="shared" si="91"/>
        <v>2.2708641912150958E-12</v>
      </c>
      <c r="BG112" s="20">
        <f t="shared" si="61"/>
        <v>4.2330868906469593E-12</v>
      </c>
      <c r="BH112" s="59">
        <f t="shared" si="62"/>
        <v>293.33333333333752</v>
      </c>
      <c r="BI112" s="59">
        <f ca="1">AVERAGE(OFFSET($BH$3,0,0,'Données projet'!$E$11+1,1))-AVERAGE(OFFSET($H$3,0,0,'Données projet'!$E$11+1,1))</f>
        <v>207.25176714718668</v>
      </c>
      <c r="BJ112" s="59">
        <f t="shared" si="92"/>
        <v>191.53228014642559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161.87605433512991</v>
      </c>
      <c r="BQ112" s="21">
        <f>EXP(-LN(2)/25)*BQ111+(1-EXP(-LN(2)/25))/(LN(2)/25)*Calculateur!BL112*Calculateur!BN112*VLOOKUP('Données projet'!$B$11,Paramètres!$A$1:$I$89,3,0)*0.475*44/12</f>
        <v>39.310561323854088</v>
      </c>
      <c r="BR112" s="21">
        <f>EXP(-LN(2)/2)*BR111+(1-EXP(-LN(2)/2))/(LN(2)/2)*BL112*BO112*VLOOKUP('Données projet'!$B$11,Paramètres!$A$1:$I$89,3,0)*0.475*44/12</f>
        <v>5.5466603110381323</v>
      </c>
      <c r="BS112" s="22">
        <f t="shared" si="63"/>
        <v>206.73327597002213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68.620424404221751</v>
      </c>
      <c r="CE112" s="59">
        <f t="shared" si="94"/>
        <v>203.12945099478918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8.1188490519122105</v>
      </c>
      <c r="CL112" s="21">
        <f>EXP(-LN(2)/25)*CL111+(1-EXP(-LN(2)/25))/(LN(2)/25)*Calculateur!CG112*Calculateur!CI112*VLOOKUP('Données projet'!$B$12,Paramètres!$A$1:$I$89,3,0)*0.475*44/12</f>
        <v>0.85621694393658243</v>
      </c>
      <c r="CM112" s="21">
        <f>EXP(-LN(2)/2)*CM111+(1-EXP(-LN(2)/2))/(LN(2)/2)*CG112*CJ112*VLOOKUP('Données projet'!$B$12,Paramètres!$A$1:$I$89,3,0)*0.475*44/12</f>
        <v>5.7967568782919491E-13</v>
      </c>
      <c r="CN112" s="22">
        <f t="shared" si="66"/>
        <v>8.9750659958493717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-2.8421709430404007E-13</v>
      </c>
      <c r="CU112" s="17">
        <f>CT112*VLOOKUP('Données projet'!$B$13,Paramètres!$A$1:$I$89,3,0)*VLOOKUP('Données projet'!$B$13,Paramètres!$A$1:$I$89,5,0)</f>
        <v>-1.69961822393816E-13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196.25918971690442</v>
      </c>
      <c r="CZ112" s="59">
        <f t="shared" si="96"/>
        <v>148.35701313170205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105.41830662402927</v>
      </c>
      <c r="DG112" s="21">
        <f>EXP(-LN(2)/25)*DG111+(1-EXP(-LN(2)/25))/(LN(2)/25)*Calculateur!DB112*Calculateur!DD112*VLOOKUP('Données projet'!$B$13,Paramètres!$A$1:$I$89,3,0)*0.475*44/12</f>
        <v>30.212875278055431</v>
      </c>
      <c r="DH112" s="21">
        <f>EXP(-LN(2)/2)*DH111+(1-EXP(-LN(2)/2))/(LN(2)/2)*DB112*DE112*VLOOKUP('Données projet'!$B$13,Paramètres!$A$1:$I$89,3,0)*0.475*44/12</f>
        <v>2.269009727586301</v>
      </c>
      <c r="DI112" s="22">
        <f t="shared" si="69"/>
        <v>137.90019162967101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11">
        <f t="shared" si="86"/>
        <v>14.995324806875265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67">
        <f t="shared" si="56"/>
        <v>409.11119070530799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180.31844548479722</v>
      </c>
      <c r="T113" s="59">
        <f t="shared" si="88"/>
        <v>273.83237400307223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30.949223025528902</v>
      </c>
      <c r="AA113" s="21">
        <f>EXP(-LN(2)/25)*AA112+(1-EXP(-LN(2)/25))/(LN(2)/25)*Calculateur!V113*Calculateur!X113*VLOOKUP('Données projet'!$B$9,Paramètres!$A$1:$I$89,3,0)*0.475*44/12</f>
        <v>36.153455640006641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67.102678665535535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-5.6843418860808015E-14</v>
      </c>
      <c r="AJ113" s="13">
        <f>AI113*VLOOKUP('Données projet'!$B$10,Paramètres!$A$1:$I$89,3,0)*VLOOKUP('Données projet'!$B$10,Paramètres!$A$1:$I$89,5,0)</f>
        <v>-3.1036506698001178E-14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160.54301845388551</v>
      </c>
      <c r="AO113" s="59">
        <f t="shared" si="90"/>
        <v>272.6634844951584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16.859941820796518</v>
      </c>
      <c r="AV113" s="21">
        <f>EXP(-LN(2)/25)*AV112+(1-EXP(-LN(2)/25))/(LN(2)/25)*Calculateur!AQ113*Calculateur!AS113*VLOOKUP('Données projet'!$B$10,Paramètres!$A$1:$I$89,3,0)*0.475*44/12</f>
        <v>21.527195561114731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38.387137381911245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3.4106051316484809E-13</v>
      </c>
      <c r="BE113" s="13">
        <f>BD113*VLOOKUP('Données projet'!$B$11,Paramètres!$A$1:$I$89,3,0)*VLOOKUP('Données projet'!$B$11,Paramètres!$A$1:$I$89,5,0)</f>
        <v>1.5961632016114892E-13</v>
      </c>
      <c r="BF113" s="13">
        <f t="shared" si="91"/>
        <v>2.2708641912150958E-12</v>
      </c>
      <c r="BG113" s="20">
        <f t="shared" si="61"/>
        <v>4.2330868906469593E-12</v>
      </c>
      <c r="BH113" s="59">
        <f t="shared" si="62"/>
        <v>293.33333333333752</v>
      </c>
      <c r="BI113" s="59">
        <f ca="1">AVERAGE(OFFSET($BH$3,0,0,'Données projet'!$E$11+1,1))-AVERAGE(OFFSET($H$3,0,0,'Données projet'!$E$11+1,1))</f>
        <v>207.25176714718668</v>
      </c>
      <c r="BJ113" s="59">
        <f t="shared" si="92"/>
        <v>191.53228014642559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158.70176364426192</v>
      </c>
      <c r="BQ113" s="21">
        <f>EXP(-LN(2)/25)*BQ112+(1-EXP(-LN(2)/25))/(LN(2)/25)*Calculateur!BL113*Calculateur!BN113*VLOOKUP('Données projet'!$B$11,Paramètres!$A$1:$I$89,3,0)*0.475*44/12</f>
        <v>38.235611957200724</v>
      </c>
      <c r="BR113" s="21">
        <f>EXP(-LN(2)/2)*BR112+(1-EXP(-LN(2)/2))/(LN(2)/2)*BL113*BO113*VLOOKUP('Données projet'!$B$11,Paramètres!$A$1:$I$89,3,0)*0.475*44/12</f>
        <v>3.9220811188733484</v>
      </c>
      <c r="BS113" s="22">
        <f t="shared" si="63"/>
        <v>200.85945672033597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68.620424404221751</v>
      </c>
      <c r="CE113" s="59">
        <f t="shared" si="94"/>
        <v>203.12945099478918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7.9596433740131634</v>
      </c>
      <c r="CL113" s="21">
        <f>EXP(-LN(2)/25)*CL112+(1-EXP(-LN(2)/25))/(LN(2)/25)*Calculateur!CG113*Calculateur!CI113*VLOOKUP('Données projet'!$B$12,Paramètres!$A$1:$I$89,3,0)*0.475*44/12</f>
        <v>0.83280364657814443</v>
      </c>
      <c r="CM113" s="21">
        <f>EXP(-LN(2)/2)*CM112+(1-EXP(-LN(2)/2))/(LN(2)/2)*CG113*CJ113*VLOOKUP('Données projet'!$B$12,Paramètres!$A$1:$I$89,3,0)*0.475*44/12</f>
        <v>4.0989260975299996E-13</v>
      </c>
      <c r="CN113" s="22">
        <f t="shared" si="66"/>
        <v>8.7924470205917178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-2.8421709430404007E-13</v>
      </c>
      <c r="CU113" s="17">
        <f>CT113*VLOOKUP('Données projet'!$B$13,Paramètres!$A$1:$I$89,3,0)*VLOOKUP('Données projet'!$B$13,Paramètres!$A$1:$I$89,5,0)</f>
        <v>-1.69961822393816E-13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196.25918971690442</v>
      </c>
      <c r="CZ113" s="59">
        <f t="shared" si="96"/>
        <v>148.35701313170205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103.35111792995012</v>
      </c>
      <c r="DG113" s="21">
        <f>EXP(-LN(2)/25)*DG112+(1-EXP(-LN(2)/25))/(LN(2)/25)*Calculateur!DB113*Calculateur!DD113*VLOOKUP('Données projet'!$B$13,Paramètres!$A$1:$I$89,3,0)*0.475*44/12</f>
        <v>29.386702614750948</v>
      </c>
      <c r="DH113" s="21">
        <f>EXP(-LN(2)/2)*DH112+(1-EXP(-LN(2)/2))/(LN(2)/2)*DB113*DE113*VLOOKUP('Données projet'!$B$13,Paramètres!$A$1:$I$89,3,0)*0.475*44/12</f>
        <v>1.6044321649545146</v>
      </c>
      <c r="DI113" s="22">
        <f t="shared" si="69"/>
        <v>134.34225270965558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11">
        <f t="shared" si="86"/>
        <v>15.115714645211932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67">
        <f t="shared" si="56"/>
        <v>410.13596967374434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180.31844548479722</v>
      </c>
      <c r="T114" s="59">
        <f t="shared" si="88"/>
        <v>273.83237400307223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30.342327639160359</v>
      </c>
      <c r="AA114" s="21">
        <f>EXP(-LN(2)/25)*AA113+(1-EXP(-LN(2)/25))/(LN(2)/25)*Calculateur!V114*Calculateur!X114*VLOOKUP('Données projet'!$B$9,Paramètres!$A$1:$I$89,3,0)*0.475*44/12</f>
        <v>35.164837494303057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65.507165133463417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-5.6843418860808015E-14</v>
      </c>
      <c r="AJ114" s="13">
        <f>AI114*VLOOKUP('Données projet'!$B$10,Paramètres!$A$1:$I$89,3,0)*VLOOKUP('Données projet'!$B$10,Paramètres!$A$1:$I$89,5,0)</f>
        <v>-3.1036506698001178E-14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160.54301845388551</v>
      </c>
      <c r="AO114" s="59">
        <f t="shared" si="90"/>
        <v>272.6634844951584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16.529328645239794</v>
      </c>
      <c r="AV114" s="21">
        <f>EXP(-LN(2)/25)*AV113+(1-EXP(-LN(2)/25))/(LN(2)/25)*Calculateur!AQ114*Calculateur!AS114*VLOOKUP('Données projet'!$B$10,Paramètres!$A$1:$I$89,3,0)*0.475*44/12</f>
        <v>20.938533266430035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37.467861911669829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3.4106051316484809E-13</v>
      </c>
      <c r="BE114" s="13">
        <f>BD114*VLOOKUP('Données projet'!$B$11,Paramètres!$A$1:$I$89,3,0)*VLOOKUP('Données projet'!$B$11,Paramètres!$A$1:$I$89,5,0)</f>
        <v>1.5961632016114892E-13</v>
      </c>
      <c r="BF114" s="13">
        <f t="shared" si="91"/>
        <v>2.2708641912150958E-12</v>
      </c>
      <c r="BG114" s="20">
        <f t="shared" si="61"/>
        <v>4.2330868906469593E-12</v>
      </c>
      <c r="BH114" s="59">
        <f t="shared" si="62"/>
        <v>293.33333333333752</v>
      </c>
      <c r="BI114" s="59">
        <f ca="1">AVERAGE(OFFSET($BH$3,0,0,'Données projet'!$E$11+1,1))-AVERAGE(OFFSET($H$3,0,0,'Données projet'!$E$11+1,1))</f>
        <v>207.25176714718668</v>
      </c>
      <c r="BJ114" s="59">
        <f t="shared" si="92"/>
        <v>191.53228014642559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155.5897188577157</v>
      </c>
      <c r="BQ114" s="21">
        <f>EXP(-LN(2)/25)*BQ113+(1-EXP(-LN(2)/25))/(LN(2)/25)*Calculateur!BL114*Calculateur!BN114*VLOOKUP('Données projet'!$B$11,Paramètres!$A$1:$I$89,3,0)*0.475*44/12</f>
        <v>37.19005713750763</v>
      </c>
      <c r="BR114" s="21">
        <f>EXP(-LN(2)/2)*BR113+(1-EXP(-LN(2)/2))/(LN(2)/2)*BL114*BO114*VLOOKUP('Données projet'!$B$11,Paramètres!$A$1:$I$89,3,0)*0.475*44/12</f>
        <v>2.7733301555190666</v>
      </c>
      <c r="BS114" s="22">
        <f t="shared" si="63"/>
        <v>195.55310615074239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68.620424404221751</v>
      </c>
      <c r="CE114" s="59">
        <f t="shared" si="94"/>
        <v>203.12945099478918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7.8035596223518411</v>
      </c>
      <c r="CL114" s="21">
        <f>EXP(-LN(2)/25)*CL113+(1-EXP(-LN(2)/25))/(LN(2)/25)*Calculateur!CG114*Calculateur!CI114*VLOOKUP('Données projet'!$B$12,Paramètres!$A$1:$I$89,3,0)*0.475*44/12</f>
        <v>0.81003058706722475</v>
      </c>
      <c r="CM114" s="21">
        <f>EXP(-LN(2)/2)*CM113+(1-EXP(-LN(2)/2))/(LN(2)/2)*CG114*CJ114*VLOOKUP('Données projet'!$B$12,Paramètres!$A$1:$I$89,3,0)*0.475*44/12</f>
        <v>2.8983784391459745E-13</v>
      </c>
      <c r="CN114" s="22">
        <f t="shared" si="66"/>
        <v>8.613590209419355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-2.8421709430404007E-13</v>
      </c>
      <c r="CU114" s="17">
        <f>CT114*VLOOKUP('Données projet'!$B$13,Paramètres!$A$1:$I$89,3,0)*VLOOKUP('Données projet'!$B$13,Paramètres!$A$1:$I$89,5,0)</f>
        <v>-1.69961822393816E-13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196.25918971690442</v>
      </c>
      <c r="CZ114" s="59">
        <f t="shared" si="96"/>
        <v>148.35701313170205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101.32446554530125</v>
      </c>
      <c r="DG114" s="21">
        <f>EXP(-LN(2)/25)*DG113+(1-EXP(-LN(2)/25))/(LN(2)/25)*Calculateur!DB114*Calculateur!DD114*VLOOKUP('Données projet'!$B$13,Paramètres!$A$1:$I$89,3,0)*0.475*44/12</f>
        <v>28.583121686371058</v>
      </c>
      <c r="DH114" s="21">
        <f>EXP(-LN(2)/2)*DH113+(1-EXP(-LN(2)/2))/(LN(2)/2)*DB114*DE114*VLOOKUP('Données projet'!$B$13,Paramètres!$A$1:$I$89,3,0)*0.475*44/12</f>
        <v>1.1345048637931507</v>
      </c>
      <c r="DI114" s="22">
        <f t="shared" si="69"/>
        <v>131.04209209546548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11">
        <f t="shared" si="86"/>
        <v>15.23597830127307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67">
        <f t="shared" si="56"/>
        <v>411.1605288747175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180.31844548479722</v>
      </c>
      <c r="T115" s="59">
        <f t="shared" si="88"/>
        <v>273.83237400307223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29.747333101148872</v>
      </c>
      <c r="AA115" s="21">
        <f>EXP(-LN(2)/25)*AA114+(1-EXP(-LN(2)/25))/(LN(2)/25)*Calculateur!V115*Calculateur!X115*VLOOKUP('Données projet'!$B$9,Paramètres!$A$1:$I$89,3,0)*0.475*44/12</f>
        <v>34.203253163782904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63.950586264931772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-5.6843418860808015E-14</v>
      </c>
      <c r="AJ115" s="13">
        <f>AI115*VLOOKUP('Données projet'!$B$10,Paramètres!$A$1:$I$89,3,0)*VLOOKUP('Données projet'!$B$10,Paramètres!$A$1:$I$89,5,0)</f>
        <v>-3.1036506698001178E-14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160.54301845388551</v>
      </c>
      <c r="AO115" s="59">
        <f t="shared" si="90"/>
        <v>272.6634844951584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16.205198592401612</v>
      </c>
      <c r="AV115" s="21">
        <f>EXP(-LN(2)/25)*AV114+(1-EXP(-LN(2)/25))/(LN(2)/25)*Calculateur!AQ115*Calculateur!AS115*VLOOKUP('Données projet'!$B$10,Paramètres!$A$1:$I$89,3,0)*0.475*44/12</f>
        <v>20.365967973149896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36.571166565551508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3.4106051316484809E-13</v>
      </c>
      <c r="BE115" s="13">
        <f>BD115*VLOOKUP('Données projet'!$B$11,Paramètres!$A$1:$I$89,3,0)*VLOOKUP('Données projet'!$B$11,Paramètres!$A$1:$I$89,5,0)</f>
        <v>1.5961632016114892E-13</v>
      </c>
      <c r="BF115" s="13">
        <f t="shared" si="91"/>
        <v>2.2708641912150958E-12</v>
      </c>
      <c r="BG115" s="20">
        <f t="shared" si="61"/>
        <v>4.2330868906469593E-12</v>
      </c>
      <c r="BH115" s="59">
        <f t="shared" si="62"/>
        <v>293.33333333333752</v>
      </c>
      <c r="BI115" s="59">
        <f ca="1">AVERAGE(OFFSET($BH$3,0,0,'Données projet'!$E$11+1,1))-AVERAGE(OFFSET($H$3,0,0,'Données projet'!$E$11+1,1))</f>
        <v>207.25176714718668</v>
      </c>
      <c r="BJ115" s="59">
        <f t="shared" si="92"/>
        <v>191.53228014642559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152.53869937127376</v>
      </c>
      <c r="BQ115" s="21">
        <f>EXP(-LN(2)/25)*BQ114+(1-EXP(-LN(2)/25))/(LN(2)/25)*Calculateur!BL115*Calculateur!BN115*VLOOKUP('Données projet'!$B$11,Paramètres!$A$1:$I$89,3,0)*0.475*44/12</f>
        <v>36.173093069342379</v>
      </c>
      <c r="BR115" s="21">
        <f>EXP(-LN(2)/2)*BR114+(1-EXP(-LN(2)/2))/(LN(2)/2)*BL115*BO115*VLOOKUP('Données projet'!$B$11,Paramètres!$A$1:$I$89,3,0)*0.475*44/12</f>
        <v>1.9610405594366747</v>
      </c>
      <c r="BS115" s="22">
        <f t="shared" si="63"/>
        <v>190.6728330000528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68.620424404221751</v>
      </c>
      <c r="CE115" s="59">
        <f t="shared" si="94"/>
        <v>203.12945099478918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7.6505365778589098</v>
      </c>
      <c r="CL115" s="21">
        <f>EXP(-LN(2)/25)*CL114+(1-EXP(-LN(2)/25))/(LN(2)/25)*Calculateur!CG115*Calculateur!CI115*VLOOKUP('Données projet'!$B$12,Paramètres!$A$1:$I$89,3,0)*0.475*44/12</f>
        <v>0.78788025806621431</v>
      </c>
      <c r="CM115" s="21">
        <f>EXP(-LN(2)/2)*CM114+(1-EXP(-LN(2)/2))/(LN(2)/2)*CG115*CJ115*VLOOKUP('Données projet'!$B$12,Paramètres!$A$1:$I$89,3,0)*0.475*44/12</f>
        <v>2.0494630487649998E-13</v>
      </c>
      <c r="CN115" s="22">
        <f t="shared" si="66"/>
        <v>8.4384168359253291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-2.8421709430404007E-13</v>
      </c>
      <c r="CU115" s="17">
        <f>CT115*VLOOKUP('Données projet'!$B$13,Paramètres!$A$1:$I$89,3,0)*VLOOKUP('Données projet'!$B$13,Paramètres!$A$1:$I$89,5,0)</f>
        <v>-1.69961822393816E-13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196.25918971690442</v>
      </c>
      <c r="CZ115" s="59">
        <f t="shared" si="96"/>
        <v>148.35701313170205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99.337554577779457</v>
      </c>
      <c r="DG115" s="21">
        <f>EXP(-LN(2)/25)*DG114+(1-EXP(-LN(2)/25))/(LN(2)/25)*Calculateur!DB115*Calculateur!DD115*VLOOKUP('Données projet'!$B$13,Paramètres!$A$1:$I$89,3,0)*0.475*44/12</f>
        <v>27.801514720736201</v>
      </c>
      <c r="DH115" s="21">
        <f>EXP(-LN(2)/2)*DH114+(1-EXP(-LN(2)/2))/(LN(2)/2)*DB115*DE115*VLOOKUP('Données projet'!$B$13,Paramètres!$A$1:$I$89,3,0)*0.475*44/12</f>
        <v>0.8022160824772574</v>
      </c>
      <c r="DI115" s="22">
        <f t="shared" si="69"/>
        <v>127.94128538099292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11">
        <f t="shared" si="86"/>
        <v>15.356117032205747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67">
        <f t="shared" si="56"/>
        <v>412.1848704977586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180.31844548479722</v>
      </c>
      <c r="T116" s="59">
        <f t="shared" si="88"/>
        <v>273.83237400307223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29.164006043116956</v>
      </c>
      <c r="AA116" s="21">
        <f>EXP(-LN(2)/25)*AA115+(1-EXP(-LN(2)/25))/(LN(2)/25)*Calculateur!V116*Calculateur!X116*VLOOKUP('Données projet'!$B$9,Paramètres!$A$1:$I$89,3,0)*0.475*44/12</f>
        <v>33.267963407348347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62.431969450465303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-5.6843418860808015E-14</v>
      </c>
      <c r="AJ116" s="13">
        <f>AI116*VLOOKUP('Données projet'!$B$10,Paramètres!$A$1:$I$89,3,0)*VLOOKUP('Données projet'!$B$10,Paramètres!$A$1:$I$89,5,0)</f>
        <v>-3.1036506698001178E-14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160.54301845388551</v>
      </c>
      <c r="AO116" s="59">
        <f t="shared" si="90"/>
        <v>272.6634844951584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15.887424532199773</v>
      </c>
      <c r="AV116" s="21">
        <f>EXP(-LN(2)/25)*AV115+(1-EXP(-LN(2)/25))/(LN(2)/25)*Calculateur!AQ116*Calculateur!AS116*VLOOKUP('Données projet'!$B$10,Paramètres!$A$1:$I$89,3,0)*0.475*44/12</f>
        <v>19.809059507924403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35.696484040124176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3.4106051316484809E-13</v>
      </c>
      <c r="BE116" s="13">
        <f>BD116*VLOOKUP('Données projet'!$B$11,Paramètres!$A$1:$I$89,3,0)*VLOOKUP('Données projet'!$B$11,Paramètres!$A$1:$I$89,5,0)</f>
        <v>1.5961632016114892E-13</v>
      </c>
      <c r="BF116" s="13">
        <f t="shared" si="91"/>
        <v>2.2708641912150958E-12</v>
      </c>
      <c r="BG116" s="20">
        <f t="shared" si="61"/>
        <v>4.2330868906469593E-12</v>
      </c>
      <c r="BH116" s="59">
        <f t="shared" si="62"/>
        <v>293.33333333333752</v>
      </c>
      <c r="BI116" s="59">
        <f ca="1">AVERAGE(OFFSET($BH$3,0,0,'Données projet'!$E$11+1,1))-AVERAGE(OFFSET($H$3,0,0,'Données projet'!$E$11+1,1))</f>
        <v>207.25176714718668</v>
      </c>
      <c r="BJ116" s="59">
        <f t="shared" si="92"/>
        <v>191.53228014642559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149.54750851602282</v>
      </c>
      <c r="BQ116" s="21">
        <f>EXP(-LN(2)/25)*BQ115+(1-EXP(-LN(2)/25))/(LN(2)/25)*Calculateur!BL116*Calculateur!BN116*VLOOKUP('Données projet'!$B$11,Paramètres!$A$1:$I$89,3,0)*0.475*44/12</f>
        <v>35.183937937100922</v>
      </c>
      <c r="BR116" s="21">
        <f>EXP(-LN(2)/2)*BR115+(1-EXP(-LN(2)/2))/(LN(2)/2)*BL116*BO116*VLOOKUP('Données projet'!$B$11,Paramètres!$A$1:$I$89,3,0)*0.475*44/12</f>
        <v>1.3866650777595335</v>
      </c>
      <c r="BS116" s="22">
        <f t="shared" si="63"/>
        <v>186.11811153088328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68.620424404221751</v>
      </c>
      <c r="CE116" s="59">
        <f t="shared" si="94"/>
        <v>203.12945099478918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7.5005142219336438</v>
      </c>
      <c r="CL116" s="21">
        <f>EXP(-LN(2)/25)*CL115+(1-EXP(-LN(2)/25))/(LN(2)/25)*Calculateur!CG116*Calculateur!CI116*VLOOKUP('Données projet'!$B$12,Paramètres!$A$1:$I$89,3,0)*0.475*44/12</f>
        <v>0.76633563097657165</v>
      </c>
      <c r="CM116" s="21">
        <f>EXP(-LN(2)/2)*CM115+(1-EXP(-LN(2)/2))/(LN(2)/2)*CG116*CJ116*VLOOKUP('Données projet'!$B$12,Paramètres!$A$1:$I$89,3,0)*0.475*44/12</f>
        <v>1.4491892195729873E-13</v>
      </c>
      <c r="CN116" s="22">
        <f t="shared" si="66"/>
        <v>8.2668498529103616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-2.8421709430404007E-13</v>
      </c>
      <c r="CU116" s="17">
        <f>CT116*VLOOKUP('Données projet'!$B$13,Paramètres!$A$1:$I$89,3,0)*VLOOKUP('Données projet'!$B$13,Paramètres!$A$1:$I$89,5,0)</f>
        <v>-1.69961822393816E-13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196.25918971690442</v>
      </c>
      <c r="CZ116" s="59">
        <f t="shared" si="96"/>
        <v>148.35701313170205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97.389605722434737</v>
      </c>
      <c r="DG116" s="21">
        <f>EXP(-LN(2)/25)*DG115+(1-EXP(-LN(2)/25))/(LN(2)/25)*Calculateur!DB116*Calculateur!DD116*VLOOKUP('Données projet'!$B$13,Paramètres!$A$1:$I$89,3,0)*0.475*44/12</f>
        <v>27.041280838679551</v>
      </c>
      <c r="DH116" s="21">
        <f>EXP(-LN(2)/2)*DH115+(1-EXP(-LN(2)/2))/(LN(2)/2)*DB116*DE116*VLOOKUP('Données projet'!$B$13,Paramètres!$A$1:$I$89,3,0)*0.475*44/12</f>
        <v>0.56725243189657548</v>
      </c>
      <c r="DI116" s="22">
        <f t="shared" si="69"/>
        <v>124.99813899301087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11">
        <f t="shared" si="86"/>
        <v>15.476132071622883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67">
        <f t="shared" si="56"/>
        <v>413.20899669141011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180.31844548479722</v>
      </c>
      <c r="T117" s="59">
        <f t="shared" si="88"/>
        <v>273.83237400307223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28.59211767289867</v>
      </c>
      <c r="AA117" s="21">
        <f>EXP(-LN(2)/25)*AA116+(1-EXP(-LN(2)/25))/(LN(2)/25)*Calculateur!V117*Calculateur!X117*VLOOKUP('Données projet'!$B$9,Paramètres!$A$1:$I$89,3,0)*0.475*44/12</f>
        <v>32.358249198488245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60.950366871386919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-5.6843418860808015E-14</v>
      </c>
      <c r="AJ117" s="13">
        <f>AI117*VLOOKUP('Données projet'!$B$10,Paramètres!$A$1:$I$89,3,0)*VLOOKUP('Données projet'!$B$10,Paramètres!$A$1:$I$89,5,0)</f>
        <v>-3.1036506698001178E-14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160.54301845388551</v>
      </c>
      <c r="AO117" s="59">
        <f t="shared" si="90"/>
        <v>272.6634844951584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15.575881827495456</v>
      </c>
      <c r="AV117" s="21">
        <f>EXP(-LN(2)/25)*AV116+(1-EXP(-LN(2)/25))/(LN(2)/25)*Calculateur!AQ117*Calculateur!AS117*VLOOKUP('Données projet'!$B$10,Paramètres!$A$1:$I$89,3,0)*0.475*44/12</f>
        <v>19.267379733967044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34.843261561462498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3.4106051316484809E-13</v>
      </c>
      <c r="BE117" s="13">
        <f>BD117*VLOOKUP('Données projet'!$B$11,Paramètres!$A$1:$I$89,3,0)*VLOOKUP('Données projet'!$B$11,Paramètres!$A$1:$I$89,5,0)</f>
        <v>1.5961632016114892E-13</v>
      </c>
      <c r="BF117" s="13">
        <f t="shared" si="91"/>
        <v>2.2708641912150958E-12</v>
      </c>
      <c r="BG117" s="20">
        <f t="shared" si="61"/>
        <v>4.2330868906469593E-12</v>
      </c>
      <c r="BH117" s="59">
        <f t="shared" si="62"/>
        <v>293.33333333333752</v>
      </c>
      <c r="BI117" s="59">
        <f ca="1">AVERAGE(OFFSET($BH$3,0,0,'Données projet'!$E$11+1,1))-AVERAGE(OFFSET($H$3,0,0,'Données projet'!$E$11+1,1))</f>
        <v>207.25176714718668</v>
      </c>
      <c r="BJ117" s="59">
        <f t="shared" si="92"/>
        <v>191.53228014642559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146.61497308899706</v>
      </c>
      <c r="BQ117" s="21">
        <f>EXP(-LN(2)/25)*BQ116+(1-EXP(-LN(2)/25))/(LN(2)/25)*Calculateur!BL117*Calculateur!BN117*VLOOKUP('Données projet'!$B$11,Paramètres!$A$1:$I$89,3,0)*0.475*44/12</f>
        <v>34.221831303968017</v>
      </c>
      <c r="BR117" s="21">
        <f>EXP(-LN(2)/2)*BR116+(1-EXP(-LN(2)/2))/(LN(2)/2)*BL117*BO117*VLOOKUP('Données projet'!$B$11,Paramètres!$A$1:$I$89,3,0)*0.475*44/12</f>
        <v>0.98052027971833744</v>
      </c>
      <c r="BS117" s="22">
        <f t="shared" si="63"/>
        <v>181.81732467268341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68.620424404221751</v>
      </c>
      <c r="CE117" s="59">
        <f t="shared" si="94"/>
        <v>203.12945099478918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7.3534337129034704</v>
      </c>
      <c r="CL117" s="21">
        <f>EXP(-LN(2)/25)*CL116+(1-EXP(-LN(2)/25))/(LN(2)/25)*Calculateur!CG117*Calculateur!CI117*VLOOKUP('Données projet'!$B$12,Paramètres!$A$1:$I$89,3,0)*0.475*44/12</f>
        <v>0.74538014284767795</v>
      </c>
      <c r="CM117" s="21">
        <f>EXP(-LN(2)/2)*CM116+(1-EXP(-LN(2)/2))/(LN(2)/2)*CG117*CJ117*VLOOKUP('Données projet'!$B$12,Paramètres!$A$1:$I$89,3,0)*0.475*44/12</f>
        <v>1.0247315243824999E-13</v>
      </c>
      <c r="CN117" s="22">
        <f t="shared" si="66"/>
        <v>8.098813855751251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-2.8421709430404007E-13</v>
      </c>
      <c r="CU117" s="17">
        <f>CT117*VLOOKUP('Données projet'!$B$13,Paramètres!$A$1:$I$89,3,0)*VLOOKUP('Données projet'!$B$13,Paramètres!$A$1:$I$89,5,0)</f>
        <v>-1.69961822393816E-13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196.25918971690442</v>
      </c>
      <c r="CZ117" s="59">
        <f t="shared" si="96"/>
        <v>148.35701313170205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95.479854956011849</v>
      </c>
      <c r="DG117" s="21">
        <f>EXP(-LN(2)/25)*DG116+(1-EXP(-LN(2)/25))/(LN(2)/25)*Calculateur!DB117*Calculateur!DD117*VLOOKUP('Données projet'!$B$13,Paramètres!$A$1:$I$89,3,0)*0.475*44/12</f>
        <v>26.301835592106702</v>
      </c>
      <c r="DH117" s="21">
        <f>EXP(-LN(2)/2)*DH116+(1-EXP(-LN(2)/2))/(LN(2)/2)*DB117*DE117*VLOOKUP('Données projet'!$B$13,Paramètres!$A$1:$I$89,3,0)*0.475*44/12</f>
        <v>0.40110804123862875</v>
      </c>
      <c r="DI117" s="22">
        <f t="shared" si="69"/>
        <v>122.18279858935718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11">
        <f t="shared" si="86"/>
        <v>15.596024630246307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67">
        <f t="shared" si="56"/>
        <v>414.2329095643459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180.31844548479722</v>
      </c>
      <c r="T118" s="59">
        <f t="shared" si="88"/>
        <v>273.83237400307223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28.031443684802902</v>
      </c>
      <c r="AA118" s="21">
        <f>EXP(-LN(2)/25)*AA117+(1-EXP(-LN(2)/25))/(LN(2)/25)*Calculateur!V118*Calculateur!X118*VLOOKUP('Données projet'!$B$9,Paramètres!$A$1:$I$89,3,0)*0.475*44/12</f>
        <v>31.473411172509216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59.504854857312118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-5.6843418860808015E-14</v>
      </c>
      <c r="AJ118" s="13">
        <f>AI118*VLOOKUP('Données projet'!$B$10,Paramètres!$A$1:$I$89,3,0)*VLOOKUP('Données projet'!$B$10,Paramètres!$A$1:$I$89,5,0)</f>
        <v>-3.1036506698001178E-14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160.54301845388551</v>
      </c>
      <c r="AO118" s="59">
        <f t="shared" si="90"/>
        <v>272.6634844951584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15.270448285208102</v>
      </c>
      <c r="AV118" s="21">
        <f>EXP(-LN(2)/25)*AV117+(1-EXP(-LN(2)/25))/(LN(2)/25)*Calculateur!AQ118*Calculateur!AS118*VLOOKUP('Données projet'!$B$10,Paramètres!$A$1:$I$89,3,0)*0.475*44/12</f>
        <v>18.740512221914251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34.010960507122356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3.4106051316484809E-13</v>
      </c>
      <c r="BE118" s="13">
        <f>BD118*VLOOKUP('Données projet'!$B$11,Paramètres!$A$1:$I$89,3,0)*VLOOKUP('Données projet'!$B$11,Paramètres!$A$1:$I$89,5,0)</f>
        <v>1.5961632016114892E-13</v>
      </c>
      <c r="BF118" s="13">
        <f t="shared" si="91"/>
        <v>2.2708641912150958E-12</v>
      </c>
      <c r="BG118" s="20">
        <f t="shared" si="61"/>
        <v>4.2330868906469593E-12</v>
      </c>
      <c r="BH118" s="59">
        <f t="shared" si="62"/>
        <v>293.33333333333752</v>
      </c>
      <c r="BI118" s="59">
        <f ca="1">AVERAGE(OFFSET($BH$3,0,0,'Données projet'!$E$11+1,1))-AVERAGE(OFFSET($H$3,0,0,'Données projet'!$E$11+1,1))</f>
        <v>207.25176714718668</v>
      </c>
      <c r="BJ118" s="59">
        <f t="shared" si="92"/>
        <v>191.53228014642559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143.7399428930253</v>
      </c>
      <c r="BQ118" s="21">
        <f>EXP(-LN(2)/25)*BQ117+(1-EXP(-LN(2)/25))/(LN(2)/25)*Calculateur!BL118*Calculateur!BN118*VLOOKUP('Données projet'!$B$11,Paramètres!$A$1:$I$89,3,0)*0.475*44/12</f>
        <v>33.286033527313116</v>
      </c>
      <c r="BR118" s="21">
        <f>EXP(-LN(2)/2)*BR117+(1-EXP(-LN(2)/2))/(LN(2)/2)*BL118*BO118*VLOOKUP('Données projet'!$B$11,Paramètres!$A$1:$I$89,3,0)*0.475*44/12</f>
        <v>0.69333253887976687</v>
      </c>
      <c r="BS118" s="22">
        <f t="shared" si="63"/>
        <v>177.71930895921818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68.620424404221751</v>
      </c>
      <c r="CE118" s="59">
        <f t="shared" si="94"/>
        <v>203.12945099478918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7.2092373629451263</v>
      </c>
      <c r="CL118" s="21">
        <f>EXP(-LN(2)/25)*CL117+(1-EXP(-LN(2)/25))/(LN(2)/25)*Calculateur!CG118*Calculateur!CI118*VLOOKUP('Données projet'!$B$12,Paramètres!$A$1:$I$89,3,0)*0.475*44/12</f>
        <v>0.72499768364367012</v>
      </c>
      <c r="CM118" s="21">
        <f>EXP(-LN(2)/2)*CM117+(1-EXP(-LN(2)/2))/(LN(2)/2)*CG118*CJ118*VLOOKUP('Données projet'!$B$12,Paramètres!$A$1:$I$89,3,0)*0.475*44/12</f>
        <v>7.2459460978649363E-14</v>
      </c>
      <c r="CN118" s="22">
        <f t="shared" si="66"/>
        <v>7.9342350465888689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-2.8421709430404007E-13</v>
      </c>
      <c r="CU118" s="17">
        <f>CT118*VLOOKUP('Données projet'!$B$13,Paramètres!$A$1:$I$89,3,0)*VLOOKUP('Données projet'!$B$13,Paramètres!$A$1:$I$89,5,0)</f>
        <v>-1.69961822393816E-13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196.25918971690442</v>
      </c>
      <c r="CZ118" s="59">
        <f t="shared" si="96"/>
        <v>148.35701313170205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93.607553237285558</v>
      </c>
      <c r="DG118" s="21">
        <f>EXP(-LN(2)/25)*DG117+(1-EXP(-LN(2)/25))/(LN(2)/25)*Calculateur!DB118*Calculateur!DD118*VLOOKUP('Données projet'!$B$13,Paramètres!$A$1:$I$89,3,0)*0.475*44/12</f>
        <v>25.582610514687126</v>
      </c>
      <c r="DH118" s="21">
        <f>EXP(-LN(2)/2)*DH117+(1-EXP(-LN(2)/2))/(LN(2)/2)*DB118*DE118*VLOOKUP('Données projet'!$B$13,Paramètres!$A$1:$I$89,3,0)*0.475*44/12</f>
        <v>0.28362621594828774</v>
      </c>
      <c r="DI118" s="22">
        <f t="shared" si="69"/>
        <v>119.47378996792096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11">
        <f t="shared" si="86"/>
        <v>15.715795896526787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67">
        <f t="shared" si="56"/>
        <v>415.2566111864511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180.31844548479722</v>
      </c>
      <c r="T119" s="59">
        <f t="shared" si="88"/>
        <v>273.83237400307223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27.481764171636328</v>
      </c>
      <c r="AA119" s="21">
        <f>EXP(-LN(2)/25)*AA118+(1-EXP(-LN(2)/25))/(LN(2)/25)*Calculateur!V119*Calculateur!X119*VLOOKUP('Données projet'!$B$9,Paramètres!$A$1:$I$89,3,0)*0.475*44/12</f>
        <v>30.612769088882192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58.094533260518517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-5.6843418860808015E-14</v>
      </c>
      <c r="AJ119" s="13">
        <f>AI119*VLOOKUP('Données projet'!$B$10,Paramètres!$A$1:$I$89,3,0)*VLOOKUP('Données projet'!$B$10,Paramètres!$A$1:$I$89,5,0)</f>
        <v>-3.1036506698001178E-14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160.54301845388551</v>
      </c>
      <c r="AO119" s="59">
        <f t="shared" si="90"/>
        <v>272.6634844951584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14.971004108388939</v>
      </c>
      <c r="AV119" s="21">
        <f>EXP(-LN(2)/25)*AV118+(1-EXP(-LN(2)/25))/(LN(2)/25)*Calculateur!AQ119*Calculateur!AS119*VLOOKUP('Données projet'!$B$10,Paramètres!$A$1:$I$89,3,0)*0.475*44/12</f>
        <v>18.2280519296853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33.199056038074239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3.4106051316484809E-13</v>
      </c>
      <c r="BE119" s="13">
        <f>BD119*VLOOKUP('Données projet'!$B$11,Paramètres!$A$1:$I$89,3,0)*VLOOKUP('Données projet'!$B$11,Paramètres!$A$1:$I$89,5,0)</f>
        <v>1.5961632016114892E-13</v>
      </c>
      <c r="BF119" s="13">
        <f t="shared" si="91"/>
        <v>2.2708641912150958E-12</v>
      </c>
      <c r="BG119" s="20">
        <f t="shared" si="61"/>
        <v>4.2330868906469593E-12</v>
      </c>
      <c r="BH119" s="59">
        <f t="shared" si="62"/>
        <v>293.33333333333752</v>
      </c>
      <c r="BI119" s="59">
        <f ca="1">AVERAGE(OFFSET($BH$3,0,0,'Données projet'!$E$11+1,1))-AVERAGE(OFFSET($H$3,0,0,'Données projet'!$E$11+1,1))</f>
        <v>207.25176714718668</v>
      </c>
      <c r="BJ119" s="59">
        <f t="shared" si="92"/>
        <v>191.53228014642559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140.92129028560129</v>
      </c>
      <c r="BQ119" s="21">
        <f>EXP(-LN(2)/25)*BQ118+(1-EXP(-LN(2)/25))/(LN(2)/25)*Calculateur!BL119*Calculateur!BN119*VLOOKUP('Données projet'!$B$11,Paramètres!$A$1:$I$89,3,0)*0.475*44/12</f>
        <v>32.375825190072312</v>
      </c>
      <c r="BR119" s="21">
        <f>EXP(-LN(2)/2)*BR118+(1-EXP(-LN(2)/2))/(LN(2)/2)*BL119*BO119*VLOOKUP('Données projet'!$B$11,Paramètres!$A$1:$I$89,3,0)*0.475*44/12</f>
        <v>0.49026013985916878</v>
      </c>
      <c r="BS119" s="22">
        <f t="shared" si="63"/>
        <v>173.78737561553277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68.620424404221751</v>
      </c>
      <c r="CE119" s="59">
        <f t="shared" si="94"/>
        <v>203.12945099478918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7.0678686154583765</v>
      </c>
      <c r="CL119" s="21">
        <f>EXP(-LN(2)/25)*CL118+(1-EXP(-LN(2)/25))/(LN(2)/25)*Calculateur!CG119*Calculateur!CI119*VLOOKUP('Données projet'!$B$12,Paramètres!$A$1:$I$89,3,0)*0.475*44/12</f>
        <v>0.70517258385846282</v>
      </c>
      <c r="CM119" s="21">
        <f>EXP(-LN(2)/2)*CM118+(1-EXP(-LN(2)/2))/(LN(2)/2)*CG119*CJ119*VLOOKUP('Données projet'!$B$12,Paramètres!$A$1:$I$89,3,0)*0.475*44/12</f>
        <v>5.1236576219124995E-14</v>
      </c>
      <c r="CN119" s="22">
        <f t="shared" si="66"/>
        <v>7.7730411993168911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-2.8421709430404007E-13</v>
      </c>
      <c r="CU119" s="17">
        <f>CT119*VLOOKUP('Données projet'!$B$13,Paramètres!$A$1:$I$89,3,0)*VLOOKUP('Données projet'!$B$13,Paramètres!$A$1:$I$89,5,0)</f>
        <v>-1.69961822393816E-13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196.25918971690442</v>
      </c>
      <c r="CZ119" s="59">
        <f t="shared" si="96"/>
        <v>148.35701313170205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91.771966213272208</v>
      </c>
      <c r="DG119" s="21">
        <f>EXP(-LN(2)/25)*DG118+(1-EXP(-LN(2)/25))/(LN(2)/25)*Calculateur!DB119*Calculateur!DD119*VLOOKUP('Données projet'!$B$13,Paramètres!$A$1:$I$89,3,0)*0.475*44/12</f>
        <v>24.883052684831988</v>
      </c>
      <c r="DH119" s="21">
        <f>EXP(-LN(2)/2)*DH118+(1-EXP(-LN(2)/2))/(LN(2)/2)*DB119*DE119*VLOOKUP('Données projet'!$B$13,Paramètres!$A$1:$I$89,3,0)*0.475*44/12</f>
        <v>0.20055402061931438</v>
      </c>
      <c r="DI119" s="22">
        <f t="shared" si="69"/>
        <v>116.85557291872351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11">
        <f t="shared" si="86"/>
        <v>15.835447037242094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67">
        <f t="shared" si="56"/>
        <v>416.28010358986359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180.31844548479722</v>
      </c>
      <c r="T120" s="59">
        <f t="shared" si="88"/>
        <v>273.83237400307223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26.942863538451554</v>
      </c>
      <c r="AA120" s="21">
        <f>EXP(-LN(2)/25)*AA119+(1-EXP(-LN(2)/25))/(LN(2)/25)*Calculateur!V120*Calculateur!X120*VLOOKUP('Données projet'!$B$9,Paramètres!$A$1:$I$89,3,0)*0.475*44/12</f>
        <v>29.775661308291149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56.718524846742703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-5.6843418860808015E-14</v>
      </c>
      <c r="AJ120" s="13">
        <f>AI120*VLOOKUP('Données projet'!$B$10,Paramètres!$A$1:$I$89,3,0)*VLOOKUP('Données projet'!$B$10,Paramètres!$A$1:$I$89,5,0)</f>
        <v>-3.1036506698001178E-14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160.54301845388551</v>
      </c>
      <c r="AO120" s="59">
        <f t="shared" si="90"/>
        <v>272.6634844951584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14.677431849234287</v>
      </c>
      <c r="AV120" s="21">
        <f>EXP(-LN(2)/25)*AV119+(1-EXP(-LN(2)/25))/(LN(2)/25)*Calculateur!AQ120*Calculateur!AS120*VLOOKUP('Données projet'!$B$10,Paramètres!$A$1:$I$89,3,0)*0.475*44/12</f>
        <v>17.729604891096464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32.407036740330753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3.4106051316484809E-13</v>
      </c>
      <c r="BE120" s="13">
        <f>BD120*VLOOKUP('Données projet'!$B$11,Paramètres!$A$1:$I$89,3,0)*VLOOKUP('Données projet'!$B$11,Paramètres!$A$1:$I$89,5,0)</f>
        <v>1.5961632016114892E-13</v>
      </c>
      <c r="BF120" s="13">
        <f t="shared" si="91"/>
        <v>2.2708641912150958E-12</v>
      </c>
      <c r="BG120" s="20">
        <f t="shared" si="61"/>
        <v>4.2330868906469593E-12</v>
      </c>
      <c r="BH120" s="59">
        <f t="shared" si="62"/>
        <v>293.33333333333752</v>
      </c>
      <c r="BI120" s="59">
        <f ca="1">AVERAGE(OFFSET($BH$3,0,0,'Données projet'!$E$11+1,1))-AVERAGE(OFFSET($H$3,0,0,'Données projet'!$E$11+1,1))</f>
        <v>207.25176714718668</v>
      </c>
      <c r="BJ120" s="59">
        <f t="shared" si="92"/>
        <v>191.53228014642559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138.15790973660052</v>
      </c>
      <c r="BQ120" s="21">
        <f>EXP(-LN(2)/25)*BQ119+(1-EXP(-LN(2)/25))/(LN(2)/25)*Calculateur!BL120*Calculateur!BN120*VLOOKUP('Données projet'!$B$11,Paramètres!$A$1:$I$89,3,0)*0.475*44/12</f>
        <v>31.490506547679136</v>
      </c>
      <c r="BR120" s="21">
        <f>EXP(-LN(2)/2)*BR119+(1-EXP(-LN(2)/2))/(LN(2)/2)*BL120*BO120*VLOOKUP('Données projet'!$B$11,Paramètres!$A$1:$I$89,3,0)*0.475*44/12</f>
        <v>0.34666626943988349</v>
      </c>
      <c r="BS120" s="22">
        <f t="shared" si="63"/>
        <v>169.99508255371953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68.620424404221751</v>
      </c>
      <c r="CE120" s="59">
        <f t="shared" si="94"/>
        <v>203.12945099478918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6.9292720228834197</v>
      </c>
      <c r="CL120" s="21">
        <f>EXP(-LN(2)/25)*CL119+(1-EXP(-LN(2)/25))/(LN(2)/25)*Calculateur!CG120*Calculateur!CI120*VLOOKUP('Données projet'!$B$12,Paramètres!$A$1:$I$89,3,0)*0.475*44/12</f>
        <v>0.68588960246943864</v>
      </c>
      <c r="CM120" s="21">
        <f>EXP(-LN(2)/2)*CM119+(1-EXP(-LN(2)/2))/(LN(2)/2)*CG120*CJ120*VLOOKUP('Données projet'!$B$12,Paramètres!$A$1:$I$89,3,0)*0.475*44/12</f>
        <v>3.6229730489324682E-14</v>
      </c>
      <c r="CN120" s="22">
        <f t="shared" si="66"/>
        <v>7.6151616253528944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-2.8421709430404007E-13</v>
      </c>
      <c r="CU120" s="17">
        <f>CT120*VLOOKUP('Données projet'!$B$13,Paramètres!$A$1:$I$89,3,0)*VLOOKUP('Données projet'!$B$13,Paramètres!$A$1:$I$89,5,0)</f>
        <v>-1.69961822393816E-13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196.25918971690442</v>
      </c>
      <c r="CZ120" s="59">
        <f t="shared" si="96"/>
        <v>148.35701313170205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89.972373931202227</v>
      </c>
      <c r="DG120" s="21">
        <f>EXP(-LN(2)/25)*DG119+(1-EXP(-LN(2)/25))/(LN(2)/25)*Calculateur!DB120*Calculateur!DD120*VLOOKUP('Données projet'!$B$13,Paramètres!$A$1:$I$89,3,0)*0.475*44/12</f>
        <v>24.202624300622386</v>
      </c>
      <c r="DH120" s="21">
        <f>EXP(-LN(2)/2)*DH119+(1-EXP(-LN(2)/2))/(LN(2)/2)*DB120*DE120*VLOOKUP('Données projet'!$B$13,Paramètres!$A$1:$I$89,3,0)*0.475*44/12</f>
        <v>0.14181310797414387</v>
      </c>
      <c r="DI120" s="22">
        <f t="shared" si="69"/>
        <v>114.31681133979876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11">
        <f t="shared" si="86"/>
        <v>15.954979198073998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67">
        <f t="shared" si="56"/>
        <v>417.30338876997916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180.31844548479722</v>
      </c>
      <c r="T121" s="59">
        <f t="shared" si="88"/>
        <v>273.83237400307223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26.414530417986601</v>
      </c>
      <c r="AA121" s="21">
        <f>EXP(-LN(2)/25)*AA120+(1-EXP(-LN(2)/25))/(LN(2)/25)*Calculateur!V121*Calculateur!X121*VLOOKUP('Données projet'!$B$9,Paramètres!$A$1:$I$89,3,0)*0.475*44/12</f>
        <v>28.961444283981951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55.375974701968552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-5.6843418860808015E-14</v>
      </c>
      <c r="AJ121" s="13">
        <f>AI121*VLOOKUP('Données projet'!$B$10,Paramètres!$A$1:$I$89,3,0)*VLOOKUP('Données projet'!$B$10,Paramètres!$A$1:$I$89,5,0)</f>
        <v>-3.1036506698001178E-14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160.54301845388551</v>
      </c>
      <c r="AO121" s="59">
        <f t="shared" si="90"/>
        <v>272.6634844951584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14.389616363020259</v>
      </c>
      <c r="AV121" s="21">
        <f>EXP(-LN(2)/25)*AV120+(1-EXP(-LN(2)/25))/(LN(2)/25)*Calculateur!AQ121*Calculateur!AS121*VLOOKUP('Données projet'!$B$10,Paramètres!$A$1:$I$89,3,0)*0.475*44/12</f>
        <v>17.244787912990031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31.63440427601029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3.4106051316484809E-13</v>
      </c>
      <c r="BE121" s="13">
        <f>BD121*VLOOKUP('Données projet'!$B$11,Paramètres!$A$1:$I$89,3,0)*VLOOKUP('Données projet'!$B$11,Paramètres!$A$1:$I$89,5,0)</f>
        <v>1.5961632016114892E-13</v>
      </c>
      <c r="BF121" s="13">
        <f t="shared" si="91"/>
        <v>2.2708641912150958E-12</v>
      </c>
      <c r="BG121" s="20">
        <f t="shared" si="61"/>
        <v>4.2330868906469593E-12</v>
      </c>
      <c r="BH121" s="59">
        <f t="shared" si="62"/>
        <v>293.33333333333752</v>
      </c>
      <c r="BI121" s="59">
        <f ca="1">AVERAGE(OFFSET($BH$3,0,0,'Données projet'!$E$11+1,1))-AVERAGE(OFFSET($H$3,0,0,'Données projet'!$E$11+1,1))</f>
        <v>207.25176714718668</v>
      </c>
      <c r="BJ121" s="59">
        <f t="shared" si="92"/>
        <v>191.53228014642559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135.44871739466996</v>
      </c>
      <c r="BQ121" s="21">
        <f>EXP(-LN(2)/25)*BQ120+(1-EXP(-LN(2)/25))/(LN(2)/25)*Calculateur!BL121*Calculateur!BN121*VLOOKUP('Données projet'!$B$11,Paramètres!$A$1:$I$89,3,0)*0.475*44/12</f>
        <v>30.629396990119083</v>
      </c>
      <c r="BR121" s="21">
        <f>EXP(-LN(2)/2)*BR120+(1-EXP(-LN(2)/2))/(LN(2)/2)*BL121*BO121*VLOOKUP('Données projet'!$B$11,Paramètres!$A$1:$I$89,3,0)*0.475*44/12</f>
        <v>0.24513006992958444</v>
      </c>
      <c r="BS121" s="22">
        <f t="shared" si="63"/>
        <v>166.32324445471863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68.620424404221751</v>
      </c>
      <c r="CE121" s="59">
        <f t="shared" si="94"/>
        <v>203.12945099478918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6.7933932249532836</v>
      </c>
      <c r="CL121" s="21">
        <f>EXP(-LN(2)/25)*CL120+(1-EXP(-LN(2)/25))/(LN(2)/25)*Calculateur!CG121*Calculateur!CI121*VLOOKUP('Données projet'!$B$12,Paramètres!$A$1:$I$89,3,0)*0.475*44/12</f>
        <v>0.66713391522054521</v>
      </c>
      <c r="CM121" s="21">
        <f>EXP(-LN(2)/2)*CM120+(1-EXP(-LN(2)/2))/(LN(2)/2)*CG121*CJ121*VLOOKUP('Données projet'!$B$12,Paramètres!$A$1:$I$89,3,0)*0.475*44/12</f>
        <v>2.5618288109562497E-14</v>
      </c>
      <c r="CN121" s="22">
        <f t="shared" si="66"/>
        <v>7.4605271401738547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-2.8421709430404007E-13</v>
      </c>
      <c r="CU121" s="17">
        <f>CT121*VLOOKUP('Données projet'!$B$13,Paramètres!$A$1:$I$89,3,0)*VLOOKUP('Données projet'!$B$13,Paramètres!$A$1:$I$89,5,0)</f>
        <v>-1.69961822393816E-13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196.25918971690442</v>
      </c>
      <c r="CZ121" s="59">
        <f t="shared" si="96"/>
        <v>148.35701313170205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88.208070556140726</v>
      </c>
      <c r="DG121" s="21">
        <f>EXP(-LN(2)/25)*DG120+(1-EXP(-LN(2)/25))/(LN(2)/25)*Calculateur!DB121*Calculateur!DD121*VLOOKUP('Données projet'!$B$13,Paramètres!$A$1:$I$89,3,0)*0.475*44/12</f>
        <v>23.540802266361169</v>
      </c>
      <c r="DH121" s="21">
        <f>EXP(-LN(2)/2)*DH120+(1-EXP(-LN(2)/2))/(LN(2)/2)*DB121*DE121*VLOOKUP('Données projet'!$B$13,Paramètres!$A$1:$I$89,3,0)*0.475*44/12</f>
        <v>0.10027701030965719</v>
      </c>
      <c r="DI121" s="22">
        <f t="shared" si="69"/>
        <v>111.84914983281155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11">
        <f t="shared" si="86"/>
        <v>16.074393504165254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67">
        <f t="shared" si="56"/>
        <v>418.32646868642144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180.31844548479722</v>
      </c>
      <c r="T122" s="59">
        <f t="shared" si="88"/>
        <v>273.83237400307223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25.896557587762583</v>
      </c>
      <c r="AA122" s="21">
        <f>EXP(-LN(2)/25)*AA121+(1-EXP(-LN(2)/25))/(LN(2)/25)*Calculateur!V122*Calculateur!X122*VLOOKUP('Données projet'!$B$9,Paramètres!$A$1:$I$89,3,0)*0.475*44/12</f>
        <v>28.1694920670203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54.066049654782887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-5.6843418860808015E-14</v>
      </c>
      <c r="AJ122" s="13">
        <f>AI122*VLOOKUP('Données projet'!$B$10,Paramètres!$A$1:$I$89,3,0)*VLOOKUP('Données projet'!$B$10,Paramètres!$A$1:$I$89,5,0)</f>
        <v>-3.1036506698001178E-14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160.54301845388551</v>
      </c>
      <c r="AO122" s="59">
        <f t="shared" si="90"/>
        <v>272.6634844951584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14.107444762940776</v>
      </c>
      <c r="AV122" s="21">
        <f>EXP(-LN(2)/25)*AV121+(1-EXP(-LN(2)/25))/(LN(2)/25)*Calculateur!AQ122*Calculateur!AS122*VLOOKUP('Données projet'!$B$10,Paramètres!$A$1:$I$89,3,0)*0.475*44/12</f>
        <v>16.773228280645334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30.880673043586111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3.4106051316484809E-13</v>
      </c>
      <c r="BE122" s="13">
        <f>BD122*VLOOKUP('Données projet'!$B$11,Paramètres!$A$1:$I$89,3,0)*VLOOKUP('Données projet'!$B$11,Paramètres!$A$1:$I$89,5,0)</f>
        <v>1.5961632016114892E-13</v>
      </c>
      <c r="BF122" s="13">
        <f t="shared" si="91"/>
        <v>2.2708641912150958E-12</v>
      </c>
      <c r="BG122" s="20">
        <f t="shared" si="61"/>
        <v>4.2330868906469593E-12</v>
      </c>
      <c r="BH122" s="59">
        <f t="shared" si="62"/>
        <v>293.33333333333752</v>
      </c>
      <c r="BI122" s="59">
        <f ca="1">AVERAGE(OFFSET($BH$3,0,0,'Données projet'!$E$11+1,1))-AVERAGE(OFFSET($H$3,0,0,'Données projet'!$E$11+1,1))</f>
        <v>207.25176714718668</v>
      </c>
      <c r="BJ122" s="59">
        <f t="shared" si="92"/>
        <v>191.53228014642559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132.79265066212048</v>
      </c>
      <c r="BQ122" s="21">
        <f>EXP(-LN(2)/25)*BQ121+(1-EXP(-LN(2)/25))/(LN(2)/25)*Calculateur!BL122*Calculateur!BN122*VLOOKUP('Données projet'!$B$11,Paramètres!$A$1:$I$89,3,0)*0.475*44/12</f>
        <v>29.791834518694294</v>
      </c>
      <c r="BR122" s="21">
        <f>EXP(-LN(2)/2)*BR121+(1-EXP(-LN(2)/2))/(LN(2)/2)*BL122*BO122*VLOOKUP('Données projet'!$B$11,Paramètres!$A$1:$I$89,3,0)*0.475*44/12</f>
        <v>0.17333313471994177</v>
      </c>
      <c r="BS122" s="22">
        <f t="shared" si="63"/>
        <v>162.75781831553471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68.620424404221751</v>
      </c>
      <c r="CE122" s="59">
        <f t="shared" si="94"/>
        <v>203.12945099478918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6.6601789273726739</v>
      </c>
      <c r="CL122" s="21">
        <f>EXP(-LN(2)/25)*CL121+(1-EXP(-LN(2)/25))/(LN(2)/25)*Calculateur!CG122*Calculateur!CI122*VLOOKUP('Données projet'!$B$12,Paramètres!$A$1:$I$89,3,0)*0.475*44/12</f>
        <v>0.64889110322579158</v>
      </c>
      <c r="CM122" s="21">
        <f>EXP(-LN(2)/2)*CM121+(1-EXP(-LN(2)/2))/(LN(2)/2)*CG122*CJ122*VLOOKUP('Données projet'!$B$12,Paramètres!$A$1:$I$89,3,0)*0.475*44/12</f>
        <v>1.8114865244662341E-14</v>
      </c>
      <c r="CN122" s="22">
        <f t="shared" si="66"/>
        <v>7.309070030598483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-2.8421709430404007E-13</v>
      </c>
      <c r="CU122" s="17">
        <f>CT122*VLOOKUP('Données projet'!$B$13,Paramètres!$A$1:$I$89,3,0)*VLOOKUP('Données projet'!$B$13,Paramètres!$A$1:$I$89,5,0)</f>
        <v>-1.69961822393816E-13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196.25918971690442</v>
      </c>
      <c r="CZ122" s="59">
        <f t="shared" si="96"/>
        <v>148.35701313170205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86.478364094145377</v>
      </c>
      <c r="DG122" s="21">
        <f>EXP(-LN(2)/25)*DG121+(1-EXP(-LN(2)/25))/(LN(2)/25)*Calculateur!DB122*Calculateur!DD122*VLOOKUP('Données projet'!$B$13,Paramètres!$A$1:$I$89,3,0)*0.475*44/12</f>
        <v>22.897077790430536</v>
      </c>
      <c r="DH122" s="21">
        <f>EXP(-LN(2)/2)*DH121+(1-EXP(-LN(2)/2))/(LN(2)/2)*DB122*DE122*VLOOKUP('Données projet'!$B$13,Paramètres!$A$1:$I$89,3,0)*0.475*44/12</f>
        <v>7.0906553987071935E-2</v>
      </c>
      <c r="DI122" s="22">
        <f t="shared" si="69"/>
        <v>109.44634843856298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11">
        <f t="shared" si="86"/>
        <v>16.193691060657081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67">
        <f t="shared" si="56"/>
        <v>419.34934526397802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180.31844548479722</v>
      </c>
      <c r="T123" s="59">
        <f t="shared" si="88"/>
        <v>273.83237400307223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25.388741888807026</v>
      </c>
      <c r="AA123" s="21">
        <f>EXP(-LN(2)/25)*AA122+(1-EXP(-LN(2)/25))/(LN(2)/25)*Calculateur!V123*Calculateur!X123*VLOOKUP('Données projet'!$B$9,Paramètres!$A$1:$I$89,3,0)*0.475*44/12</f>
        <v>27.399195825078426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52.787937713885455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-5.6843418860808015E-14</v>
      </c>
      <c r="AJ123" s="13">
        <f>AI123*VLOOKUP('Données projet'!$B$10,Paramètres!$A$1:$I$89,3,0)*VLOOKUP('Données projet'!$B$10,Paramètres!$A$1:$I$89,5,0)</f>
        <v>-3.1036506698001178E-14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160.54301845388551</v>
      </c>
      <c r="AO123" s="59">
        <f t="shared" si="90"/>
        <v>272.6634844951584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13.83080637583117</v>
      </c>
      <c r="AV123" s="21">
        <f>EXP(-LN(2)/25)*AV122+(1-EXP(-LN(2)/25))/(LN(2)/25)*Calculateur!AQ123*Calculateur!AS123*VLOOKUP('Données projet'!$B$10,Paramètres!$A$1:$I$89,3,0)*0.475*44/12</f>
        <v>16.314563471245346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30.145369847076516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3.4106051316484809E-13</v>
      </c>
      <c r="BE123" s="13">
        <f>BD123*VLOOKUP('Données projet'!$B$11,Paramètres!$A$1:$I$89,3,0)*VLOOKUP('Données projet'!$B$11,Paramètres!$A$1:$I$89,5,0)</f>
        <v>1.5961632016114892E-13</v>
      </c>
      <c r="BF123" s="13">
        <f t="shared" si="91"/>
        <v>2.2708641912150958E-12</v>
      </c>
      <c r="BG123" s="20">
        <f t="shared" si="61"/>
        <v>4.2330868906469593E-12</v>
      </c>
      <c r="BH123" s="59">
        <f t="shared" si="62"/>
        <v>293.33333333333752</v>
      </c>
      <c r="BI123" s="59">
        <f ca="1">AVERAGE(OFFSET($BH$3,0,0,'Données projet'!$E$11+1,1))-AVERAGE(OFFSET($H$3,0,0,'Données projet'!$E$11+1,1))</f>
        <v>207.25176714718668</v>
      </c>
      <c r="BJ123" s="59">
        <f t="shared" si="92"/>
        <v>191.53228014642559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130.18866777815555</v>
      </c>
      <c r="BQ123" s="21">
        <f>EXP(-LN(2)/25)*BQ122+(1-EXP(-LN(2)/25))/(LN(2)/25)*Calculateur!BL123*Calculateur!BN123*VLOOKUP('Données projet'!$B$11,Paramètres!$A$1:$I$89,3,0)*0.475*44/12</f>
        <v>28.977175237096112</v>
      </c>
      <c r="BR123" s="21">
        <f>EXP(-LN(2)/2)*BR122+(1-EXP(-LN(2)/2))/(LN(2)/2)*BL123*BO123*VLOOKUP('Données projet'!$B$11,Paramètres!$A$1:$I$89,3,0)*0.475*44/12</f>
        <v>0.12256503496479224</v>
      </c>
      <c r="BS123" s="22">
        <f t="shared" si="63"/>
        <v>159.28840805021645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68.620424404221751</v>
      </c>
      <c r="CE123" s="59">
        <f t="shared" si="94"/>
        <v>203.12945099478918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6.5295768809149219</v>
      </c>
      <c r="CL123" s="21">
        <f>EXP(-LN(2)/25)*CL122+(1-EXP(-LN(2)/25))/(LN(2)/25)*Calculateur!CG123*Calculateur!CI123*VLOOKUP('Données projet'!$B$12,Paramètres!$A$1:$I$89,3,0)*0.475*44/12</f>
        <v>0.63114714188438226</v>
      </c>
      <c r="CM123" s="21">
        <f>EXP(-LN(2)/2)*CM122+(1-EXP(-LN(2)/2))/(LN(2)/2)*CG123*CJ123*VLOOKUP('Données projet'!$B$12,Paramètres!$A$1:$I$89,3,0)*0.475*44/12</f>
        <v>1.2809144054781249E-14</v>
      </c>
      <c r="CN123" s="22">
        <f t="shared" si="66"/>
        <v>7.1607240227993163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-2.8421709430404007E-13</v>
      </c>
      <c r="CU123" s="17">
        <f>CT123*VLOOKUP('Données projet'!$B$13,Paramètres!$A$1:$I$89,3,0)*VLOOKUP('Données projet'!$B$13,Paramètres!$A$1:$I$89,5,0)</f>
        <v>-1.69961822393816E-13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196.25918971690442</v>
      </c>
      <c r="CZ123" s="59">
        <f t="shared" si="96"/>
        <v>148.35701313170205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84.782576120852994</v>
      </c>
      <c r="DG123" s="21">
        <f>EXP(-LN(2)/25)*DG122+(1-EXP(-LN(2)/25))/(LN(2)/25)*Calculateur!DB123*Calculateur!DD123*VLOOKUP('Données projet'!$B$13,Paramètres!$A$1:$I$89,3,0)*0.475*44/12</f>
        <v>22.270955994146224</v>
      </c>
      <c r="DH123" s="21">
        <f>EXP(-LN(2)/2)*DH122+(1-EXP(-LN(2)/2))/(LN(2)/2)*DB123*DE123*VLOOKUP('Données projet'!$B$13,Paramètres!$A$1:$I$89,3,0)*0.475*44/12</f>
        <v>5.0138505154828594E-2</v>
      </c>
      <c r="DI123" s="22">
        <f t="shared" si="69"/>
        <v>107.10367062015405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11">
        <f t="shared" si="86"/>
        <v>16.312872953208569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67">
        <f t="shared" si="56"/>
        <v>420.37202039350524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180.31844548479722</v>
      </c>
      <c r="T124" s="59">
        <f t="shared" si="88"/>
        <v>273.83237400307223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24.890884145970997</v>
      </c>
      <c r="AA124" s="21">
        <f>EXP(-LN(2)/25)*AA123+(1-EXP(-LN(2)/25))/(LN(2)/25)*Calculateur!V124*Calculateur!X124*VLOOKUP('Données projet'!$B$9,Paramètres!$A$1:$I$89,3,0)*0.475*44/12</f>
        <v>26.649963374380569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51.540847520351562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-5.6843418860808015E-14</v>
      </c>
      <c r="AJ124" s="13">
        <f>AI124*VLOOKUP('Données projet'!$B$10,Paramètres!$A$1:$I$89,3,0)*VLOOKUP('Données projet'!$B$10,Paramètres!$A$1:$I$89,5,0)</f>
        <v>-3.1036506698001178E-14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160.54301845388551</v>
      </c>
      <c r="AO124" s="59">
        <f t="shared" si="90"/>
        <v>272.6634844951584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13.559592698760028</v>
      </c>
      <c r="AV124" s="21">
        <f>EXP(-LN(2)/25)*AV123+(1-EXP(-LN(2)/25))/(LN(2)/25)*Calculateur!AQ124*Calculateur!AS124*VLOOKUP('Données projet'!$B$10,Paramètres!$A$1:$I$89,3,0)*0.475*44/12</f>
        <v>15.868440875178537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29.428033573938563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3.4106051316484809E-13</v>
      </c>
      <c r="BE124" s="13">
        <f>BD124*VLOOKUP('Données projet'!$B$11,Paramètres!$A$1:$I$89,3,0)*VLOOKUP('Données projet'!$B$11,Paramètres!$A$1:$I$89,5,0)</f>
        <v>1.5961632016114892E-13</v>
      </c>
      <c r="BF124" s="13">
        <f t="shared" si="91"/>
        <v>2.2708641912150958E-12</v>
      </c>
      <c r="BG124" s="20">
        <f t="shared" si="61"/>
        <v>4.2330868906469593E-12</v>
      </c>
      <c r="BH124" s="59">
        <f t="shared" si="62"/>
        <v>293.33333333333752</v>
      </c>
      <c r="BI124" s="59">
        <f ca="1">AVERAGE(OFFSET($BH$3,0,0,'Données projet'!$E$11+1,1))-AVERAGE(OFFSET($H$3,0,0,'Données projet'!$E$11+1,1))</f>
        <v>207.25176714718668</v>
      </c>
      <c r="BJ124" s="59">
        <f t="shared" si="92"/>
        <v>191.53228014642559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127.63574741027244</v>
      </c>
      <c r="BQ124" s="21">
        <f>EXP(-LN(2)/25)*BQ123+(1-EXP(-LN(2)/25))/(LN(2)/25)*Calculateur!BL124*Calculateur!BN124*VLOOKUP('Données projet'!$B$11,Paramètres!$A$1:$I$89,3,0)*0.475*44/12</f>
        <v>28.184792856394303</v>
      </c>
      <c r="BR124" s="21">
        <f>EXP(-LN(2)/2)*BR123+(1-EXP(-LN(2)/2))/(LN(2)/2)*BL124*BO124*VLOOKUP('Données projet'!$B$11,Paramètres!$A$1:$I$89,3,0)*0.475*44/12</f>
        <v>8.66665673599709E-2</v>
      </c>
      <c r="BS124" s="22">
        <f t="shared" si="63"/>
        <v>155.90720683402671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68.620424404221751</v>
      </c>
      <c r="CE124" s="59">
        <f t="shared" si="94"/>
        <v>203.12945099478918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6.4015358609288242</v>
      </c>
      <c r="CL124" s="21">
        <f>EXP(-LN(2)/25)*CL123+(1-EXP(-LN(2)/25))/(LN(2)/25)*Calculateur!CG124*Calculateur!CI124*VLOOKUP('Données projet'!$B$12,Paramètres!$A$1:$I$89,3,0)*0.475*44/12</f>
        <v>0.61388839009896812</v>
      </c>
      <c r="CM124" s="21">
        <f>EXP(-LN(2)/2)*CM123+(1-EXP(-LN(2)/2))/(LN(2)/2)*CG124*CJ124*VLOOKUP('Données projet'!$B$12,Paramètres!$A$1:$I$89,3,0)*0.475*44/12</f>
        <v>9.0574326223311704E-15</v>
      </c>
      <c r="CN124" s="22">
        <f t="shared" si="66"/>
        <v>7.0154242510278015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-2.8421709430404007E-13</v>
      </c>
      <c r="CU124" s="17">
        <f>CT124*VLOOKUP('Données projet'!$B$13,Paramètres!$A$1:$I$89,3,0)*VLOOKUP('Données projet'!$B$13,Paramètres!$A$1:$I$89,5,0)</f>
        <v>-1.69961822393816E-13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196.25918971690442</v>
      </c>
      <c r="CZ124" s="59">
        <f t="shared" si="96"/>
        <v>148.35701313170205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83.120041515388337</v>
      </c>
      <c r="DG124" s="21">
        <f>EXP(-LN(2)/25)*DG123+(1-EXP(-LN(2)/25))/(LN(2)/25)*Calculateur!DB124*Calculateur!DD124*VLOOKUP('Données projet'!$B$13,Paramètres!$A$1:$I$89,3,0)*0.475*44/12</f>
        <v>21.661955531307619</v>
      </c>
      <c r="DH124" s="21">
        <f>EXP(-LN(2)/2)*DH123+(1-EXP(-LN(2)/2))/(LN(2)/2)*DB124*DE124*VLOOKUP('Données projet'!$B$13,Paramètres!$A$1:$I$89,3,0)*0.475*44/12</f>
        <v>3.5453276993535968E-2</v>
      </c>
      <c r="DI124" s="22">
        <f t="shared" si="69"/>
        <v>104.81745032368949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11">
        <f t="shared" si="86"/>
        <v>16.431940248498069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67">
        <f t="shared" si="56"/>
        <v>421.39449593280108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180.31844548479722</v>
      </c>
      <c r="T125" s="59">
        <f t="shared" si="88"/>
        <v>273.83237400307223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24.402789089808742</v>
      </c>
      <c r="AA125" s="21">
        <f>EXP(-LN(2)/25)*AA124+(1-EXP(-LN(2)/25))/(LN(2)/25)*Calculateur!V125*Calculateur!X125*VLOOKUP('Données projet'!$B$9,Paramètres!$A$1:$I$89,3,0)*0.475*44/12</f>
        <v>25.921218724447467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50.324007814256206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-5.6843418860808015E-14</v>
      </c>
      <c r="AJ125" s="13">
        <f>AI125*VLOOKUP('Données projet'!$B$10,Paramètres!$A$1:$I$89,3,0)*VLOOKUP('Données projet'!$B$10,Paramètres!$A$1:$I$89,5,0)</f>
        <v>-3.1036506698001178E-14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160.54301845388551</v>
      </c>
      <c r="AO125" s="59">
        <f t="shared" si="90"/>
        <v>272.6634844951584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13.293697356472242</v>
      </c>
      <c r="AV125" s="21">
        <f>EXP(-LN(2)/25)*AV124+(1-EXP(-LN(2)/25))/(LN(2)/25)*Calculateur!AQ125*Calculateur!AS125*VLOOKUP('Données projet'!$B$10,Paramètres!$A$1:$I$89,3,0)*0.475*44/12</f>
        <v>15.434517524961743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28.728214881433985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3.4106051316484809E-13</v>
      </c>
      <c r="BE125" s="13">
        <f>BD125*VLOOKUP('Données projet'!$B$11,Paramètres!$A$1:$I$89,3,0)*VLOOKUP('Données projet'!$B$11,Paramètres!$A$1:$I$89,5,0)</f>
        <v>1.5961632016114892E-13</v>
      </c>
      <c r="BF125" s="13">
        <f t="shared" si="91"/>
        <v>2.2708641912150958E-12</v>
      </c>
      <c r="BG125" s="20">
        <f t="shared" si="61"/>
        <v>4.2330868906469593E-12</v>
      </c>
      <c r="BH125" s="59">
        <f t="shared" si="62"/>
        <v>293.33333333333752</v>
      </c>
      <c r="BI125" s="59">
        <f ca="1">AVERAGE(OFFSET($BH$3,0,0,'Données projet'!$E$11+1,1))-AVERAGE(OFFSET($H$3,0,0,'Données projet'!$E$11+1,1))</f>
        <v>207.25176714718668</v>
      </c>
      <c r="BJ125" s="59">
        <f t="shared" si="92"/>
        <v>191.53228014642559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125.13288825367586</v>
      </c>
      <c r="BQ125" s="21">
        <f>EXP(-LN(2)/25)*BQ124+(1-EXP(-LN(2)/25))/(LN(2)/25)*Calculateur!BL125*Calculateur!BN125*VLOOKUP('Données projet'!$B$11,Paramètres!$A$1:$I$89,3,0)*0.475*44/12</f>
        <v>27.414078213562362</v>
      </c>
      <c r="BR125" s="21">
        <f>EXP(-LN(2)/2)*BR124+(1-EXP(-LN(2)/2))/(LN(2)/2)*BL125*BO125*VLOOKUP('Données projet'!$B$11,Paramètres!$A$1:$I$89,3,0)*0.475*44/12</f>
        <v>6.1282517482396132E-2</v>
      </c>
      <c r="BS125" s="22">
        <f t="shared" si="63"/>
        <v>152.60824898472063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68.620424404221751</v>
      </c>
      <c r="CE125" s="59">
        <f t="shared" si="94"/>
        <v>203.12945099478918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6.2760056472473424</v>
      </c>
      <c r="CL125" s="21">
        <f>EXP(-LN(2)/25)*CL124+(1-EXP(-LN(2)/25))/(LN(2)/25)*Calculateur!CG125*Calculateur!CI125*VLOOKUP('Données projet'!$B$12,Paramètres!$A$1:$I$89,3,0)*0.475*44/12</f>
        <v>0.59710157978872447</v>
      </c>
      <c r="CM125" s="21">
        <f>EXP(-LN(2)/2)*CM124+(1-EXP(-LN(2)/2))/(LN(2)/2)*CG125*CJ125*VLOOKUP('Données projet'!$B$12,Paramètres!$A$1:$I$89,3,0)*0.475*44/12</f>
        <v>6.4045720273906243E-15</v>
      </c>
      <c r="CN125" s="22">
        <f t="shared" si="66"/>
        <v>6.8731072270360736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-2.8421709430404007E-13</v>
      </c>
      <c r="CU125" s="17">
        <f>CT125*VLOOKUP('Données projet'!$B$13,Paramètres!$A$1:$I$89,3,0)*VLOOKUP('Données projet'!$B$13,Paramètres!$A$1:$I$89,5,0)</f>
        <v>-1.69961822393816E-13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196.25918971690442</v>
      </c>
      <c r="CZ125" s="59">
        <f t="shared" si="96"/>
        <v>148.35701313170205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81.490108199490862</v>
      </c>
      <c r="DG125" s="21">
        <f>EXP(-LN(2)/25)*DG124+(1-EXP(-LN(2)/25))/(LN(2)/25)*Calculateur!DB125*Calculateur!DD125*VLOOKUP('Données projet'!$B$13,Paramètres!$A$1:$I$89,3,0)*0.475*44/12</f>
        <v>21.069608218151281</v>
      </c>
      <c r="DH125" s="21">
        <f>EXP(-LN(2)/2)*DH124+(1-EXP(-LN(2)/2))/(LN(2)/2)*DB125*DE125*VLOOKUP('Données projet'!$B$13,Paramètres!$A$1:$I$89,3,0)*0.475*44/12</f>
        <v>2.5069252577414297E-2</v>
      </c>
      <c r="DI125" s="22">
        <f t="shared" si="69"/>
        <v>102.58478567021955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11">
        <f t="shared" si="86"/>
        <v>16.55089399470792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67">
        <f t="shared" si="56"/>
        <v>422.41677370744992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180.31844548479722</v>
      </c>
      <c r="T126" s="59">
        <f t="shared" si="88"/>
        <v>273.83237400307223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23.924265279989243</v>
      </c>
      <c r="AA126" s="21">
        <f>EXP(-LN(2)/25)*AA125+(1-EXP(-LN(2)/25))/(LN(2)/25)*Calculateur!V126*Calculateur!X126*VLOOKUP('Données projet'!$B$9,Paramètres!$A$1:$I$89,3,0)*0.475*44/12</f>
        <v>25.212401635289801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49.136666915279044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-5.6843418860808015E-14</v>
      </c>
      <c r="AJ126" s="13">
        <f>AI126*VLOOKUP('Données projet'!$B$10,Paramètres!$A$1:$I$89,3,0)*VLOOKUP('Données projet'!$B$10,Paramètres!$A$1:$I$89,5,0)</f>
        <v>-3.1036506698001178E-14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160.54301845388551</v>
      </c>
      <c r="AO126" s="59">
        <f t="shared" si="90"/>
        <v>272.6634844951584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13.033016059666576</v>
      </c>
      <c r="AV126" s="21">
        <f>EXP(-LN(2)/25)*AV125+(1-EXP(-LN(2)/25))/(LN(2)/25)*Calculateur!AQ126*Calculateur!AS126*VLOOKUP('Données projet'!$B$10,Paramètres!$A$1:$I$89,3,0)*0.475*44/12</f>
        <v>15.012459831575663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28.045475891242241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3.4106051316484809E-13</v>
      </c>
      <c r="BE126" s="13">
        <f>BD126*VLOOKUP('Données projet'!$B$11,Paramètres!$A$1:$I$89,3,0)*VLOOKUP('Données projet'!$B$11,Paramètres!$A$1:$I$89,5,0)</f>
        <v>1.5961632016114892E-13</v>
      </c>
      <c r="BF126" s="13">
        <f t="shared" si="91"/>
        <v>2.2708641912150958E-12</v>
      </c>
      <c r="BG126" s="20">
        <f t="shared" si="61"/>
        <v>4.2330868906469593E-12</v>
      </c>
      <c r="BH126" s="59">
        <f t="shared" si="62"/>
        <v>293.33333333333752</v>
      </c>
      <c r="BI126" s="59">
        <f ca="1">AVERAGE(OFFSET($BH$3,0,0,'Données projet'!$E$11+1,1))-AVERAGE(OFFSET($H$3,0,0,'Données projet'!$E$11+1,1))</f>
        <v>207.25176714718668</v>
      </c>
      <c r="BJ126" s="59">
        <f t="shared" si="92"/>
        <v>191.53228014642559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122.67910863854679</v>
      </c>
      <c r="BQ126" s="21">
        <f>EXP(-LN(2)/25)*BQ125+(1-EXP(-LN(2)/25))/(LN(2)/25)*Calculateur!BL126*Calculateur!BN126*VLOOKUP('Données projet'!$B$11,Paramètres!$A$1:$I$89,3,0)*0.475*44/12</f>
        <v>26.664438803168782</v>
      </c>
      <c r="BR126" s="21">
        <f>EXP(-LN(2)/2)*BR125+(1-EXP(-LN(2)/2))/(LN(2)/2)*BL126*BO126*VLOOKUP('Données projet'!$B$11,Paramètres!$A$1:$I$89,3,0)*0.475*44/12</f>
        <v>4.3333283679985457E-2</v>
      </c>
      <c r="BS126" s="22">
        <f t="shared" si="63"/>
        <v>149.38688072539557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68.620424404221751</v>
      </c>
      <c r="CE126" s="59">
        <f t="shared" si="94"/>
        <v>203.12945099478918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6.1529370044902851</v>
      </c>
      <c r="CL126" s="21">
        <f>EXP(-LN(2)/25)*CL125+(1-EXP(-LN(2)/25))/(LN(2)/25)*Calculateur!CG126*Calculateur!CI126*VLOOKUP('Données projet'!$B$12,Paramètres!$A$1:$I$89,3,0)*0.475*44/12</f>
        <v>0.58077380568919446</v>
      </c>
      <c r="CM126" s="21">
        <f>EXP(-LN(2)/2)*CM125+(1-EXP(-LN(2)/2))/(LN(2)/2)*CG126*CJ126*VLOOKUP('Données projet'!$B$12,Paramètres!$A$1:$I$89,3,0)*0.475*44/12</f>
        <v>4.5287163111655852E-15</v>
      </c>
      <c r="CN126" s="22">
        <f t="shared" si="66"/>
        <v>6.7337108101794838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-2.8421709430404007E-13</v>
      </c>
      <c r="CU126" s="17">
        <f>CT126*VLOOKUP('Données projet'!$B$13,Paramètres!$A$1:$I$89,3,0)*VLOOKUP('Données projet'!$B$13,Paramètres!$A$1:$I$89,5,0)</f>
        <v>-1.69961822393816E-13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196.25918971690442</v>
      </c>
      <c r="CZ126" s="59">
        <f t="shared" si="96"/>
        <v>148.35701313170205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79.892136881756983</v>
      </c>
      <c r="DG126" s="21">
        <f>EXP(-LN(2)/25)*DG125+(1-EXP(-LN(2)/25))/(LN(2)/25)*Calculateur!DB126*Calculateur!DD126*VLOOKUP('Données projet'!$B$13,Paramètres!$A$1:$I$89,3,0)*0.475*44/12</f>
        <v>20.493458673423394</v>
      </c>
      <c r="DH126" s="21">
        <f>EXP(-LN(2)/2)*DH125+(1-EXP(-LN(2)/2))/(LN(2)/2)*DB126*DE126*VLOOKUP('Données projet'!$B$13,Paramètres!$A$1:$I$89,3,0)*0.475*44/12</f>
        <v>1.7726638496767984E-2</v>
      </c>
      <c r="DI126" s="22">
        <f t="shared" si="69"/>
        <v>100.40332219367714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11">
        <f t="shared" si="86"/>
        <v>16.669735221992848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67">
        <f t="shared" si="56"/>
        <v>423.43885551163788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180.31844548479722</v>
      </c>
      <c r="T127" s="59">
        <f t="shared" si="88"/>
        <v>273.83237400307223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23.455125030209597</v>
      </c>
      <c r="AA127" s="21">
        <f>EXP(-LN(2)/25)*AA126+(1-EXP(-LN(2)/25))/(LN(2)/25)*Calculateur!V127*Calculateur!X127*VLOOKUP('Données projet'!$B$9,Paramètres!$A$1:$I$89,3,0)*0.475*44/12</f>
        <v>24.522967186710222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47.978092216919819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-5.6843418860808015E-14</v>
      </c>
      <c r="AJ127" s="13">
        <f>AI127*VLOOKUP('Données projet'!$B$10,Paramètres!$A$1:$I$89,3,0)*VLOOKUP('Données projet'!$B$10,Paramètres!$A$1:$I$89,5,0)</f>
        <v>-3.1036506698001178E-14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160.54301845388551</v>
      </c>
      <c r="AO127" s="59">
        <f t="shared" si="90"/>
        <v>272.6634844951584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12.777446564091377</v>
      </c>
      <c r="AV127" s="21">
        <f>EXP(-LN(2)/25)*AV126+(1-EXP(-LN(2)/25))/(LN(2)/25)*Calculateur!AQ127*Calculateur!AS127*VLOOKUP('Données projet'!$B$10,Paramètres!$A$1:$I$89,3,0)*0.475*44/12</f>
        <v>14.601943328010275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27.379389892101653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3.4106051316484809E-13</v>
      </c>
      <c r="BE127" s="13">
        <f>BD127*VLOOKUP('Données projet'!$B$11,Paramètres!$A$1:$I$89,3,0)*VLOOKUP('Données projet'!$B$11,Paramètres!$A$1:$I$89,5,0)</f>
        <v>1.5961632016114892E-13</v>
      </c>
      <c r="BF127" s="13">
        <f t="shared" si="91"/>
        <v>2.2708641912150958E-12</v>
      </c>
      <c r="BG127" s="20">
        <f t="shared" si="61"/>
        <v>4.2330868906469593E-12</v>
      </c>
      <c r="BH127" s="59">
        <f t="shared" si="62"/>
        <v>293.33333333333752</v>
      </c>
      <c r="BI127" s="59">
        <f ca="1">AVERAGE(OFFSET($BH$3,0,0,'Données projet'!$E$11+1,1))-AVERAGE(OFFSET($H$3,0,0,'Données projet'!$E$11+1,1))</f>
        <v>207.25176714718668</v>
      </c>
      <c r="BJ127" s="59">
        <f t="shared" si="92"/>
        <v>191.53228014642559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120.27344614501263</v>
      </c>
      <c r="BQ127" s="21">
        <f>EXP(-LN(2)/25)*BQ126+(1-EXP(-LN(2)/25))/(LN(2)/25)*Calculateur!BL127*Calculateur!BN127*VLOOKUP('Données projet'!$B$11,Paramètres!$A$1:$I$89,3,0)*0.475*44/12</f>
        <v>25.935298321874239</v>
      </c>
      <c r="BR127" s="21">
        <f>EXP(-LN(2)/2)*BR126+(1-EXP(-LN(2)/2))/(LN(2)/2)*BL127*BO127*VLOOKUP('Données projet'!$B$11,Paramètres!$A$1:$I$89,3,0)*0.475*44/12</f>
        <v>3.0641258741198069E-2</v>
      </c>
      <c r="BS127" s="22">
        <f t="shared" si="63"/>
        <v>146.23938572562804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68.620424404221751</v>
      </c>
      <c r="CE127" s="59">
        <f t="shared" si="94"/>
        <v>203.12945099478918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6.032281662753233</v>
      </c>
      <c r="CL127" s="21">
        <f>EXP(-LN(2)/25)*CL126+(1-EXP(-LN(2)/25))/(LN(2)/25)*Calculateur!CG127*Calculateur!CI127*VLOOKUP('Données projet'!$B$12,Paramètres!$A$1:$I$89,3,0)*0.475*44/12</f>
        <v>0.56489251543105634</v>
      </c>
      <c r="CM127" s="21">
        <f>EXP(-LN(2)/2)*CM126+(1-EXP(-LN(2)/2))/(LN(2)/2)*CG127*CJ127*VLOOKUP('Données projet'!$B$12,Paramètres!$A$1:$I$89,3,0)*0.475*44/12</f>
        <v>3.2022860136953122E-15</v>
      </c>
      <c r="CN127" s="22">
        <f t="shared" si="66"/>
        <v>6.597174178184293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-2.8421709430404007E-13</v>
      </c>
      <c r="CU127" s="17">
        <f>CT127*VLOOKUP('Données projet'!$B$13,Paramètres!$A$1:$I$89,3,0)*VLOOKUP('Données projet'!$B$13,Paramètres!$A$1:$I$89,5,0)</f>
        <v>-1.69961822393816E-13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196.25918971690442</v>
      </c>
      <c r="CZ127" s="59">
        <f t="shared" si="96"/>
        <v>148.35701313170205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78.325500806897594</v>
      </c>
      <c r="DG127" s="21">
        <f>EXP(-LN(2)/25)*DG126+(1-EXP(-LN(2)/25))/(LN(2)/25)*Calculateur!DB127*Calculateur!DD127*VLOOKUP('Données projet'!$B$13,Paramètres!$A$1:$I$89,3,0)*0.475*44/12</f>
        <v>19.933063968294476</v>
      </c>
      <c r="DH127" s="21">
        <f>EXP(-LN(2)/2)*DH126+(1-EXP(-LN(2)/2))/(LN(2)/2)*DB127*DE127*VLOOKUP('Données projet'!$B$13,Paramètres!$A$1:$I$89,3,0)*0.475*44/12</f>
        <v>1.2534626288707149E-2</v>
      </c>
      <c r="DI127" s="22">
        <f t="shared" si="69"/>
        <v>98.271099401480782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11">
        <f t="shared" si="86"/>
        <v>16.788464942932855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67">
        <f t="shared" si="56"/>
        <v>424.4607431089417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180.31844548479722</v>
      </c>
      <c r="T128" s="59">
        <f t="shared" si="88"/>
        <v>273.83237400307223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22.995184334580834</v>
      </c>
      <c r="AA128" s="21">
        <f>EXP(-LN(2)/25)*AA127+(1-EXP(-LN(2)/25))/(LN(2)/25)*Calculateur!V128*Calculateur!X128*VLOOKUP('Données projet'!$B$9,Paramètres!$A$1:$I$89,3,0)*0.475*44/12</f>
        <v>23.852385359382833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46.847569693963663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-5.6843418860808015E-14</v>
      </c>
      <c r="AJ128" s="13">
        <f>AI128*VLOOKUP('Données projet'!$B$10,Paramètres!$A$1:$I$89,3,0)*VLOOKUP('Données projet'!$B$10,Paramètres!$A$1:$I$89,5,0)</f>
        <v>-3.1036506698001178E-14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160.54301845388551</v>
      </c>
      <c r="AO128" s="59">
        <f t="shared" si="90"/>
        <v>272.6634844951584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12.526888630442409</v>
      </c>
      <c r="AV128" s="21">
        <f>EXP(-LN(2)/25)*AV127+(1-EXP(-LN(2)/25))/(LN(2)/25)*Calculateur!AQ128*Calculateur!AS128*VLOOKUP('Données projet'!$B$10,Paramètres!$A$1:$I$89,3,0)*0.475*44/12</f>
        <v>14.202652419823007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26.729541050265418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3.4106051316484809E-13</v>
      </c>
      <c r="BE128" s="13">
        <f>BD128*VLOOKUP('Données projet'!$B$11,Paramètres!$A$1:$I$89,3,0)*VLOOKUP('Données projet'!$B$11,Paramètres!$A$1:$I$89,5,0)</f>
        <v>1.5961632016114892E-13</v>
      </c>
      <c r="BF128" s="13">
        <f t="shared" si="91"/>
        <v>2.2708641912150958E-12</v>
      </c>
      <c r="BG128" s="20">
        <f t="shared" si="61"/>
        <v>4.2330868906469593E-12</v>
      </c>
      <c r="BH128" s="59">
        <f t="shared" si="62"/>
        <v>293.33333333333752</v>
      </c>
      <c r="BI128" s="59">
        <f ca="1">AVERAGE(OFFSET($BH$3,0,0,'Données projet'!$E$11+1,1))-AVERAGE(OFFSET($H$3,0,0,'Données projet'!$E$11+1,1))</f>
        <v>207.25176714718668</v>
      </c>
      <c r="BJ128" s="59">
        <f t="shared" si="92"/>
        <v>191.53228014642559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117.91495722566742</v>
      </c>
      <c r="BQ128" s="21">
        <f>EXP(-LN(2)/25)*BQ127+(1-EXP(-LN(2)/25))/(LN(2)/25)*Calculateur!BL128*Calculateur!BN128*VLOOKUP('Données projet'!$B$11,Paramètres!$A$1:$I$89,3,0)*0.475*44/12</f>
        <v>25.226096225384524</v>
      </c>
      <c r="BR128" s="21">
        <f>EXP(-LN(2)/2)*BR127+(1-EXP(-LN(2)/2))/(LN(2)/2)*BL128*BO128*VLOOKUP('Données projet'!$B$11,Paramètres!$A$1:$I$89,3,0)*0.475*44/12</f>
        <v>2.1666641839992732E-2</v>
      </c>
      <c r="BS128" s="22">
        <f t="shared" si="63"/>
        <v>143.16272009289196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68.620424404221751</v>
      </c>
      <c r="CE128" s="59">
        <f t="shared" si="94"/>
        <v>203.12945099478918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5.9139922986751525</v>
      </c>
      <c r="CL128" s="21">
        <f>EXP(-LN(2)/25)*CL127+(1-EXP(-LN(2)/25))/(LN(2)/25)*Calculateur!CG128*Calculateur!CI128*VLOOKUP('Données projet'!$B$12,Paramètres!$A$1:$I$89,3,0)*0.475*44/12</f>
        <v>0.54944549989018776</v>
      </c>
      <c r="CM128" s="21">
        <f>EXP(-LN(2)/2)*CM127+(1-EXP(-LN(2)/2))/(LN(2)/2)*CG128*CJ128*VLOOKUP('Données projet'!$B$12,Paramètres!$A$1:$I$89,3,0)*0.475*44/12</f>
        <v>2.2643581555827926E-15</v>
      </c>
      <c r="CN128" s="22">
        <f t="shared" si="66"/>
        <v>6.4634377985653426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-2.8421709430404007E-13</v>
      </c>
      <c r="CU128" s="17">
        <f>CT128*VLOOKUP('Données projet'!$B$13,Paramètres!$A$1:$I$89,3,0)*VLOOKUP('Données projet'!$B$13,Paramètres!$A$1:$I$89,5,0)</f>
        <v>-1.69961822393816E-13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196.25918971690442</v>
      </c>
      <c r="CZ128" s="59">
        <f t="shared" si="96"/>
        <v>148.35701313170205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76.789585509912555</v>
      </c>
      <c r="DG128" s="21">
        <f>EXP(-LN(2)/25)*DG127+(1-EXP(-LN(2)/25))/(LN(2)/25)*Calculateur!DB128*Calculateur!DD128*VLOOKUP('Données projet'!$B$13,Paramètres!$A$1:$I$89,3,0)*0.475*44/12</f>
        <v>19.387993285847188</v>
      </c>
      <c r="DH128" s="21">
        <f>EXP(-LN(2)/2)*DH127+(1-EXP(-LN(2)/2))/(LN(2)/2)*DB128*DE128*VLOOKUP('Données projet'!$B$13,Paramètres!$A$1:$I$89,3,0)*0.475*44/12</f>
        <v>8.8633192483839919E-3</v>
      </c>
      <c r="DI128" s="22">
        <f t="shared" si="69"/>
        <v>96.18644211500812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11">
        <f t="shared" si="86"/>
        <v>16.907084152971169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67">
        <f t="shared" si="56"/>
        <v>425.48243823309178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180.31844548479722</v>
      </c>
      <c r="T129" s="59">
        <f t="shared" si="88"/>
        <v>273.83237400307223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22.544262795457229</v>
      </c>
      <c r="AA129" s="21">
        <f>EXP(-LN(2)/25)*AA128+(1-EXP(-LN(2)/25))/(LN(2)/25)*Calculateur!V129*Calculateur!X129*VLOOKUP('Données projet'!$B$9,Paramètres!$A$1:$I$89,3,0)*0.475*44/12</f>
        <v>23.200140627388077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45.744403422845309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-5.6843418860808015E-14</v>
      </c>
      <c r="AJ129" s="13">
        <f>AI129*VLOOKUP('Données projet'!$B$10,Paramètres!$A$1:$I$89,3,0)*VLOOKUP('Données projet'!$B$10,Paramètres!$A$1:$I$89,5,0)</f>
        <v>-3.1036506698001178E-14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160.54301845388551</v>
      </c>
      <c r="AO129" s="59">
        <f t="shared" si="90"/>
        <v>272.6634844951584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12.281243985047047</v>
      </c>
      <c r="AV129" s="21">
        <f>EXP(-LN(2)/25)*AV128+(1-EXP(-LN(2)/25))/(LN(2)/25)*Calculateur!AQ129*Calculateur!AS129*VLOOKUP('Données projet'!$B$10,Paramètres!$A$1:$I$89,3,0)*0.475*44/12</f>
        <v>13.814280142517918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26.095524127564964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3.4106051316484809E-13</v>
      </c>
      <c r="BE129" s="13">
        <f>BD129*VLOOKUP('Données projet'!$B$11,Paramètres!$A$1:$I$89,3,0)*VLOOKUP('Données projet'!$B$11,Paramètres!$A$1:$I$89,5,0)</f>
        <v>1.5961632016114892E-13</v>
      </c>
      <c r="BF129" s="13">
        <f t="shared" si="91"/>
        <v>2.2708641912150958E-12</v>
      </c>
      <c r="BG129" s="20">
        <f t="shared" si="61"/>
        <v>4.2330868906469593E-12</v>
      </c>
      <c r="BH129" s="59">
        <f t="shared" si="62"/>
        <v>293.33333333333752</v>
      </c>
      <c r="BI129" s="59">
        <f ca="1">AVERAGE(OFFSET($BH$3,0,0,'Données projet'!$E$11+1,1))-AVERAGE(OFFSET($H$3,0,0,'Données projet'!$E$11+1,1))</f>
        <v>207.25176714718668</v>
      </c>
      <c r="BJ129" s="59">
        <f t="shared" si="92"/>
        <v>191.53228014642559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115.60271683549438</v>
      </c>
      <c r="BQ129" s="21">
        <f>EXP(-LN(2)/25)*BQ128+(1-EXP(-LN(2)/25))/(LN(2)/25)*Calculateur!BL129*Calculateur!BN129*VLOOKUP('Données projet'!$B$11,Paramètres!$A$1:$I$89,3,0)*0.475*44/12</f>
        <v>24.536287297518637</v>
      </c>
      <c r="BR129" s="21">
        <f>EXP(-LN(2)/2)*BR128+(1-EXP(-LN(2)/2))/(LN(2)/2)*BL129*BO129*VLOOKUP('Données projet'!$B$11,Paramètres!$A$1:$I$89,3,0)*0.475*44/12</f>
        <v>1.5320629370599036E-2</v>
      </c>
      <c r="BS129" s="22">
        <f t="shared" si="63"/>
        <v>140.1543247623836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68.620424404221751</v>
      </c>
      <c r="CE129" s="59">
        <f t="shared" si="94"/>
        <v>203.12945099478918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5.7980225168772552</v>
      </c>
      <c r="CL129" s="21">
        <f>EXP(-LN(2)/25)*CL128+(1-EXP(-LN(2)/25))/(LN(2)/25)*Calculateur!CG129*Calculateur!CI129*VLOOKUP('Données projet'!$B$12,Paramètres!$A$1:$I$89,3,0)*0.475*44/12</f>
        <v>0.53442088380160746</v>
      </c>
      <c r="CM129" s="21">
        <f>EXP(-LN(2)/2)*CM128+(1-EXP(-LN(2)/2))/(LN(2)/2)*CG129*CJ129*VLOOKUP('Données projet'!$B$12,Paramètres!$A$1:$I$89,3,0)*0.475*44/12</f>
        <v>1.6011430068476561E-15</v>
      </c>
      <c r="CN129" s="22">
        <f t="shared" si="66"/>
        <v>6.3324434006788648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-2.8421709430404007E-13</v>
      </c>
      <c r="CU129" s="17">
        <f>CT129*VLOOKUP('Données projet'!$B$13,Paramètres!$A$1:$I$89,3,0)*VLOOKUP('Données projet'!$B$13,Paramètres!$A$1:$I$89,5,0)</f>
        <v>-1.69961822393816E-13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196.25918971690442</v>
      </c>
      <c r="CZ129" s="59">
        <f t="shared" si="96"/>
        <v>148.35701313170205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75.283788575085566</v>
      </c>
      <c r="DG129" s="21">
        <f>EXP(-LN(2)/25)*DG128+(1-EXP(-LN(2)/25))/(LN(2)/25)*Calculateur!DB129*Calculateur!DD129*VLOOKUP('Données projet'!$B$13,Paramètres!$A$1:$I$89,3,0)*0.475*44/12</f>
        <v>18.857827589875441</v>
      </c>
      <c r="DH129" s="21">
        <f>EXP(-LN(2)/2)*DH128+(1-EXP(-LN(2)/2))/(LN(2)/2)*DB129*DE129*VLOOKUP('Données projet'!$B$13,Paramètres!$A$1:$I$89,3,0)*0.475*44/12</f>
        <v>6.2673131443535743E-3</v>
      </c>
      <c r="DI129" s="22">
        <f t="shared" si="69"/>
        <v>94.147883478105356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11">
        <f t="shared" si="86"/>
        <v>17.025593830837963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67">
        <f t="shared" si="56"/>
        <v>426.50394258870983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180.31844548479722</v>
      </c>
      <c r="T130" s="59">
        <f t="shared" si="88"/>
        <v>273.83237400307223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22.102183552680856</v>
      </c>
      <c r="AA130" s="21">
        <f>EXP(-LN(2)/25)*AA129+(1-EXP(-LN(2)/25))/(LN(2)/25)*Calculateur!V130*Calculateur!X130*VLOOKUP('Données projet'!$B$9,Paramètres!$A$1:$I$89,3,0)*0.475*44/12</f>
        <v>22.56573156188978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44.667915114570633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-5.6843418860808015E-14</v>
      </c>
      <c r="AJ130" s="13">
        <f>AI130*VLOOKUP('Données projet'!$B$10,Paramètres!$A$1:$I$89,3,0)*VLOOKUP('Données projet'!$B$10,Paramètres!$A$1:$I$89,5,0)</f>
        <v>-3.1036506698001178E-14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160.54301845388551</v>
      </c>
      <c r="AO130" s="59">
        <f t="shared" si="90"/>
        <v>272.6634844951584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12.040416281319448</v>
      </c>
      <c r="AV130" s="21">
        <f>EXP(-LN(2)/25)*AV129+(1-EXP(-LN(2)/25))/(LN(2)/25)*Calculateur!AQ130*Calculateur!AS130*VLOOKUP('Données projet'!$B$10,Paramètres!$A$1:$I$89,3,0)*0.475*44/12</f>
        <v>13.436527925559345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25.476944206878791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3.4106051316484809E-13</v>
      </c>
      <c r="BE130" s="13">
        <f>BD130*VLOOKUP('Données projet'!$B$11,Paramètres!$A$1:$I$89,3,0)*VLOOKUP('Données projet'!$B$11,Paramètres!$A$1:$I$89,5,0)</f>
        <v>1.5961632016114892E-13</v>
      </c>
      <c r="BF130" s="13">
        <f t="shared" si="91"/>
        <v>2.2708641912150958E-12</v>
      </c>
      <c r="BG130" s="20">
        <f t="shared" si="61"/>
        <v>4.2330868906469593E-12</v>
      </c>
      <c r="BH130" s="59">
        <f t="shared" si="62"/>
        <v>293.33333333333752</v>
      </c>
      <c r="BI130" s="59">
        <f ca="1">AVERAGE(OFFSET($BH$3,0,0,'Données projet'!$E$11+1,1))-AVERAGE(OFFSET($H$3,0,0,'Données projet'!$E$11+1,1))</f>
        <v>207.25176714718668</v>
      </c>
      <c r="BJ130" s="59">
        <f t="shared" si="92"/>
        <v>191.53228014642559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113.33581806904525</v>
      </c>
      <c r="BQ130" s="21">
        <f>EXP(-LN(2)/25)*BQ129+(1-EXP(-LN(2)/25))/(LN(2)/25)*Calculateur!BL130*Calculateur!BN130*VLOOKUP('Données projet'!$B$11,Paramètres!$A$1:$I$89,3,0)*0.475*44/12</f>
        <v>23.865341231060718</v>
      </c>
      <c r="BR130" s="21">
        <f>EXP(-LN(2)/2)*BR129+(1-EXP(-LN(2)/2))/(LN(2)/2)*BL130*BO130*VLOOKUP('Données projet'!$B$11,Paramètres!$A$1:$I$89,3,0)*0.475*44/12</f>
        <v>1.0833320919996368E-2</v>
      </c>
      <c r="BS130" s="22">
        <f t="shared" si="63"/>
        <v>137.21199262102596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68.620424404221751</v>
      </c>
      <c r="CE130" s="59">
        <f t="shared" si="94"/>
        <v>203.12945099478918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5.6843268317658326</v>
      </c>
      <c r="CL130" s="21">
        <f>EXP(-LN(2)/25)*CL129+(1-EXP(-LN(2)/25))/(LN(2)/25)*Calculateur!CG130*Calculateur!CI130*VLOOKUP('Données projet'!$B$12,Paramètres!$A$1:$I$89,3,0)*0.475*44/12</f>
        <v>0.51980711663007961</v>
      </c>
      <c r="CM130" s="21">
        <f>EXP(-LN(2)/2)*CM129+(1-EXP(-LN(2)/2))/(LN(2)/2)*CG130*CJ130*VLOOKUP('Données projet'!$B$12,Paramètres!$A$1:$I$89,3,0)*0.475*44/12</f>
        <v>1.1321790777913963E-15</v>
      </c>
      <c r="CN130" s="22">
        <f t="shared" si="66"/>
        <v>6.2041339483959135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-2.8421709430404007E-13</v>
      </c>
      <c r="CU130" s="17">
        <f>CT130*VLOOKUP('Données projet'!$B$13,Paramètres!$A$1:$I$89,3,0)*VLOOKUP('Données projet'!$B$13,Paramètres!$A$1:$I$89,5,0)</f>
        <v>-1.69961822393816E-13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196.25918971690442</v>
      </c>
      <c r="CZ130" s="59">
        <f t="shared" si="96"/>
        <v>148.35701313170205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73.807519399705086</v>
      </c>
      <c r="DG130" s="21">
        <f>EXP(-LN(2)/25)*DG129+(1-EXP(-LN(2)/25))/(LN(2)/25)*Calculateur!DB130*Calculateur!DD130*VLOOKUP('Données projet'!$B$13,Paramètres!$A$1:$I$89,3,0)*0.475*44/12</f>
        <v>18.342159302740246</v>
      </c>
      <c r="DH130" s="21">
        <f>EXP(-LN(2)/2)*DH129+(1-EXP(-LN(2)/2))/(LN(2)/2)*DB130*DE130*VLOOKUP('Données projet'!$B$13,Paramètres!$A$1:$I$89,3,0)*0.475*44/12</f>
        <v>4.431659624191996E-3</v>
      </c>
      <c r="DI130" s="22">
        <f t="shared" si="69"/>
        <v>92.154110362069517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11">
        <f t="shared" si="86"/>
        <v>17.143994938960237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67">
        <f t="shared" si="56"/>
        <v>427.52525785202272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180.31844548479722</v>
      </c>
      <c r="T131" s="59">
        <f t="shared" si="88"/>
        <v>273.83237400307223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21.668773214213612</v>
      </c>
      <c r="AA131" s="21">
        <f>EXP(-LN(2)/25)*AA130+(1-EXP(-LN(2)/25))/(LN(2)/25)*Calculateur!V131*Calculateur!X131*VLOOKUP('Données projet'!$B$9,Paramètres!$A$1:$I$89,3,0)*0.475*44/12</f>
        <v>21.948670445649658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43.61744365986327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-5.6843418860808015E-14</v>
      </c>
      <c r="AJ131" s="13">
        <f>AI131*VLOOKUP('Données projet'!$B$10,Paramètres!$A$1:$I$89,3,0)*VLOOKUP('Données projet'!$B$10,Paramètres!$A$1:$I$89,5,0)</f>
        <v>-3.1036506698001178E-14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160.54301845388551</v>
      </c>
      <c r="AO131" s="59">
        <f t="shared" si="90"/>
        <v>272.6634844951584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11.804311061971553</v>
      </c>
      <c r="AV131" s="21">
        <f>EXP(-LN(2)/25)*AV130+(1-EXP(-LN(2)/25))/(LN(2)/25)*Calculateur!AQ131*Calculateur!AS131*VLOOKUP('Données projet'!$B$10,Paramètres!$A$1:$I$89,3,0)*0.475*44/12</f>
        <v>13.069105362838631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24.873416424810184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3.4106051316484809E-13</v>
      </c>
      <c r="BE131" s="13">
        <f>BD131*VLOOKUP('Données projet'!$B$11,Paramètres!$A$1:$I$89,3,0)*VLOOKUP('Données projet'!$B$11,Paramètres!$A$1:$I$89,5,0)</f>
        <v>1.5961632016114892E-13</v>
      </c>
      <c r="BF131" s="13">
        <f t="shared" si="91"/>
        <v>2.2708641912150958E-12</v>
      </c>
      <c r="BG131" s="20">
        <f t="shared" si="61"/>
        <v>4.2330868906469593E-12</v>
      </c>
      <c r="BH131" s="59">
        <f t="shared" si="62"/>
        <v>293.33333333333752</v>
      </c>
      <c r="BI131" s="59">
        <f ca="1">AVERAGE(OFFSET($BH$3,0,0,'Données projet'!$E$11+1,1))-AVERAGE(OFFSET($H$3,0,0,'Données projet'!$E$11+1,1))</f>
        <v>207.25176714718668</v>
      </c>
      <c r="BJ131" s="59">
        <f t="shared" si="92"/>
        <v>191.53228014642559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111.11337180473447</v>
      </c>
      <c r="BQ131" s="21">
        <f>EXP(-LN(2)/25)*BQ130+(1-EXP(-LN(2)/25))/(LN(2)/25)*Calculateur!BL131*Calculateur!BN131*VLOOKUP('Données projet'!$B$11,Paramètres!$A$1:$I$89,3,0)*0.475*44/12</f>
        <v>23.212742220073611</v>
      </c>
      <c r="BR131" s="21">
        <f>EXP(-LN(2)/2)*BR130+(1-EXP(-LN(2)/2))/(LN(2)/2)*BL131*BO131*VLOOKUP('Données projet'!$B$11,Paramètres!$A$1:$I$89,3,0)*0.475*44/12</f>
        <v>7.6603146852995199E-3</v>
      </c>
      <c r="BS131" s="22">
        <f t="shared" si="63"/>
        <v>134.33377433949337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68.620424404221751</v>
      </c>
      <c r="CE131" s="59">
        <f t="shared" si="94"/>
        <v>203.12945099478918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5.5728606496919246</v>
      </c>
      <c r="CL131" s="21">
        <f>EXP(-LN(2)/25)*CL130+(1-EXP(-LN(2)/25))/(LN(2)/25)*Calculateur!CG131*Calculateur!CI131*VLOOKUP('Données projet'!$B$12,Paramètres!$A$1:$I$89,3,0)*0.475*44/12</f>
        <v>0.50559296369036189</v>
      </c>
      <c r="CM131" s="21">
        <f>EXP(-LN(2)/2)*CM130+(1-EXP(-LN(2)/2))/(LN(2)/2)*CG131*CJ131*VLOOKUP('Données projet'!$B$12,Paramètres!$A$1:$I$89,3,0)*0.475*44/12</f>
        <v>8.0057150342382804E-16</v>
      </c>
      <c r="CN131" s="22">
        <f t="shared" si="66"/>
        <v>6.0784536133822877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-2.8421709430404007E-13</v>
      </c>
      <c r="CU131" s="17">
        <f>CT131*VLOOKUP('Données projet'!$B$13,Paramètres!$A$1:$I$89,3,0)*VLOOKUP('Données projet'!$B$13,Paramètres!$A$1:$I$89,5,0)</f>
        <v>-1.69961822393816E-13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196.25918971690442</v>
      </c>
      <c r="CZ131" s="59">
        <f t="shared" si="96"/>
        <v>148.35701313170205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72.360198962418536</v>
      </c>
      <c r="DG131" s="21">
        <f>EXP(-LN(2)/25)*DG130+(1-EXP(-LN(2)/25))/(LN(2)/25)*Calculateur!DB131*Calculateur!DD131*VLOOKUP('Données projet'!$B$13,Paramètres!$A$1:$I$89,3,0)*0.475*44/12</f>
        <v>17.840591992034579</v>
      </c>
      <c r="DH131" s="21">
        <f>EXP(-LN(2)/2)*DH130+(1-EXP(-LN(2)/2))/(LN(2)/2)*DB131*DE131*VLOOKUP('Données projet'!$B$13,Paramètres!$A$1:$I$89,3,0)*0.475*44/12</f>
        <v>3.1336565721767871E-3</v>
      </c>
      <c r="DI131" s="22">
        <f t="shared" si="69"/>
        <v>90.203924611025286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11">
        <f t="shared" si="86"/>
        <v>17.262288423858621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67">
        <f t="shared" ref="H132:H195" si="110">(B132+E132+F132)*44/12+(C132+D132)*0.475*44/12</f>
        <v>428.54638567155416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180.31844548479722</v>
      </c>
      <c r="T132" s="59">
        <f t="shared" si="88"/>
        <v>273.83237400307223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21.243861788129507</v>
      </c>
      <c r="AA132" s="21">
        <f>EXP(-LN(2)/25)*AA131+(1-EXP(-LN(2)/25))/(LN(2)/25)*Calculateur!V132*Calculateur!X132*VLOOKUP('Données projet'!$B$9,Paramètres!$A$1:$I$89,3,0)*0.475*44/12</f>
        <v>21.348482898082953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42.592344686212456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-5.6843418860808015E-14</v>
      </c>
      <c r="AJ132" s="13">
        <f>AI132*VLOOKUP('Données projet'!$B$10,Paramètres!$A$1:$I$89,3,0)*VLOOKUP('Données projet'!$B$10,Paramètres!$A$1:$I$89,5,0)</f>
        <v>-3.1036506698001178E-14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160.54301845388551</v>
      </c>
      <c r="AO132" s="59">
        <f t="shared" si="90"/>
        <v>272.6634844951584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11.572835721965106</v>
      </c>
      <c r="AV132" s="21">
        <f>EXP(-LN(2)/25)*AV131+(1-EXP(-LN(2)/25))/(LN(2)/25)*Calculateur!AQ132*Calculateur!AS132*VLOOKUP('Données projet'!$B$10,Paramètres!$A$1:$I$89,3,0)*0.475*44/12</f>
        <v>12.711729989417426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24.284565711382534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3.4106051316484809E-13</v>
      </c>
      <c r="BE132" s="13">
        <f>BD132*VLOOKUP('Données projet'!$B$11,Paramètres!$A$1:$I$89,3,0)*VLOOKUP('Données projet'!$B$11,Paramètres!$A$1:$I$89,5,0)</f>
        <v>1.5961632016114892E-13</v>
      </c>
      <c r="BF132" s="13">
        <f t="shared" si="91"/>
        <v>2.2708641912150958E-12</v>
      </c>
      <c r="BG132" s="20">
        <f t="shared" ref="BG132:BG153" si="115">(BE132+BF132)*0.475*44/12</f>
        <v>4.2330868906469593E-12</v>
      </c>
      <c r="BH132" s="59">
        <f t="shared" ref="BH132:BH195" si="116">BG132+(AY132+AZ132)*44/12</f>
        <v>293.33333333333752</v>
      </c>
      <c r="BI132" s="59">
        <f ca="1">AVERAGE(OFFSET($BH$3,0,0,'Données projet'!$E$11+1,1))-AVERAGE(OFFSET($H$3,0,0,'Données projet'!$E$11+1,1))</f>
        <v>207.25176714718668</v>
      </c>
      <c r="BJ132" s="59">
        <f t="shared" si="92"/>
        <v>191.53228014642559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108.93450635610846</v>
      </c>
      <c r="BQ132" s="21">
        <f>EXP(-LN(2)/25)*BQ131+(1-EXP(-LN(2)/25))/(LN(2)/25)*Calculateur!BL132*Calculateur!BN132*VLOOKUP('Données projet'!$B$11,Paramètres!$A$1:$I$89,3,0)*0.475*44/12</f>
        <v>22.577988563360638</v>
      </c>
      <c r="BR132" s="21">
        <f>EXP(-LN(2)/2)*BR131+(1-EXP(-LN(2)/2))/(LN(2)/2)*BL132*BO132*VLOOKUP('Données projet'!$B$11,Paramètres!$A$1:$I$89,3,0)*0.475*44/12</f>
        <v>5.4166604599981847E-3</v>
      </c>
      <c r="BS132" s="22">
        <f t="shared" ref="BS132:BS153" si="117">SUM(BP132:BR132)</f>
        <v>131.51791157992909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68.620424404221751</v>
      </c>
      <c r="CE132" s="59">
        <f t="shared" si="94"/>
        <v>203.12945099478918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5.4635802514608285</v>
      </c>
      <c r="CL132" s="21">
        <f>EXP(-LN(2)/25)*CL131+(1-EXP(-LN(2)/25))/(LN(2)/25)*Calculateur!CG132*Calculateur!CI132*VLOOKUP('Données projet'!$B$12,Paramètres!$A$1:$I$89,3,0)*0.475*44/12</f>
        <v>0.49176749751027055</v>
      </c>
      <c r="CM132" s="21">
        <f>EXP(-LN(2)/2)*CM131+(1-EXP(-LN(2)/2))/(LN(2)/2)*CG132*CJ132*VLOOKUP('Données projet'!$B$12,Paramètres!$A$1:$I$89,3,0)*0.475*44/12</f>
        <v>5.6608953889569815E-16</v>
      </c>
      <c r="CN132" s="22">
        <f t="shared" ref="CN132:CN153" si="120">SUM(CK132:CM132)</f>
        <v>5.9553477489711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-2.8421709430404007E-13</v>
      </c>
      <c r="CU132" s="17">
        <f>CT132*VLOOKUP('Données projet'!$B$13,Paramètres!$A$1:$I$89,3,0)*VLOOKUP('Données projet'!$B$13,Paramètres!$A$1:$I$89,5,0)</f>
        <v>-1.69961822393816E-13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196.25918971690442</v>
      </c>
      <c r="CZ132" s="59">
        <f t="shared" si="96"/>
        <v>148.35701313170205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70.941259596128873</v>
      </c>
      <c r="DG132" s="21">
        <f>EXP(-LN(2)/25)*DG131+(1-EXP(-LN(2)/25))/(LN(2)/25)*Calculateur!DB132*Calculateur!DD132*VLOOKUP('Données projet'!$B$13,Paramètres!$A$1:$I$89,3,0)*0.475*44/12</f>
        <v>17.352740065816434</v>
      </c>
      <c r="DH132" s="21">
        <f>EXP(-LN(2)/2)*DH131+(1-EXP(-LN(2)/2))/(LN(2)/2)*DB132*DE132*VLOOKUP('Données projet'!$B$13,Paramètres!$A$1:$I$89,3,0)*0.475*44/12</f>
        <v>2.215829812095998E-3</v>
      </c>
      <c r="DI132" s="22">
        <f t="shared" ref="DI132:DI153" si="123">SUM(DF132:DH132)</f>
        <v>88.296215491757408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11">
        <f t="shared" ref="D133:D196" si="140">IFERROR(EXP(-1.0587+0.8836*LN(C133)+0.284),0)</f>
        <v>17.380475216531508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67">
        <f t="shared" si="110"/>
        <v>429.5673276687927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180.31844548479722</v>
      </c>
      <c r="T133" s="59">
        <f t="shared" ref="T133:T196" si="142">$T$3</f>
        <v>273.83237400307223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20.827282615940533</v>
      </c>
      <c r="AA133" s="21">
        <f>EXP(-LN(2)/25)*AA132+(1-EXP(-LN(2)/25))/(LN(2)/25)*Calculateur!V133*Calculateur!X133*VLOOKUP('Données projet'!$B$9,Paramètres!$A$1:$I$89,3,0)*0.475*44/12</f>
        <v>20.76470751056695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41.591990126507483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-5.6843418860808015E-14</v>
      </c>
      <c r="AJ133" s="13">
        <f>AI133*VLOOKUP('Données projet'!$B$10,Paramètres!$A$1:$I$89,3,0)*VLOOKUP('Données projet'!$B$10,Paramètres!$A$1:$I$89,5,0)</f>
        <v>-3.1036506698001178E-14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160.54301845388551</v>
      </c>
      <c r="AO133" s="59">
        <f t="shared" ref="AO133:AO196" si="144">$AO$3</f>
        <v>272.6634844951584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11.345899472190169</v>
      </c>
      <c r="AV133" s="21">
        <f>EXP(-LN(2)/25)*AV132+(1-EXP(-LN(2)/25))/(LN(2)/25)*Calculateur!AQ133*Calculateur!AS133*VLOOKUP('Données projet'!$B$10,Paramètres!$A$1:$I$89,3,0)*0.475*44/12</f>
        <v>12.36412706437598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23.710026536566147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3.4106051316484809E-13</v>
      </c>
      <c r="BE133" s="13">
        <f>BD133*VLOOKUP('Données projet'!$B$11,Paramètres!$A$1:$I$89,3,0)*VLOOKUP('Données projet'!$B$11,Paramètres!$A$1:$I$89,5,0)</f>
        <v>1.5961632016114892E-13</v>
      </c>
      <c r="BF133" s="13">
        <f t="shared" ref="BF133:BF153" si="145">EXP(-1.0587+0.8836*LN(BE133)+0.284)</f>
        <v>2.2708641912150958E-12</v>
      </c>
      <c r="BG133" s="20">
        <f t="shared" si="115"/>
        <v>4.2330868906469593E-12</v>
      </c>
      <c r="BH133" s="59">
        <f t="shared" si="116"/>
        <v>293.33333333333752</v>
      </c>
      <c r="BI133" s="59">
        <f ca="1">AVERAGE(OFFSET($BH$3,0,0,'Données projet'!$E$11+1,1))-AVERAGE(OFFSET($H$3,0,0,'Données projet'!$E$11+1,1))</f>
        <v>207.25176714718668</v>
      </c>
      <c r="BJ133" s="59">
        <f t="shared" ref="BJ133:BJ196" si="146">$BJ$3</f>
        <v>191.53228014642559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106.79836712995329</v>
      </c>
      <c r="BQ133" s="21">
        <f>EXP(-LN(2)/25)*BQ132+(1-EXP(-LN(2)/25))/(LN(2)/25)*Calculateur!BL133*Calculateur!BN133*VLOOKUP('Données projet'!$B$11,Paramètres!$A$1:$I$89,3,0)*0.475*44/12</f>
        <v>21.960592278770726</v>
      </c>
      <c r="BR133" s="21">
        <f>EXP(-LN(2)/2)*BR132+(1-EXP(-LN(2)/2))/(LN(2)/2)*BL133*BO133*VLOOKUP('Données projet'!$B$11,Paramètres!$A$1:$I$89,3,0)*0.475*44/12</f>
        <v>3.8301573426497604E-3</v>
      </c>
      <c r="BS133" s="22">
        <f t="shared" si="117"/>
        <v>128.76278956606669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68.620424404221751</v>
      </c>
      <c r="CE133" s="59">
        <f t="shared" ref="CE133:CE196" si="148">$CE$3</f>
        <v>203.12945099478918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5.3564427751845827</v>
      </c>
      <c r="CL133" s="21">
        <f>EXP(-LN(2)/25)*CL132+(1-EXP(-LN(2)/25))/(LN(2)/25)*Calculateur!CG133*Calculateur!CI133*VLOOKUP('Données projet'!$B$12,Paramètres!$A$1:$I$89,3,0)*0.475*44/12</f>
        <v>0.47832008942992343</v>
      </c>
      <c r="CM133" s="21">
        <f>EXP(-LN(2)/2)*CM132+(1-EXP(-LN(2)/2))/(LN(2)/2)*CG133*CJ133*VLOOKUP('Données projet'!$B$12,Paramètres!$A$1:$I$89,3,0)*0.475*44/12</f>
        <v>4.0028575171191402E-16</v>
      </c>
      <c r="CN133" s="22">
        <f t="shared" si="120"/>
        <v>5.8347628646145058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-2.8421709430404007E-13</v>
      </c>
      <c r="CU133" s="17">
        <f>CT133*VLOOKUP('Données projet'!$B$13,Paramètres!$A$1:$I$89,3,0)*VLOOKUP('Données projet'!$B$13,Paramètres!$A$1:$I$89,5,0)</f>
        <v>-1.69961822393816E-13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196.25918971690442</v>
      </c>
      <c r="CZ133" s="59">
        <f t="shared" ref="CZ133:CZ196" si="150">$CZ$3</f>
        <v>148.35701313170205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69.550144765344598</v>
      </c>
      <c r="DG133" s="21">
        <f>EXP(-LN(2)/25)*DG132+(1-EXP(-LN(2)/25))/(LN(2)/25)*Calculateur!DB133*Calculateur!DD133*VLOOKUP('Données projet'!$B$13,Paramètres!$A$1:$I$89,3,0)*0.475*44/12</f>
        <v>16.878228476175742</v>
      </c>
      <c r="DH133" s="21">
        <f>EXP(-LN(2)/2)*DH132+(1-EXP(-LN(2)/2))/(LN(2)/2)*DB133*DE133*VLOOKUP('Données projet'!$B$13,Paramètres!$A$1:$I$89,3,0)*0.475*44/12</f>
        <v>1.5668282860883936E-3</v>
      </c>
      <c r="DI133" s="22">
        <f t="shared" si="123"/>
        <v>86.429940069806435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11">
        <f t="shared" si="140"/>
        <v>17.498556232826935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67">
        <f t="shared" si="110"/>
        <v>430.58808543884061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180.31844548479722</v>
      </c>
      <c r="T134" s="59">
        <f t="shared" si="142"/>
        <v>273.83237400307223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20.418872307229979</v>
      </c>
      <c r="AA134" s="21">
        <f>EXP(-LN(2)/25)*AA133+(1-EXP(-LN(2)/25))/(LN(2)/25)*Calculateur!V134*Calculateur!X134*VLOOKUP('Données projet'!$B$9,Paramètres!$A$1:$I$89,3,0)*0.475*44/12</f>
        <v>20.196895491721989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40.615767798951964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-5.6843418860808015E-14</v>
      </c>
      <c r="AJ134" s="13">
        <f>AI134*VLOOKUP('Données projet'!$B$10,Paramètres!$A$1:$I$89,3,0)*VLOOKUP('Données projet'!$B$10,Paramètres!$A$1:$I$89,5,0)</f>
        <v>-3.1036506698001178E-14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160.54301845388551</v>
      </c>
      <c r="AO134" s="59">
        <f t="shared" si="144"/>
        <v>272.6634844951584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11.123413303855873</v>
      </c>
      <c r="AV134" s="21">
        <f>EXP(-LN(2)/25)*AV133+(1-EXP(-LN(2)/25))/(LN(2)/25)*Calculateur!AQ134*Calculateur!AS134*VLOOKUP('Données projet'!$B$10,Paramètres!$A$1:$I$89,3,0)*0.475*44/12</f>
        <v>12.026029359599436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23.149442663455311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3.4106051316484809E-13</v>
      </c>
      <c r="BE134" s="13">
        <f>BD134*VLOOKUP('Données projet'!$B$11,Paramètres!$A$1:$I$89,3,0)*VLOOKUP('Données projet'!$B$11,Paramètres!$A$1:$I$89,5,0)</f>
        <v>1.5961632016114892E-13</v>
      </c>
      <c r="BF134" s="13">
        <f t="shared" si="145"/>
        <v>2.2708641912150958E-12</v>
      </c>
      <c r="BG134" s="20">
        <f t="shared" si="115"/>
        <v>4.2330868906469593E-12</v>
      </c>
      <c r="BH134" s="59">
        <f t="shared" si="116"/>
        <v>293.33333333333752</v>
      </c>
      <c r="BI134" s="59">
        <f ca="1">AVERAGE(OFFSET($BH$3,0,0,'Données projet'!$E$11+1,1))-AVERAGE(OFFSET($H$3,0,0,'Données projet'!$E$11+1,1))</f>
        <v>207.25176714718668</v>
      </c>
      <c r="BJ134" s="59">
        <f t="shared" si="146"/>
        <v>191.53228014642559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104.70411629110676</v>
      </c>
      <c r="BQ134" s="21">
        <f>EXP(-LN(2)/25)*BQ133+(1-EXP(-LN(2)/25))/(LN(2)/25)*Calculateur!BL134*Calculateur!BN134*VLOOKUP('Données projet'!$B$11,Paramètres!$A$1:$I$89,3,0)*0.475*44/12</f>
        <v>21.360078728050382</v>
      </c>
      <c r="BR134" s="21">
        <f>EXP(-LN(2)/2)*BR133+(1-EXP(-LN(2)/2))/(LN(2)/2)*BL134*BO134*VLOOKUP('Données projet'!$B$11,Paramètres!$A$1:$I$89,3,0)*0.475*44/12</f>
        <v>2.7083302299990928E-3</v>
      </c>
      <c r="BS134" s="22">
        <f t="shared" si="117"/>
        <v>126.06690334938713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68.620424404221751</v>
      </c>
      <c r="CE134" s="59">
        <f t="shared" si="148"/>
        <v>203.12945099478918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5.251406199470706</v>
      </c>
      <c r="CL134" s="21">
        <f>EXP(-LN(2)/25)*CL133+(1-EXP(-LN(2)/25))/(LN(2)/25)*Calculateur!CG134*Calculateur!CI134*VLOOKUP('Données projet'!$B$12,Paramètres!$A$1:$I$89,3,0)*0.475*44/12</f>
        <v>0.46524040143070189</v>
      </c>
      <c r="CM134" s="21">
        <f>EXP(-LN(2)/2)*CM133+(1-EXP(-LN(2)/2))/(LN(2)/2)*CG134*CJ134*VLOOKUP('Données projet'!$B$12,Paramètres!$A$1:$I$89,3,0)*0.475*44/12</f>
        <v>2.8304476944784908E-16</v>
      </c>
      <c r="CN134" s="22">
        <f t="shared" si="120"/>
        <v>5.7166466009014076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-2.8421709430404007E-13</v>
      </c>
      <c r="CU134" s="17">
        <f>CT134*VLOOKUP('Données projet'!$B$13,Paramètres!$A$1:$I$89,3,0)*VLOOKUP('Données projet'!$B$13,Paramètres!$A$1:$I$89,5,0)</f>
        <v>-1.69961822393816E-13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196.25918971690442</v>
      </c>
      <c r="CZ134" s="59">
        <f t="shared" si="150"/>
        <v>148.35701313170205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68.186308847895731</v>
      </c>
      <c r="DG134" s="21">
        <f>EXP(-LN(2)/25)*DG133+(1-EXP(-LN(2)/25))/(LN(2)/25)*Calculateur!DB134*Calculateur!DD134*VLOOKUP('Données projet'!$B$13,Paramètres!$A$1:$I$89,3,0)*0.475*44/12</f>
        <v>16.416692430907258</v>
      </c>
      <c r="DH134" s="21">
        <f>EXP(-LN(2)/2)*DH133+(1-EXP(-LN(2)/2))/(LN(2)/2)*DB134*DE134*VLOOKUP('Données projet'!$B$13,Paramètres!$A$1:$I$89,3,0)*0.475*44/12</f>
        <v>1.107914906047999E-3</v>
      </c>
      <c r="DI134" s="22">
        <f t="shared" si="123"/>
        <v>84.604109193709036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11">
        <f t="shared" si="140"/>
        <v>17.616532373802929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67">
        <f t="shared" si="110"/>
        <v>431.60866055104043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180.31844548479722</v>
      </c>
      <c r="T135" s="59">
        <f t="shared" si="142"/>
        <v>273.83237400307223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20.018470675567549</v>
      </c>
      <c r="AA135" s="21">
        <f>EXP(-LN(2)/25)*AA134+(1-EXP(-LN(2)/25))/(LN(2)/25)*Calculateur!V135*Calculateur!X135*VLOOKUP('Données projet'!$B$9,Paramètres!$A$1:$I$89,3,0)*0.475*44/12</f>
        <v>19.644610322392278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39.663080997959824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-5.6843418860808015E-14</v>
      </c>
      <c r="AJ135" s="13">
        <f>AI135*VLOOKUP('Données projet'!$B$10,Paramètres!$A$1:$I$89,3,0)*VLOOKUP('Données projet'!$B$10,Paramètres!$A$1:$I$89,5,0)</f>
        <v>-3.1036506698001178E-14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160.54301845388551</v>
      </c>
      <c r="AO135" s="59">
        <f t="shared" si="144"/>
        <v>272.6634844951584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10.90528995357945</v>
      </c>
      <c r="AV135" s="21">
        <f>EXP(-LN(2)/25)*AV134+(1-EXP(-LN(2)/25))/(LN(2)/25)*Calculateur!AQ135*Calculateur!AS135*VLOOKUP('Données projet'!$B$10,Paramètres!$A$1:$I$89,3,0)*0.475*44/12</f>
        <v>11.697176954339792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22.602466907919244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3.4106051316484809E-13</v>
      </c>
      <c r="BE135" s="13">
        <f>BD135*VLOOKUP('Données projet'!$B$11,Paramètres!$A$1:$I$89,3,0)*VLOOKUP('Données projet'!$B$11,Paramètres!$A$1:$I$89,5,0)</f>
        <v>1.5961632016114892E-13</v>
      </c>
      <c r="BF135" s="13">
        <f t="shared" si="145"/>
        <v>2.2708641912150958E-12</v>
      </c>
      <c r="BG135" s="20">
        <f t="shared" si="115"/>
        <v>4.2330868906469593E-12</v>
      </c>
      <c r="BH135" s="59">
        <f t="shared" si="116"/>
        <v>293.33333333333752</v>
      </c>
      <c r="BI135" s="59">
        <f ca="1">AVERAGE(OFFSET($BH$3,0,0,'Données projet'!$E$11+1,1))-AVERAGE(OFFSET($H$3,0,0,'Données projet'!$E$11+1,1))</f>
        <v>207.25176714718668</v>
      </c>
      <c r="BJ135" s="59">
        <f t="shared" si="146"/>
        <v>191.53228014642559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102.65093243384312</v>
      </c>
      <c r="BQ135" s="21">
        <f>EXP(-LN(2)/25)*BQ134+(1-EXP(-LN(2)/25))/(LN(2)/25)*Calculateur!BL135*Calculateur!BN135*VLOOKUP('Données projet'!$B$11,Paramètres!$A$1:$I$89,3,0)*0.475*44/12</f>
        <v>20.775986251954123</v>
      </c>
      <c r="BR135" s="21">
        <f>EXP(-LN(2)/2)*BR134+(1-EXP(-LN(2)/2))/(LN(2)/2)*BL135*BO135*VLOOKUP('Données projet'!$B$11,Paramètres!$A$1:$I$89,3,0)*0.475*44/12</f>
        <v>1.9150786713248806E-3</v>
      </c>
      <c r="BS135" s="22">
        <f t="shared" si="117"/>
        <v>123.42883376446858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68.620424404221751</v>
      </c>
      <c r="CE135" s="59">
        <f t="shared" si="148"/>
        <v>203.12945099478918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5.148429326940593</v>
      </c>
      <c r="CL135" s="21">
        <f>EXP(-LN(2)/25)*CL134+(1-EXP(-LN(2)/25))/(LN(2)/25)*Calculateur!CG135*Calculateur!CI135*VLOOKUP('Données projet'!$B$12,Paramètres!$A$1:$I$89,3,0)*0.475*44/12</f>
        <v>0.45251837818764995</v>
      </c>
      <c r="CM135" s="21">
        <f>EXP(-LN(2)/2)*CM134+(1-EXP(-LN(2)/2))/(LN(2)/2)*CG135*CJ135*VLOOKUP('Données projet'!$B$12,Paramètres!$A$1:$I$89,3,0)*0.475*44/12</f>
        <v>2.0014287585595701E-16</v>
      </c>
      <c r="CN135" s="22">
        <f t="shared" si="120"/>
        <v>5.6009477051282426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-2.8421709430404007E-13</v>
      </c>
      <c r="CU135" s="17">
        <f>CT135*VLOOKUP('Données projet'!$B$13,Paramètres!$A$1:$I$89,3,0)*VLOOKUP('Données projet'!$B$13,Paramètres!$A$1:$I$89,5,0)</f>
        <v>-1.69961822393816E-13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196.25918971690442</v>
      </c>
      <c r="CZ135" s="59">
        <f t="shared" si="150"/>
        <v>148.35701313170205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66.84921692093026</v>
      </c>
      <c r="DG135" s="21">
        <f>EXP(-LN(2)/25)*DG134+(1-EXP(-LN(2)/25))/(LN(2)/25)*Calculateur!DB135*Calculateur!DD135*VLOOKUP('Données projet'!$B$13,Paramètres!$A$1:$I$89,3,0)*0.475*44/12</f>
        <v>15.967777113067765</v>
      </c>
      <c r="DH135" s="21">
        <f>EXP(-LN(2)/2)*DH134+(1-EXP(-LN(2)/2))/(LN(2)/2)*DB135*DE135*VLOOKUP('Données projet'!$B$13,Paramètres!$A$1:$I$89,3,0)*0.475*44/12</f>
        <v>7.8341414304419679E-4</v>
      </c>
      <c r="DI135" s="22">
        <f t="shared" si="123"/>
        <v>82.817777448141072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11">
        <f t="shared" si="140"/>
        <v>17.734404526076489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67">
        <f t="shared" si="110"/>
        <v>432.6290545495836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180.31844548479722</v>
      </c>
      <c r="T136" s="59">
        <f t="shared" si="142"/>
        <v>273.83237400307223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19.625920675681137</v>
      </c>
      <c r="AA136" s="21">
        <f>EXP(-LN(2)/25)*AA135+(1-EXP(-LN(2)/25))/(LN(2)/25)*Calculateur!V136*Calculateur!X136*VLOOKUP('Données projet'!$B$9,Paramètres!$A$1:$I$89,3,0)*0.475*44/12</f>
        <v>19.107427420061303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38.733348095742443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-5.6843418860808015E-14</v>
      </c>
      <c r="AJ136" s="13">
        <f>AI136*VLOOKUP('Données projet'!$B$10,Paramètres!$A$1:$I$89,3,0)*VLOOKUP('Données projet'!$B$10,Paramètres!$A$1:$I$89,5,0)</f>
        <v>-3.1036506698001178E-14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160.54301845388551</v>
      </c>
      <c r="AO136" s="59">
        <f t="shared" si="144"/>
        <v>272.6634844951584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10.691443869159841</v>
      </c>
      <c r="AV136" s="21">
        <f>EXP(-LN(2)/25)*AV135+(1-EXP(-LN(2)/25))/(LN(2)/25)*Calculateur!AQ136*Calculateur!AS136*VLOOKUP('Données projet'!$B$10,Paramètres!$A$1:$I$89,3,0)*0.475*44/12</f>
        <v>11.377317035395569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22.068760904555411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3.4106051316484809E-13</v>
      </c>
      <c r="BE136" s="13">
        <f>BD136*VLOOKUP('Données projet'!$B$11,Paramètres!$A$1:$I$89,3,0)*VLOOKUP('Données projet'!$B$11,Paramètres!$A$1:$I$89,5,0)</f>
        <v>1.5961632016114892E-13</v>
      </c>
      <c r="BF136" s="13">
        <f t="shared" si="145"/>
        <v>2.2708641912150958E-12</v>
      </c>
      <c r="BG136" s="20">
        <f t="shared" si="115"/>
        <v>4.2330868906469593E-12</v>
      </c>
      <c r="BH136" s="59">
        <f t="shared" si="116"/>
        <v>293.33333333333752</v>
      </c>
      <c r="BI136" s="59">
        <f ca="1">AVERAGE(OFFSET($BH$3,0,0,'Données projet'!$E$11+1,1))-AVERAGE(OFFSET($H$3,0,0,'Données projet'!$E$11+1,1))</f>
        <v>207.25176714718668</v>
      </c>
      <c r="BJ136" s="59">
        <f t="shared" si="146"/>
        <v>191.53228014642559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100.63801025970193</v>
      </c>
      <c r="BQ136" s="21">
        <f>EXP(-LN(2)/25)*BQ135+(1-EXP(-LN(2)/25))/(LN(2)/25)*Calculateur!BL136*Calculateur!BN136*VLOOKUP('Données projet'!$B$11,Paramètres!$A$1:$I$89,3,0)*0.475*44/12</f>
        <v>20.207865815332806</v>
      </c>
      <c r="BR136" s="21">
        <f>EXP(-LN(2)/2)*BR135+(1-EXP(-LN(2)/2))/(LN(2)/2)*BL136*BO136*VLOOKUP('Données projet'!$B$11,Paramètres!$A$1:$I$89,3,0)*0.475*44/12</f>
        <v>1.3541651149995466E-3</v>
      </c>
      <c r="BS136" s="22">
        <f t="shared" si="117"/>
        <v>120.84723024014974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68.620424404221751</v>
      </c>
      <c r="CE136" s="59">
        <f t="shared" si="148"/>
        <v>203.12945099478918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5.0474717680711052</v>
      </c>
      <c r="CL136" s="21">
        <f>EXP(-LN(2)/25)*CL135+(1-EXP(-LN(2)/25))/(LN(2)/25)*Calculateur!CG136*Calculateur!CI136*VLOOKUP('Données projet'!$B$12,Paramètres!$A$1:$I$89,3,0)*0.475*44/12</f>
        <v>0.44014423933920138</v>
      </c>
      <c r="CM136" s="21">
        <f>EXP(-LN(2)/2)*CM135+(1-EXP(-LN(2)/2))/(LN(2)/2)*CG136*CJ136*VLOOKUP('Données projet'!$B$12,Paramètres!$A$1:$I$89,3,0)*0.475*44/12</f>
        <v>1.4152238472392454E-16</v>
      </c>
      <c r="CN136" s="22">
        <f t="shared" si="120"/>
        <v>5.4876160074103062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-2.8421709430404007E-13</v>
      </c>
      <c r="CU136" s="17">
        <f>CT136*VLOOKUP('Données projet'!$B$13,Paramètres!$A$1:$I$89,3,0)*VLOOKUP('Données projet'!$B$13,Paramètres!$A$1:$I$89,5,0)</f>
        <v>-1.69961822393816E-13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196.25918971690442</v>
      </c>
      <c r="CZ136" s="59">
        <f t="shared" si="150"/>
        <v>148.35701313170205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65.538344551107045</v>
      </c>
      <c r="DG136" s="21">
        <f>EXP(-LN(2)/25)*DG135+(1-EXP(-LN(2)/25))/(LN(2)/25)*Calculateur!DB136*Calculateur!DD136*VLOOKUP('Données projet'!$B$13,Paramètres!$A$1:$I$89,3,0)*0.475*44/12</f>
        <v>15.531137408202023</v>
      </c>
      <c r="DH136" s="21">
        <f>EXP(-LN(2)/2)*DH135+(1-EXP(-LN(2)/2))/(LN(2)/2)*DB136*DE136*VLOOKUP('Données projet'!$B$13,Paramètres!$A$1:$I$89,3,0)*0.475*44/12</f>
        <v>5.5395745302399949E-4</v>
      </c>
      <c r="DI136" s="22">
        <f t="shared" si="123"/>
        <v>81.070035916762095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11">
        <f t="shared" si="140"/>
        <v>17.852173562161887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67">
        <f t="shared" si="110"/>
        <v>433.649268954099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180.31844548479722</v>
      </c>
      <c r="T137" s="59">
        <f t="shared" si="142"/>
        <v>273.83237400307223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19.24106834186064</v>
      </c>
      <c r="AA137" s="21">
        <f>EXP(-LN(2)/25)*AA136+(1-EXP(-LN(2)/25))/(LN(2)/25)*Calculateur!V137*Calculateur!X137*VLOOKUP('Données projet'!$B$9,Paramètres!$A$1:$I$89,3,0)*0.475*44/12</f>
        <v>18.58493381244379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37.826002154304433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-5.6843418860808015E-14</v>
      </c>
      <c r="AJ137" s="13">
        <f>AI137*VLOOKUP('Données projet'!$B$10,Paramètres!$A$1:$I$89,3,0)*VLOOKUP('Données projet'!$B$10,Paramètres!$A$1:$I$89,5,0)</f>
        <v>-3.1036506698001178E-14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160.54301845388551</v>
      </c>
      <c r="AO137" s="59">
        <f t="shared" si="144"/>
        <v>272.6634844951584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10.481791176022467</v>
      </c>
      <c r="AV137" s="21">
        <f>EXP(-LN(2)/25)*AV136+(1-EXP(-LN(2)/25))/(LN(2)/25)*Calculateur!AQ137*Calculateur!AS137*VLOOKUP('Données projet'!$B$10,Paramètres!$A$1:$I$89,3,0)*0.475*44/12</f>
        <v>11.066203702755578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21.547994878778045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3.4106051316484809E-13</v>
      </c>
      <c r="BE137" s="13">
        <f>BD137*VLOOKUP('Données projet'!$B$11,Paramètres!$A$1:$I$89,3,0)*VLOOKUP('Données projet'!$B$11,Paramètres!$A$1:$I$89,5,0)</f>
        <v>1.5961632016114892E-13</v>
      </c>
      <c r="BF137" s="13">
        <f t="shared" si="145"/>
        <v>2.2708641912150958E-12</v>
      </c>
      <c r="BG137" s="20">
        <f t="shared" si="115"/>
        <v>4.2330868906469593E-12</v>
      </c>
      <c r="BH137" s="59">
        <f t="shared" si="116"/>
        <v>293.33333333333752</v>
      </c>
      <c r="BI137" s="59">
        <f ca="1">AVERAGE(OFFSET($BH$3,0,0,'Données projet'!$E$11+1,1))-AVERAGE(OFFSET($H$3,0,0,'Données projet'!$E$11+1,1))</f>
        <v>207.25176714718668</v>
      </c>
      <c r="BJ137" s="59">
        <f t="shared" si="146"/>
        <v>191.53228014642559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98.66456026163435</v>
      </c>
      <c r="BQ137" s="21">
        <f>EXP(-LN(2)/25)*BQ136+(1-EXP(-LN(2)/25))/(LN(2)/25)*Calculateur!BL137*Calculateur!BN137*VLOOKUP('Données projet'!$B$11,Paramètres!$A$1:$I$89,3,0)*0.475*44/12</f>
        <v>19.655280661927051</v>
      </c>
      <c r="BR137" s="21">
        <f>EXP(-LN(2)/2)*BR136+(1-EXP(-LN(2)/2))/(LN(2)/2)*BL137*BO137*VLOOKUP('Données projet'!$B$11,Paramètres!$A$1:$I$89,3,0)*0.475*44/12</f>
        <v>9.5753933566244042E-4</v>
      </c>
      <c r="BS137" s="22">
        <f t="shared" si="117"/>
        <v>118.32079846289706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68.620424404221751</v>
      </c>
      <c r="CE137" s="59">
        <f t="shared" si="148"/>
        <v>203.12945099478918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4.9484939253530174</v>
      </c>
      <c r="CL137" s="21">
        <f>EXP(-LN(2)/25)*CL136+(1-EXP(-LN(2)/25))/(LN(2)/25)*Calculateur!CG137*Calculateur!CI137*VLOOKUP('Données projet'!$B$12,Paramètres!$A$1:$I$89,3,0)*0.475*44/12</f>
        <v>0.42810847196829133</v>
      </c>
      <c r="CM137" s="21">
        <f>EXP(-LN(2)/2)*CM136+(1-EXP(-LN(2)/2))/(LN(2)/2)*CG137*CJ137*VLOOKUP('Données projet'!$B$12,Paramètres!$A$1:$I$89,3,0)*0.475*44/12</f>
        <v>1.0007143792797851E-16</v>
      </c>
      <c r="CN137" s="22">
        <f t="shared" si="120"/>
        <v>5.3766023973213084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-2.8421709430404007E-13</v>
      </c>
      <c r="CU137" s="17">
        <f>CT137*VLOOKUP('Données projet'!$B$13,Paramètres!$A$1:$I$89,3,0)*VLOOKUP('Données projet'!$B$13,Paramètres!$A$1:$I$89,5,0)</f>
        <v>-1.69961822393816E-13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196.25918971690442</v>
      </c>
      <c r="CZ137" s="59">
        <f t="shared" si="150"/>
        <v>148.35701313170205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64.253177588902858</v>
      </c>
      <c r="DG137" s="21">
        <f>EXP(-LN(2)/25)*DG136+(1-EXP(-LN(2)/25))/(LN(2)/25)*Calculateur!DB137*Calculateur!DD137*VLOOKUP('Données projet'!$B$13,Paramètres!$A$1:$I$89,3,0)*0.475*44/12</f>
        <v>15.106437639027719</v>
      </c>
      <c r="DH137" s="21">
        <f>EXP(-LN(2)/2)*DH136+(1-EXP(-LN(2)/2))/(LN(2)/2)*DB137*DE137*VLOOKUP('Données projet'!$B$13,Paramètres!$A$1:$I$89,3,0)*0.475*44/12</f>
        <v>3.9170707152209839E-4</v>
      </c>
      <c r="DI137" s="22">
        <f t="shared" si="123"/>
        <v>79.360006935002104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11">
        <f t="shared" si="140"/>
        <v>17.969840340798424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67">
        <f t="shared" si="110"/>
        <v>434.66930526022429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180.31844548479722</v>
      </c>
      <c r="T138" s="59">
        <f t="shared" si="142"/>
        <v>273.83237400307223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18.863762727569618</v>
      </c>
      <c r="AA138" s="21">
        <f>EXP(-LN(2)/25)*AA137+(1-EXP(-LN(2)/25))/(LN(2)/25)*Calculateur!V138*Calculateur!X138*VLOOKUP('Données projet'!$B$9,Paramètres!$A$1:$I$89,3,0)*0.475*44/12</f>
        <v>18.07672782000332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36.940490547572935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-5.6843418860808015E-14</v>
      </c>
      <c r="AJ138" s="13">
        <f>AI138*VLOOKUP('Données projet'!$B$10,Paramètres!$A$1:$I$89,3,0)*VLOOKUP('Données projet'!$B$10,Paramètres!$A$1:$I$89,5,0)</f>
        <v>-3.1036506698001178E-14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160.54301845388551</v>
      </c>
      <c r="AO138" s="59">
        <f t="shared" si="144"/>
        <v>272.6634844951584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10.276249644322002</v>
      </c>
      <c r="AV138" s="21">
        <f>EXP(-LN(2)/25)*AV137+(1-EXP(-LN(2)/25))/(LN(2)/25)*Calculateur!AQ138*Calculateur!AS138*VLOOKUP('Données projet'!$B$10,Paramètres!$A$1:$I$89,3,0)*0.475*44/12</f>
        <v>10.763597780557365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21.039847424879369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3.4106051316484809E-13</v>
      </c>
      <c r="BE138" s="13">
        <f>BD138*VLOOKUP('Données projet'!$B$11,Paramètres!$A$1:$I$89,3,0)*VLOOKUP('Données projet'!$B$11,Paramètres!$A$1:$I$89,5,0)</f>
        <v>1.5961632016114892E-13</v>
      </c>
      <c r="BF138" s="13">
        <f t="shared" si="145"/>
        <v>2.2708641912150958E-12</v>
      </c>
      <c r="BG138" s="20">
        <f t="shared" si="115"/>
        <v>4.2330868906469593E-12</v>
      </c>
      <c r="BH138" s="59">
        <f t="shared" si="116"/>
        <v>293.33333333333752</v>
      </c>
      <c r="BI138" s="59">
        <f ca="1">AVERAGE(OFFSET($BH$3,0,0,'Données projet'!$E$11+1,1))-AVERAGE(OFFSET($H$3,0,0,'Données projet'!$E$11+1,1))</f>
        <v>207.25176714718668</v>
      </c>
      <c r="BJ138" s="59">
        <f t="shared" si="146"/>
        <v>191.53228014642559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96.729808414343239</v>
      </c>
      <c r="BQ138" s="21">
        <f>EXP(-LN(2)/25)*BQ137+(1-EXP(-LN(2)/25))/(LN(2)/25)*Calculateur!BL138*Calculateur!BN138*VLOOKUP('Données projet'!$B$11,Paramètres!$A$1:$I$89,3,0)*0.475*44/12</f>
        <v>19.117805978600369</v>
      </c>
      <c r="BR138" s="21">
        <f>EXP(-LN(2)/2)*BR137+(1-EXP(-LN(2)/2))/(LN(2)/2)*BL138*BO138*VLOOKUP('Données projet'!$B$11,Paramètres!$A$1:$I$89,3,0)*0.475*44/12</f>
        <v>6.7708255749977342E-4</v>
      </c>
      <c r="BS138" s="22">
        <f t="shared" si="117"/>
        <v>115.84829147550111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68.620424404221751</v>
      </c>
      <c r="CE138" s="59">
        <f t="shared" si="148"/>
        <v>203.12945099478918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4.8514569777601082</v>
      </c>
      <c r="CL138" s="21">
        <f>EXP(-LN(2)/25)*CL137+(1-EXP(-LN(2)/25))/(LN(2)/25)*Calculateur!CG138*Calculateur!CI138*VLOOKUP('Données projet'!$B$12,Paramètres!$A$1:$I$89,3,0)*0.475*44/12</f>
        <v>0.41640182328907233</v>
      </c>
      <c r="CM138" s="21">
        <f>EXP(-LN(2)/2)*CM137+(1-EXP(-LN(2)/2))/(LN(2)/2)*CG138*CJ138*VLOOKUP('Données projet'!$B$12,Paramètres!$A$1:$I$89,3,0)*0.475*44/12</f>
        <v>7.0761192361962269E-17</v>
      </c>
      <c r="CN138" s="22">
        <f t="shared" si="120"/>
        <v>5.2678588010491803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-2.8421709430404007E-13</v>
      </c>
      <c r="CU138" s="17">
        <f>CT138*VLOOKUP('Données projet'!$B$13,Paramètres!$A$1:$I$89,3,0)*VLOOKUP('Données projet'!$B$13,Paramètres!$A$1:$I$89,5,0)</f>
        <v>-1.69961822393816E-13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196.25918971690442</v>
      </c>
      <c r="CZ138" s="59">
        <f t="shared" si="150"/>
        <v>148.35701313170205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62.993211966953055</v>
      </c>
      <c r="DG138" s="21">
        <f>EXP(-LN(2)/25)*DG137+(1-EXP(-LN(2)/25))/(LN(2)/25)*Calculateur!DB138*Calculateur!DD138*VLOOKUP('Données projet'!$B$13,Paramètres!$A$1:$I$89,3,0)*0.475*44/12</f>
        <v>14.693351307375478</v>
      </c>
      <c r="DH138" s="21">
        <f>EXP(-LN(2)/2)*DH137+(1-EXP(-LN(2)/2))/(LN(2)/2)*DB138*DE138*VLOOKUP('Données projet'!$B$13,Paramètres!$A$1:$I$89,3,0)*0.475*44/12</f>
        <v>2.7697872651199975E-4</v>
      </c>
      <c r="DI138" s="22">
        <f t="shared" si="123"/>
        <v>77.686840253055053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11">
        <f t="shared" si="140"/>
        <v>18.087405707268417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67">
        <f t="shared" si="110"/>
        <v>435.68916494015957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180.31844548479722</v>
      </c>
      <c r="T139" s="59">
        <f t="shared" si="142"/>
        <v>273.83237400307223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18.493855846241143</v>
      </c>
      <c r="AA139" s="21">
        <f>EXP(-LN(2)/25)*AA138+(1-EXP(-LN(2)/25))/(LN(2)/25)*Calculateur!V139*Calculateur!X139*VLOOKUP('Données projet'!$B$9,Paramètres!$A$1:$I$89,3,0)*0.475*44/12</f>
        <v>17.582418747151529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36.076274593392668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-5.6843418860808015E-14</v>
      </c>
      <c r="AJ139" s="13">
        <f>AI139*VLOOKUP('Données projet'!$B$10,Paramètres!$A$1:$I$89,3,0)*VLOOKUP('Données projet'!$B$10,Paramètres!$A$1:$I$89,5,0)</f>
        <v>-3.1036506698001178E-14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160.54301845388551</v>
      </c>
      <c r="AO139" s="59">
        <f t="shared" si="144"/>
        <v>272.6634844951584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10.074738656690228</v>
      </c>
      <c r="AV139" s="21">
        <f>EXP(-LN(2)/25)*AV138+(1-EXP(-LN(2)/25))/(LN(2)/25)*Calculateur!AQ139*Calculateur!AS139*VLOOKUP('Données projet'!$B$10,Paramètres!$A$1:$I$89,3,0)*0.475*44/12</f>
        <v>10.469266633215017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20.544005289905243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3.4106051316484809E-13</v>
      </c>
      <c r="BE139" s="13">
        <f>BD139*VLOOKUP('Données projet'!$B$11,Paramètres!$A$1:$I$89,3,0)*VLOOKUP('Données projet'!$B$11,Paramètres!$A$1:$I$89,5,0)</f>
        <v>1.5961632016114892E-13</v>
      </c>
      <c r="BF139" s="13">
        <f t="shared" si="145"/>
        <v>2.2708641912150958E-12</v>
      </c>
      <c r="BG139" s="20">
        <f t="shared" si="115"/>
        <v>4.2330868906469593E-12</v>
      </c>
      <c r="BH139" s="59">
        <f t="shared" si="116"/>
        <v>293.33333333333752</v>
      </c>
      <c r="BI139" s="59">
        <f ca="1">AVERAGE(OFFSET($BH$3,0,0,'Données projet'!$E$11+1,1))-AVERAGE(OFFSET($H$3,0,0,'Données projet'!$E$11+1,1))</f>
        <v>207.25176714718668</v>
      </c>
      <c r="BJ139" s="59">
        <f t="shared" si="146"/>
        <v>191.53228014642559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94.832995870695399</v>
      </c>
      <c r="BQ139" s="21">
        <f>EXP(-LN(2)/25)*BQ138+(1-EXP(-LN(2)/25))/(LN(2)/25)*Calculateur!BL139*Calculateur!BN139*VLOOKUP('Données projet'!$B$11,Paramètres!$A$1:$I$89,3,0)*0.475*44/12</f>
        <v>18.595028568753822</v>
      </c>
      <c r="BR139" s="21">
        <f>EXP(-LN(2)/2)*BR138+(1-EXP(-LN(2)/2))/(LN(2)/2)*BL139*BO139*VLOOKUP('Données projet'!$B$11,Paramètres!$A$1:$I$89,3,0)*0.475*44/12</f>
        <v>4.7876966783122032E-4</v>
      </c>
      <c r="BS139" s="22">
        <f t="shared" si="117"/>
        <v>113.42850320911705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68.620424404221751</v>
      </c>
      <c r="CE139" s="59">
        <f t="shared" si="148"/>
        <v>203.12945099478918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4.7563228655228027</v>
      </c>
      <c r="CL139" s="21">
        <f>EXP(-LN(2)/25)*CL138+(1-EXP(-LN(2)/25))/(LN(2)/25)*Calculateur!CG139*Calculateur!CI139*VLOOKUP('Données projet'!$B$12,Paramètres!$A$1:$I$89,3,0)*0.475*44/12</f>
        <v>0.40501529353361243</v>
      </c>
      <c r="CM139" s="21">
        <f>EXP(-LN(2)/2)*CM138+(1-EXP(-LN(2)/2))/(LN(2)/2)*CG139*CJ139*VLOOKUP('Données projet'!$B$12,Paramètres!$A$1:$I$89,3,0)*0.475*44/12</f>
        <v>5.0035718963989253E-17</v>
      </c>
      <c r="CN139" s="22">
        <f t="shared" si="120"/>
        <v>5.1613381590564149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-2.8421709430404007E-13</v>
      </c>
      <c r="CU139" s="17">
        <f>CT139*VLOOKUP('Données projet'!$B$13,Paramètres!$A$1:$I$89,3,0)*VLOOKUP('Données projet'!$B$13,Paramètres!$A$1:$I$89,5,0)</f>
        <v>-1.69961822393816E-13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196.25918971690442</v>
      </c>
      <c r="CZ139" s="59">
        <f t="shared" si="150"/>
        <v>148.35701313170205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61.757953502346538</v>
      </c>
      <c r="DG139" s="21">
        <f>EXP(-LN(2)/25)*DG138+(1-EXP(-LN(2)/25))/(LN(2)/25)*Calculateur!DB139*Calculateur!DD139*VLOOKUP('Données projet'!$B$13,Paramètres!$A$1:$I$89,3,0)*0.475*44/12</f>
        <v>14.291560843185533</v>
      </c>
      <c r="DH139" s="21">
        <f>EXP(-LN(2)/2)*DH138+(1-EXP(-LN(2)/2))/(LN(2)/2)*DB139*DE139*VLOOKUP('Données projet'!$B$13,Paramètres!$A$1:$I$89,3,0)*0.475*44/12</f>
        <v>1.958535357610492E-4</v>
      </c>
      <c r="DI139" s="22">
        <f t="shared" si="123"/>
        <v>76.049710199067832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11">
        <f t="shared" si="140"/>
        <v>18.204870493705315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67">
        <f t="shared" si="110"/>
        <v>436.7088494432038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180.31844548479722</v>
      </c>
      <c r="T140" s="59">
        <f t="shared" si="142"/>
        <v>273.83237400307223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18.131202613234599</v>
      </c>
      <c r="AA140" s="21">
        <f>EXP(-LN(2)/25)*AA139+(1-EXP(-LN(2)/25))/(LN(2)/25)*Calculateur!V140*Calculateur!X140*VLOOKUP('Données projet'!$B$9,Paramètres!$A$1:$I$89,3,0)*0.475*44/12</f>
        <v>17.101626581891452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35.232829195126051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-5.6843418860808015E-14</v>
      </c>
      <c r="AJ140" s="13">
        <f>AI140*VLOOKUP('Données projet'!$B$10,Paramètres!$A$1:$I$89,3,0)*VLOOKUP('Données projet'!$B$10,Paramètres!$A$1:$I$89,5,0)</f>
        <v>-3.1036506698001178E-14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160.54301845388551</v>
      </c>
      <c r="AO140" s="59">
        <f t="shared" si="144"/>
        <v>272.6634844951584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9.8771791766163464</v>
      </c>
      <c r="AV140" s="21">
        <f>EXP(-LN(2)/25)*AV139+(1-EXP(-LN(2)/25))/(LN(2)/25)*Calculateur!AQ140*Calculateur!AS140*VLOOKUP('Données projet'!$B$10,Paramètres!$A$1:$I$89,3,0)*0.475*44/12</f>
        <v>10.182983986574948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20.060163163191294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3.4106051316484809E-13</v>
      </c>
      <c r="BE140" s="13">
        <f>BD140*VLOOKUP('Données projet'!$B$11,Paramètres!$A$1:$I$89,3,0)*VLOOKUP('Données projet'!$B$11,Paramètres!$A$1:$I$89,5,0)</f>
        <v>1.5961632016114892E-13</v>
      </c>
      <c r="BF140" s="13">
        <f t="shared" si="145"/>
        <v>2.2708641912150958E-12</v>
      </c>
      <c r="BG140" s="20">
        <f t="shared" si="115"/>
        <v>4.2330868906469593E-12</v>
      </c>
      <c r="BH140" s="59">
        <f t="shared" si="116"/>
        <v>293.33333333333752</v>
      </c>
      <c r="BI140" s="59">
        <f ca="1">AVERAGE(OFFSET($BH$3,0,0,'Données projet'!$E$11+1,1))-AVERAGE(OFFSET($H$3,0,0,'Données projet'!$E$11+1,1))</f>
        <v>207.25176714718668</v>
      </c>
      <c r="BJ140" s="59">
        <f t="shared" si="146"/>
        <v>191.53228014642559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92.973378664087079</v>
      </c>
      <c r="BQ140" s="21">
        <f>EXP(-LN(2)/25)*BQ139+(1-EXP(-LN(2)/25))/(LN(2)/25)*Calculateur!BL140*Calculateur!BN140*VLOOKUP('Données projet'!$B$11,Paramètres!$A$1:$I$89,3,0)*0.475*44/12</f>
        <v>18.086546534671196</v>
      </c>
      <c r="BR140" s="21">
        <f>EXP(-LN(2)/2)*BR139+(1-EXP(-LN(2)/2))/(LN(2)/2)*BL140*BO140*VLOOKUP('Données projet'!$B$11,Paramètres!$A$1:$I$89,3,0)*0.475*44/12</f>
        <v>3.3854127874988676E-4</v>
      </c>
      <c r="BS140" s="22">
        <f t="shared" si="117"/>
        <v>111.06026374003703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68.620424404221751</v>
      </c>
      <c r="CE140" s="59">
        <f t="shared" si="148"/>
        <v>203.12945099478918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4.6630542752003912</v>
      </c>
      <c r="CL140" s="21">
        <f>EXP(-LN(2)/25)*CL139+(1-EXP(-LN(2)/25))/(LN(2)/25)*Calculateur!CG140*Calculateur!CI140*VLOOKUP('Données projet'!$B$12,Paramètres!$A$1:$I$89,3,0)*0.475*44/12</f>
        <v>0.39394012903310721</v>
      </c>
      <c r="CM140" s="21">
        <f>EXP(-LN(2)/2)*CM139+(1-EXP(-LN(2)/2))/(LN(2)/2)*CG140*CJ140*VLOOKUP('Données projet'!$B$12,Paramètres!$A$1:$I$89,3,0)*0.475*44/12</f>
        <v>3.5380596180981134E-17</v>
      </c>
      <c r="CN140" s="22">
        <f t="shared" si="120"/>
        <v>5.0569944042334987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-2.8421709430404007E-13</v>
      </c>
      <c r="CU140" s="17">
        <f>CT140*VLOOKUP('Données projet'!$B$13,Paramètres!$A$1:$I$89,3,0)*VLOOKUP('Données projet'!$B$13,Paramètres!$A$1:$I$89,5,0)</f>
        <v>-1.69961822393816E-13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196.25918971690442</v>
      </c>
      <c r="CZ140" s="59">
        <f t="shared" si="150"/>
        <v>148.35701313170205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60.546917702797693</v>
      </c>
      <c r="DG140" s="21">
        <f>EXP(-LN(2)/25)*DG139+(1-EXP(-LN(2)/25))/(LN(2)/25)*Calculateur!DB140*Calculateur!DD140*VLOOKUP('Données projet'!$B$13,Paramètres!$A$1:$I$89,3,0)*0.475*44/12</f>
        <v>13.900757360368104</v>
      </c>
      <c r="DH140" s="21">
        <f>EXP(-LN(2)/2)*DH139+(1-EXP(-LN(2)/2))/(LN(2)/2)*DB140*DE140*VLOOKUP('Données projet'!$B$13,Paramètres!$A$1:$I$89,3,0)*0.475*44/12</f>
        <v>1.3848936325599987E-4</v>
      </c>
      <c r="DI140" s="22">
        <f t="shared" si="123"/>
        <v>74.447813552529055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11">
        <f t="shared" si="140"/>
        <v>18.322235519392791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67">
        <f t="shared" si="110"/>
        <v>437.72836019627618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180.31844548479722</v>
      </c>
      <c r="T141" s="59">
        <f t="shared" si="142"/>
        <v>273.83237400307223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17.775660788930683</v>
      </c>
      <c r="AA141" s="21">
        <f>EXP(-LN(2)/25)*AA140+(1-EXP(-LN(2)/25))/(LN(2)/25)*Calculateur!V141*Calculateur!X141*VLOOKUP('Données projet'!$B$9,Paramètres!$A$1:$I$89,3,0)*0.475*44/12</f>
        <v>16.633981703674174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34.40964249260486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-5.6843418860808015E-14</v>
      </c>
      <c r="AJ141" s="13">
        <f>AI141*VLOOKUP('Données projet'!$B$10,Paramètres!$A$1:$I$89,3,0)*VLOOKUP('Données projet'!$B$10,Paramètres!$A$1:$I$89,5,0)</f>
        <v>-3.1036506698001178E-14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160.54301845388551</v>
      </c>
      <c r="AO141" s="59">
        <f t="shared" si="144"/>
        <v>272.6634844951584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9.6834937174473286</v>
      </c>
      <c r="AV141" s="21">
        <f>EXP(-LN(2)/25)*AV140+(1-EXP(-LN(2)/25))/(LN(2)/25)*Calculateur!AQ141*Calculateur!AS141*VLOOKUP('Données projet'!$B$10,Paramètres!$A$1:$I$89,3,0)*0.475*44/12</f>
        <v>9.9045297539622013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19.588023471409528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3.4106051316484809E-13</v>
      </c>
      <c r="BE141" s="13">
        <f>BD141*VLOOKUP('Données projet'!$B$11,Paramètres!$A$1:$I$89,3,0)*VLOOKUP('Données projet'!$B$11,Paramètres!$A$1:$I$89,5,0)</f>
        <v>1.5961632016114892E-13</v>
      </c>
      <c r="BF141" s="13">
        <f t="shared" si="145"/>
        <v>2.2708641912150958E-12</v>
      </c>
      <c r="BG141" s="20">
        <f t="shared" si="115"/>
        <v>4.2330868906469593E-12</v>
      </c>
      <c r="BH141" s="59">
        <f t="shared" si="116"/>
        <v>293.33333333333752</v>
      </c>
      <c r="BI141" s="59">
        <f ca="1">AVERAGE(OFFSET($BH$3,0,0,'Données projet'!$E$11+1,1))-AVERAGE(OFFSET($H$3,0,0,'Données projet'!$E$11+1,1))</f>
        <v>207.25176714718668</v>
      </c>
      <c r="BJ141" s="59">
        <f t="shared" si="146"/>
        <v>191.53228014642559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91.150227416645848</v>
      </c>
      <c r="BQ141" s="21">
        <f>EXP(-LN(2)/25)*BQ140+(1-EXP(-LN(2)/25))/(LN(2)/25)*Calculateur!BL141*Calculateur!BN141*VLOOKUP('Données projet'!$B$11,Paramètres!$A$1:$I$89,3,0)*0.475*44/12</f>
        <v>17.591968968550468</v>
      </c>
      <c r="BR141" s="21">
        <f>EXP(-LN(2)/2)*BR140+(1-EXP(-LN(2)/2))/(LN(2)/2)*BL141*BO141*VLOOKUP('Données projet'!$B$11,Paramètres!$A$1:$I$89,3,0)*0.475*44/12</f>
        <v>2.3938483391561019E-4</v>
      </c>
      <c r="BS141" s="22">
        <f t="shared" si="117"/>
        <v>108.74243577003023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68.620424404221751</v>
      </c>
      <c r="CE141" s="59">
        <f t="shared" si="148"/>
        <v>203.12945099478918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4.5716146250459797</v>
      </c>
      <c r="CL141" s="21">
        <f>EXP(-LN(2)/25)*CL140+(1-EXP(-LN(2)/25))/(LN(2)/25)*Calculateur!CG141*Calculateur!CI141*VLOOKUP('Données projet'!$B$12,Paramètres!$A$1:$I$89,3,0)*0.475*44/12</f>
        <v>0.38316781548828588</v>
      </c>
      <c r="CM141" s="21">
        <f>EXP(-LN(2)/2)*CM140+(1-EXP(-LN(2)/2))/(LN(2)/2)*CG141*CJ141*VLOOKUP('Données projet'!$B$12,Paramètres!$A$1:$I$89,3,0)*0.475*44/12</f>
        <v>2.5017859481994626E-17</v>
      </c>
      <c r="CN141" s="22">
        <f t="shared" si="120"/>
        <v>4.9547824405342658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-2.8421709430404007E-13</v>
      </c>
      <c r="CU141" s="17">
        <f>CT141*VLOOKUP('Données projet'!$B$13,Paramètres!$A$1:$I$89,3,0)*VLOOKUP('Données projet'!$B$13,Paramètres!$A$1:$I$89,5,0)</f>
        <v>-1.69961822393816E-13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196.25918971690442</v>
      </c>
      <c r="CZ141" s="59">
        <f t="shared" si="150"/>
        <v>148.35701313170205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59.359629576619099</v>
      </c>
      <c r="DG141" s="21">
        <f>EXP(-LN(2)/25)*DG140+(1-EXP(-LN(2)/25))/(LN(2)/25)*Calculateur!DB141*Calculateur!DD141*VLOOKUP('Données projet'!$B$13,Paramètres!$A$1:$I$89,3,0)*0.475*44/12</f>
        <v>13.520640419339779</v>
      </c>
      <c r="DH141" s="21">
        <f>EXP(-LN(2)/2)*DH140+(1-EXP(-LN(2)/2))/(LN(2)/2)*DB141*DE141*VLOOKUP('Données projet'!$B$13,Paramètres!$A$1:$I$89,3,0)*0.475*44/12</f>
        <v>9.7926767880524598E-5</v>
      </c>
      <c r="DI141" s="22">
        <f t="shared" si="123"/>
        <v>72.880367922726762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11">
        <f t="shared" si="140"/>
        <v>18.439501591054739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67">
        <f t="shared" si="110"/>
        <v>438.74769860442075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180.31844548479722</v>
      </c>
      <c r="T142" s="59">
        <f t="shared" si="142"/>
        <v>273.83237400307223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17.427090922942266</v>
      </c>
      <c r="AA142" s="21">
        <f>EXP(-LN(2)/25)*AA141+(1-EXP(-LN(2)/25))/(LN(2)/25)*Calculateur!V142*Calculateur!X142*VLOOKUP('Données projet'!$B$9,Paramètres!$A$1:$I$89,3,0)*0.475*44/12</f>
        <v>16.179124599244123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33.606215522186389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-5.6843418860808015E-14</v>
      </c>
      <c r="AJ142" s="13">
        <f>AI142*VLOOKUP('Données projet'!$B$10,Paramètres!$A$1:$I$89,3,0)*VLOOKUP('Données projet'!$B$10,Paramètres!$A$1:$I$89,5,0)</f>
        <v>-3.1036506698001178E-14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160.54301845388551</v>
      </c>
      <c r="AO142" s="59">
        <f t="shared" si="144"/>
        <v>272.6634844951584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9.4936063119961513</v>
      </c>
      <c r="AV142" s="21">
        <f>EXP(-LN(2)/25)*AV141+(1-EXP(-LN(2)/25))/(LN(2)/25)*Calculateur!AQ142*Calculateur!AS142*VLOOKUP('Données projet'!$B$10,Paramètres!$A$1:$I$89,3,0)*0.475*44/12</f>
        <v>9.6336898669835218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19.127296178979673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3.4106051316484809E-13</v>
      </c>
      <c r="BE142" s="13">
        <f>BD142*VLOOKUP('Données projet'!$B$11,Paramètres!$A$1:$I$89,3,0)*VLOOKUP('Données projet'!$B$11,Paramètres!$A$1:$I$89,5,0)</f>
        <v>1.5961632016114892E-13</v>
      </c>
      <c r="BF142" s="13">
        <f t="shared" si="145"/>
        <v>2.2708641912150958E-12</v>
      </c>
      <c r="BG142" s="20">
        <f t="shared" si="115"/>
        <v>4.2330868906469593E-12</v>
      </c>
      <c r="BH142" s="59">
        <f t="shared" si="116"/>
        <v>293.33333333333752</v>
      </c>
      <c r="BI142" s="59">
        <f ca="1">AVERAGE(OFFSET($BH$3,0,0,'Données projet'!$E$11+1,1))-AVERAGE(OFFSET($H$3,0,0,'Données projet'!$E$11+1,1))</f>
        <v>207.25176714718668</v>
      </c>
      <c r="BJ142" s="59">
        <f t="shared" si="146"/>
        <v>191.53228014642559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89.36282705315449</v>
      </c>
      <c r="BQ142" s="21">
        <f>EXP(-LN(2)/25)*BQ141+(1-EXP(-LN(2)/25))/(LN(2)/25)*Calculateur!BL142*Calculateur!BN142*VLOOKUP('Données projet'!$B$11,Paramètres!$A$1:$I$89,3,0)*0.475*44/12</f>
        <v>17.110915651984016</v>
      </c>
      <c r="BR142" s="21">
        <f>EXP(-LN(2)/2)*BR141+(1-EXP(-LN(2)/2))/(LN(2)/2)*BL142*BO142*VLOOKUP('Données projet'!$B$11,Paramètres!$A$1:$I$89,3,0)*0.475*44/12</f>
        <v>1.6927063937494341E-4</v>
      </c>
      <c r="BS142" s="22">
        <f t="shared" si="117"/>
        <v>106.47391197577788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68.620424404221751</v>
      </c>
      <c r="CE142" s="59">
        <f t="shared" si="148"/>
        <v>203.12945099478918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4.4819680506584163</v>
      </c>
      <c r="CL142" s="21">
        <f>EXP(-LN(2)/25)*CL141+(1-EXP(-LN(2)/25))/(LN(2)/25)*Calculateur!CG142*Calculateur!CI142*VLOOKUP('Données projet'!$B$12,Paramètres!$A$1:$I$89,3,0)*0.475*44/12</f>
        <v>0.37269007142383903</v>
      </c>
      <c r="CM142" s="21">
        <f>EXP(-LN(2)/2)*CM141+(1-EXP(-LN(2)/2))/(LN(2)/2)*CG142*CJ142*VLOOKUP('Données projet'!$B$12,Paramètres!$A$1:$I$89,3,0)*0.475*44/12</f>
        <v>1.7690298090490567E-17</v>
      </c>
      <c r="CN142" s="22">
        <f t="shared" si="120"/>
        <v>4.8546581220822551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-2.8421709430404007E-13</v>
      </c>
      <c r="CU142" s="17">
        <f>CT142*VLOOKUP('Données projet'!$B$13,Paramètres!$A$1:$I$89,3,0)*VLOOKUP('Données projet'!$B$13,Paramètres!$A$1:$I$89,5,0)</f>
        <v>-1.69961822393816E-13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196.25918971690442</v>
      </c>
      <c r="CZ142" s="59">
        <f t="shared" si="150"/>
        <v>148.35701313170205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58.195623446420612</v>
      </c>
      <c r="DG142" s="21">
        <f>EXP(-LN(2)/25)*DG141+(1-EXP(-LN(2)/25))/(LN(2)/25)*Calculateur!DB142*Calculateur!DD142*VLOOKUP('Données projet'!$B$13,Paramètres!$A$1:$I$89,3,0)*0.475*44/12</f>
        <v>13.150917796053355</v>
      </c>
      <c r="DH142" s="21">
        <f>EXP(-LN(2)/2)*DH141+(1-EXP(-LN(2)/2))/(LN(2)/2)*DB142*DE142*VLOOKUP('Données projet'!$B$13,Paramètres!$A$1:$I$89,3,0)*0.475*44/12</f>
        <v>6.9244681627999937E-5</v>
      </c>
      <c r="DI142" s="22">
        <f t="shared" si="123"/>
        <v>71.346610487155587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11">
        <f t="shared" si="140"/>
        <v>18.556669503136781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67">
        <f t="shared" si="110"/>
        <v>439.76686605129692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180.31844548479722</v>
      </c>
      <c r="T143" s="59">
        <f t="shared" si="142"/>
        <v>273.83237400307223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17.085356299419256</v>
      </c>
      <c r="AA143" s="21">
        <f>EXP(-LN(2)/25)*AA142+(1-EXP(-LN(2)/25))/(LN(2)/25)*Calculateur!V143*Calculateur!X143*VLOOKUP('Données projet'!$B$9,Paramètres!$A$1:$I$89,3,0)*0.475*44/12</f>
        <v>15.736705586254608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32.822061885673861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-5.6843418860808015E-14</v>
      </c>
      <c r="AJ143" s="13">
        <f>AI143*VLOOKUP('Données projet'!$B$10,Paramètres!$A$1:$I$89,3,0)*VLOOKUP('Données projet'!$B$10,Paramètres!$A$1:$I$89,5,0)</f>
        <v>-3.1036506698001178E-14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160.54301845388551</v>
      </c>
      <c r="AO143" s="59">
        <f t="shared" si="144"/>
        <v>272.6634844951584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9.3074424827459907</v>
      </c>
      <c r="AV143" s="21">
        <f>EXP(-LN(2)/25)*AV142+(1-EXP(-LN(2)/25))/(LN(2)/25)*Calculateur!AQ143*Calculateur!AS143*VLOOKUP('Données projet'!$B$10,Paramètres!$A$1:$I$89,3,0)*0.475*44/12</f>
        <v>9.3702561109571256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18.677698593703116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3.4106051316484809E-13</v>
      </c>
      <c r="BE143" s="13">
        <f>BD143*VLOOKUP('Données projet'!$B$11,Paramètres!$A$1:$I$89,3,0)*VLOOKUP('Données projet'!$B$11,Paramètres!$A$1:$I$89,5,0)</f>
        <v>1.5961632016114892E-13</v>
      </c>
      <c r="BF143" s="13">
        <f t="shared" si="145"/>
        <v>2.2708641912150958E-12</v>
      </c>
      <c r="BG143" s="20">
        <f t="shared" si="115"/>
        <v>4.2330868906469593E-12</v>
      </c>
      <c r="BH143" s="59">
        <f t="shared" si="116"/>
        <v>293.33333333333752</v>
      </c>
      <c r="BI143" s="59">
        <f ca="1">AVERAGE(OFFSET($BH$3,0,0,'Données projet'!$E$11+1,1))-AVERAGE(OFFSET($H$3,0,0,'Données projet'!$E$11+1,1))</f>
        <v>207.25176714718668</v>
      </c>
      <c r="BJ143" s="59">
        <f t="shared" si="146"/>
        <v>191.53228014642559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87.610476520584612</v>
      </c>
      <c r="BQ143" s="21">
        <f>EXP(-LN(2)/25)*BQ142+(1-EXP(-LN(2)/25))/(LN(2)/25)*Calculateur!BL143*Calculateur!BN143*VLOOKUP('Données projet'!$B$11,Paramètres!$A$1:$I$89,3,0)*0.475*44/12</f>
        <v>16.643016763656565</v>
      </c>
      <c r="BR143" s="21">
        <f>EXP(-LN(2)/2)*BR142+(1-EXP(-LN(2)/2))/(LN(2)/2)*BL143*BO143*VLOOKUP('Données projet'!$B$11,Paramètres!$A$1:$I$89,3,0)*0.475*44/12</f>
        <v>1.1969241695780511E-4</v>
      </c>
      <c r="BS143" s="22">
        <f t="shared" si="117"/>
        <v>104.25361297665813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68.620424404221751</v>
      </c>
      <c r="CE143" s="59">
        <f t="shared" si="148"/>
        <v>203.12945099478918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4.3940793909155822</v>
      </c>
      <c r="CL143" s="21">
        <f>EXP(-LN(2)/25)*CL142+(1-EXP(-LN(2)/25))/(LN(2)/25)*Calculateur!CG143*Calculateur!CI143*VLOOKUP('Données projet'!$B$12,Paramètres!$A$1:$I$89,3,0)*0.475*44/12</f>
        <v>0.36249884182183512</v>
      </c>
      <c r="CM143" s="21">
        <f>EXP(-LN(2)/2)*CM142+(1-EXP(-LN(2)/2))/(LN(2)/2)*CG143*CJ143*VLOOKUP('Données projet'!$B$12,Paramètres!$A$1:$I$89,3,0)*0.475*44/12</f>
        <v>1.2508929740997313E-17</v>
      </c>
      <c r="CN143" s="22">
        <f t="shared" si="120"/>
        <v>4.7565782327374171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-2.8421709430404007E-13</v>
      </c>
      <c r="CU143" s="17">
        <f>CT143*VLOOKUP('Données projet'!$B$13,Paramètres!$A$1:$I$89,3,0)*VLOOKUP('Données projet'!$B$13,Paramètres!$A$1:$I$89,5,0)</f>
        <v>-1.69961822393816E-13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196.25918971690442</v>
      </c>
      <c r="CZ143" s="59">
        <f t="shared" si="150"/>
        <v>148.35701313170205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57.054442766461683</v>
      </c>
      <c r="DG143" s="21">
        <f>EXP(-LN(2)/25)*DG142+(1-EXP(-LN(2)/25))/(LN(2)/25)*Calculateur!DB143*Calculateur!DD143*VLOOKUP('Données projet'!$B$13,Paramètres!$A$1:$I$89,3,0)*0.475*44/12</f>
        <v>12.791305257343565</v>
      </c>
      <c r="DH143" s="21">
        <f>EXP(-LN(2)/2)*DH142+(1-EXP(-LN(2)/2))/(LN(2)/2)*DB143*DE143*VLOOKUP('Données projet'!$B$13,Paramètres!$A$1:$I$89,3,0)*0.475*44/12</f>
        <v>4.8963383940262299E-5</v>
      </c>
      <c r="DI143" s="22">
        <f t="shared" si="123"/>
        <v>69.845796987189189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11">
        <f t="shared" si="140"/>
        <v>18.673740038079515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67">
        <f t="shared" si="110"/>
        <v>440.78586389965557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180.31844548479722</v>
      </c>
      <c r="T144" s="59">
        <f t="shared" si="142"/>
        <v>273.83237400307223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16.750322883425994</v>
      </c>
      <c r="AA144" s="21">
        <f>EXP(-LN(2)/25)*AA143+(1-EXP(-LN(2)/25))/(LN(2)/25)*Calculateur!V144*Calculateur!X144*VLOOKUP('Données projet'!$B$9,Paramètres!$A$1:$I$89,3,0)*0.475*44/12</f>
        <v>15.306384544441096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32.056707427867089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-5.6843418860808015E-14</v>
      </c>
      <c r="AJ144" s="13">
        <f>AI144*VLOOKUP('Données projet'!$B$10,Paramètres!$A$1:$I$89,3,0)*VLOOKUP('Données projet'!$B$10,Paramètres!$A$1:$I$89,5,0)</f>
        <v>-3.1036506698001178E-14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160.54301845388551</v>
      </c>
      <c r="AO144" s="59">
        <f t="shared" si="144"/>
        <v>272.6634844951584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9.1249292126387012</v>
      </c>
      <c r="AV144" s="21">
        <f>EXP(-LN(2)/25)*AV143+(1-EXP(-LN(2)/25))/(LN(2)/25)*Calculateur!AQ144*Calculateur!AS144*VLOOKUP('Données projet'!$B$10,Paramètres!$A$1:$I$89,3,0)*0.475*44/12</f>
        <v>9.11402596484265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18.238955177481351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3.4106051316484809E-13</v>
      </c>
      <c r="BE144" s="13">
        <f>BD144*VLOOKUP('Données projet'!$B$11,Paramètres!$A$1:$I$89,3,0)*VLOOKUP('Données projet'!$B$11,Paramètres!$A$1:$I$89,5,0)</f>
        <v>1.5961632016114892E-13</v>
      </c>
      <c r="BF144" s="13">
        <f t="shared" si="145"/>
        <v>2.2708641912150958E-12</v>
      </c>
      <c r="BG144" s="20">
        <f t="shared" si="115"/>
        <v>4.2330868906469593E-12</v>
      </c>
      <c r="BH144" s="59">
        <f t="shared" si="116"/>
        <v>293.33333333333752</v>
      </c>
      <c r="BI144" s="59">
        <f ca="1">AVERAGE(OFFSET($BH$3,0,0,'Données projet'!$E$11+1,1))-AVERAGE(OFFSET($H$3,0,0,'Données projet'!$E$11+1,1))</f>
        <v>207.25176714718668</v>
      </c>
      <c r="BJ144" s="59">
        <f t="shared" si="146"/>
        <v>191.53228014642559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85.892488513130147</v>
      </c>
      <c r="BQ144" s="21">
        <f>EXP(-LN(2)/25)*BQ143+(1-EXP(-LN(2)/25))/(LN(2)/25)*Calculateur!BL144*Calculateur!BN144*VLOOKUP('Données projet'!$B$11,Paramètres!$A$1:$I$89,3,0)*0.475*44/12</f>
        <v>16.187912595036163</v>
      </c>
      <c r="BR144" s="21">
        <f>EXP(-LN(2)/2)*BR143+(1-EXP(-LN(2)/2))/(LN(2)/2)*BL144*BO144*VLOOKUP('Données projet'!$B$11,Paramètres!$A$1:$I$89,3,0)*0.475*44/12</f>
        <v>8.4635319687471718E-5</v>
      </c>
      <c r="BS144" s="22">
        <f t="shared" si="117"/>
        <v>102.08048574348599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68.620424404221751</v>
      </c>
      <c r="CE144" s="59">
        <f t="shared" si="148"/>
        <v>203.12945099478918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4.3079141741835159</v>
      </c>
      <c r="CL144" s="21">
        <f>EXP(-LN(2)/25)*CL143+(1-EXP(-LN(2)/25))/(LN(2)/25)*Calculateur!CG144*Calculateur!CI144*VLOOKUP('Données projet'!$B$12,Paramètres!$A$1:$I$89,3,0)*0.475*44/12</f>
        <v>0.35258629192923147</v>
      </c>
      <c r="CM144" s="21">
        <f>EXP(-LN(2)/2)*CM143+(1-EXP(-LN(2)/2))/(LN(2)/2)*CG144*CJ144*VLOOKUP('Données projet'!$B$12,Paramètres!$A$1:$I$89,3,0)*0.475*44/12</f>
        <v>8.8451490452452836E-18</v>
      </c>
      <c r="CN144" s="22">
        <f t="shared" si="120"/>
        <v>4.6605004661127474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-2.8421709430404007E-13</v>
      </c>
      <c r="CU144" s="17">
        <f>CT144*VLOOKUP('Données projet'!$B$13,Paramètres!$A$1:$I$89,3,0)*VLOOKUP('Données projet'!$B$13,Paramètres!$A$1:$I$89,5,0)</f>
        <v>-1.69961822393816E-13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196.25918971690442</v>
      </c>
      <c r="CZ144" s="59">
        <f t="shared" si="150"/>
        <v>148.35701313170205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55.935639943585265</v>
      </c>
      <c r="DG144" s="21">
        <f>EXP(-LN(2)/25)*DG143+(1-EXP(-LN(2)/25))/(LN(2)/25)*Calculateur!DB144*Calculateur!DD144*VLOOKUP('Données projet'!$B$13,Paramètres!$A$1:$I$89,3,0)*0.475*44/12</f>
        <v>12.441526342415996</v>
      </c>
      <c r="DH144" s="21">
        <f>EXP(-LN(2)/2)*DH143+(1-EXP(-LN(2)/2))/(LN(2)/2)*DB144*DE144*VLOOKUP('Données projet'!$B$13,Paramètres!$A$1:$I$89,3,0)*0.475*44/12</f>
        <v>3.4622340813999968E-5</v>
      </c>
      <c r="DI144" s="22">
        <f t="shared" si="123"/>
        <v>68.377200908342076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11">
        <f t="shared" si="140"/>
        <v>18.790713966583677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67">
        <f t="shared" si="110"/>
        <v>441.80469349180032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180.31844548479722</v>
      </c>
      <c r="T145" s="59">
        <f t="shared" si="142"/>
        <v>273.83237400307223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16.421859268370156</v>
      </c>
      <c r="AA145" s="21">
        <f>EXP(-LN(2)/25)*AA144+(1-EXP(-LN(2)/25))/(LN(2)/25)*Calculateur!V145*Calculateur!X145*VLOOKUP('Données projet'!$B$9,Paramètres!$A$1:$I$89,3,0)*0.475*44/12</f>
        <v>14.887830654145574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31.30968992251573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-5.6843418860808015E-14</v>
      </c>
      <c r="AJ145" s="13">
        <f>AI145*VLOOKUP('Données projet'!$B$10,Paramètres!$A$1:$I$89,3,0)*VLOOKUP('Données projet'!$B$10,Paramètres!$A$1:$I$89,5,0)</f>
        <v>-3.1036506698001178E-14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160.54301845388551</v>
      </c>
      <c r="AO145" s="59">
        <f t="shared" si="144"/>
        <v>272.6634844951584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8.9459949164361134</v>
      </c>
      <c r="AV145" s="21">
        <f>EXP(-LN(2)/25)*AV144+(1-EXP(-LN(2)/25))/(LN(2)/25)*Calculateur!AQ145*Calculateur!AS145*VLOOKUP('Données projet'!$B$10,Paramètres!$A$1:$I$89,3,0)*0.475*44/12</f>
        <v>8.8648024455482322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17.810797361984346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3.4106051316484809E-13</v>
      </c>
      <c r="BE145" s="13">
        <f>BD145*VLOOKUP('Données projet'!$B$11,Paramètres!$A$1:$I$89,3,0)*VLOOKUP('Données projet'!$B$11,Paramètres!$A$1:$I$89,5,0)</f>
        <v>1.5961632016114892E-13</v>
      </c>
      <c r="BF145" s="13">
        <f t="shared" si="145"/>
        <v>2.2708641912150958E-12</v>
      </c>
      <c r="BG145" s="20">
        <f t="shared" si="115"/>
        <v>4.2330868906469593E-12</v>
      </c>
      <c r="BH145" s="59">
        <f t="shared" si="116"/>
        <v>293.33333333333752</v>
      </c>
      <c r="BI145" s="59">
        <f ca="1">AVERAGE(OFFSET($BH$3,0,0,'Données projet'!$E$11+1,1))-AVERAGE(OFFSET($H$3,0,0,'Données projet'!$E$11+1,1))</f>
        <v>207.25176714718668</v>
      </c>
      <c r="BJ145" s="59">
        <f t="shared" si="146"/>
        <v>191.53228014642559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84.208189202632653</v>
      </c>
      <c r="BQ145" s="21">
        <f>EXP(-LN(2)/25)*BQ144+(1-EXP(-LN(2)/25))/(LN(2)/25)*Calculateur!BL145*Calculateur!BN145*VLOOKUP('Données projet'!$B$11,Paramètres!$A$1:$I$89,3,0)*0.475*44/12</f>
        <v>15.745253273839573</v>
      </c>
      <c r="BR145" s="21">
        <f>EXP(-LN(2)/2)*BR144+(1-EXP(-LN(2)/2))/(LN(2)/2)*BL145*BO145*VLOOKUP('Données projet'!$B$11,Paramètres!$A$1:$I$89,3,0)*0.475*44/12</f>
        <v>5.9846208478902567E-5</v>
      </c>
      <c r="BS145" s="22">
        <f t="shared" si="117"/>
        <v>99.953502322680691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68.620424404221751</v>
      </c>
      <c r="CE145" s="59">
        <f t="shared" si="148"/>
        <v>203.12945099478918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4.2234386047959722</v>
      </c>
      <c r="CL145" s="21">
        <f>EXP(-LN(2)/25)*CL144+(1-EXP(-LN(2)/25))/(LN(2)/25)*Calculateur!CG145*Calculateur!CI145*VLOOKUP('Données projet'!$B$12,Paramètres!$A$1:$I$89,3,0)*0.475*44/12</f>
        <v>0.34294480123471938</v>
      </c>
      <c r="CM145" s="21">
        <f>EXP(-LN(2)/2)*CM144+(1-EXP(-LN(2)/2))/(LN(2)/2)*CG145*CJ145*VLOOKUP('Données projet'!$B$12,Paramètres!$A$1:$I$89,3,0)*0.475*44/12</f>
        <v>6.2544648704986566E-18</v>
      </c>
      <c r="CN145" s="22">
        <f t="shared" si="120"/>
        <v>4.5663834060306918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-2.8421709430404007E-13</v>
      </c>
      <c r="CU145" s="17">
        <f>CT145*VLOOKUP('Données projet'!$B$13,Paramètres!$A$1:$I$89,3,0)*VLOOKUP('Données projet'!$B$13,Paramètres!$A$1:$I$89,5,0)</f>
        <v>-1.69961822393816E-13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196.25918971690442</v>
      </c>
      <c r="CZ145" s="59">
        <f t="shared" si="150"/>
        <v>148.35701313170205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54.838776161663112</v>
      </c>
      <c r="DG145" s="21">
        <f>EXP(-LN(2)/25)*DG144+(1-EXP(-LN(2)/25))/(LN(2)/25)*Calculateur!DB145*Calculateur!DD145*VLOOKUP('Données projet'!$B$13,Paramètres!$A$1:$I$89,3,0)*0.475*44/12</f>
        <v>12.101312150311195</v>
      </c>
      <c r="DH145" s="21">
        <f>EXP(-LN(2)/2)*DH144+(1-EXP(-LN(2)/2))/(LN(2)/2)*DB145*DE145*VLOOKUP('Données projet'!$B$13,Paramètres!$A$1:$I$89,3,0)*0.475*44/12</f>
        <v>2.448169197013115E-5</v>
      </c>
      <c r="DI145" s="22">
        <f t="shared" si="123"/>
        <v>66.940112793666273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11">
        <f t="shared" si="140"/>
        <v>18.90759204786773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67">
        <f t="shared" si="110"/>
        <v>442.82335615003672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180.31844548479722</v>
      </c>
      <c r="T146" s="59">
        <f t="shared" si="142"/>
        <v>273.83237400307223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16.09983662446254</v>
      </c>
      <c r="AA146" s="21">
        <f>EXP(-LN(2)/25)*AA145+(1-EXP(-LN(2)/25))/(LN(2)/25)*Calculateur!V146*Calculateur!X146*VLOOKUP('Données projet'!$B$9,Paramètres!$A$1:$I$89,3,0)*0.475*44/12</f>
        <v>14.480722141990976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30.580558766453514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-5.6843418860808015E-14</v>
      </c>
      <c r="AJ146" s="13">
        <f>AI146*VLOOKUP('Données projet'!$B$10,Paramètres!$A$1:$I$89,3,0)*VLOOKUP('Données projet'!$B$10,Paramètres!$A$1:$I$89,5,0)</f>
        <v>-3.1036506698001178E-14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160.54301845388551</v>
      </c>
      <c r="AO146" s="59">
        <f t="shared" si="144"/>
        <v>272.6634844951584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8.7705694126429137</v>
      </c>
      <c r="AV146" s="21">
        <f>EXP(-LN(2)/25)*AV145+(1-EXP(-LN(2)/25))/(LN(2)/25)*Calculateur!AQ146*Calculateur!AS146*VLOOKUP('Données projet'!$B$10,Paramètres!$A$1:$I$89,3,0)*0.475*44/12</f>
        <v>8.6223939564950154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17.392963369137931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3.4106051316484809E-13</v>
      </c>
      <c r="BE146" s="13">
        <f>BD146*VLOOKUP('Données projet'!$B$11,Paramètres!$A$1:$I$89,3,0)*VLOOKUP('Données projet'!$B$11,Paramètres!$A$1:$I$89,5,0)</f>
        <v>1.5961632016114892E-13</v>
      </c>
      <c r="BF146" s="13">
        <f t="shared" si="145"/>
        <v>2.2708641912150958E-12</v>
      </c>
      <c r="BG146" s="20">
        <f t="shared" si="115"/>
        <v>4.2330868906469593E-12</v>
      </c>
      <c r="BH146" s="59">
        <f t="shared" si="116"/>
        <v>293.33333333333752</v>
      </c>
      <c r="BI146" s="59">
        <f ca="1">AVERAGE(OFFSET($BH$3,0,0,'Données projet'!$E$11+1,1))-AVERAGE(OFFSET($H$3,0,0,'Données projet'!$E$11+1,1))</f>
        <v>207.25176714718668</v>
      </c>
      <c r="BJ146" s="59">
        <f t="shared" si="146"/>
        <v>191.53228014642559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82.556917974292872</v>
      </c>
      <c r="BQ146" s="21">
        <f>EXP(-LN(2)/25)*BQ145+(1-EXP(-LN(2)/25))/(LN(2)/25)*Calculateur!BL146*Calculateur!BN146*VLOOKUP('Données projet'!$B$11,Paramètres!$A$1:$I$89,3,0)*0.475*44/12</f>
        <v>15.314698495059547</v>
      </c>
      <c r="BR146" s="21">
        <f>EXP(-LN(2)/2)*BR145+(1-EXP(-LN(2)/2))/(LN(2)/2)*BL146*BO146*VLOOKUP('Données projet'!$B$11,Paramètres!$A$1:$I$89,3,0)*0.475*44/12</f>
        <v>4.2317659843735866E-5</v>
      </c>
      <c r="BS146" s="22">
        <f t="shared" si="117"/>
        <v>97.871658787012265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68.620424404221751</v>
      </c>
      <c r="CE146" s="59">
        <f t="shared" si="148"/>
        <v>203.12945099478918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4.1406195497991094</v>
      </c>
      <c r="CL146" s="21">
        <f>EXP(-LN(2)/25)*CL145+(1-EXP(-LN(2)/25))/(LN(2)/25)*Calculateur!CG146*Calculateur!CI146*VLOOKUP('Données projet'!$B$12,Paramètres!$A$1:$I$89,3,0)*0.475*44/12</f>
        <v>0.33356695761027266</v>
      </c>
      <c r="CM146" s="21">
        <f>EXP(-LN(2)/2)*CM145+(1-EXP(-LN(2)/2))/(LN(2)/2)*CG146*CJ146*VLOOKUP('Données projet'!$B$12,Paramètres!$A$1:$I$89,3,0)*0.475*44/12</f>
        <v>4.4225745226226418E-18</v>
      </c>
      <c r="CN146" s="22">
        <f t="shared" si="120"/>
        <v>4.4741865074093816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-2.8421709430404007E-13</v>
      </c>
      <c r="CU146" s="17">
        <f>CT146*VLOOKUP('Données projet'!$B$13,Paramètres!$A$1:$I$89,3,0)*VLOOKUP('Données projet'!$B$13,Paramètres!$A$1:$I$89,5,0)</f>
        <v>-1.69961822393816E-13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196.25918971690442</v>
      </c>
      <c r="CZ146" s="59">
        <f t="shared" si="150"/>
        <v>148.35701313170205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53.76342120948361</v>
      </c>
      <c r="DG146" s="21">
        <f>EXP(-LN(2)/25)*DG145+(1-EXP(-LN(2)/25))/(LN(2)/25)*Calculateur!DB146*Calculateur!DD146*VLOOKUP('Données projet'!$B$13,Paramètres!$A$1:$I$89,3,0)*0.475*44/12</f>
        <v>11.770401133180586</v>
      </c>
      <c r="DH146" s="21">
        <f>EXP(-LN(2)/2)*DH145+(1-EXP(-LN(2)/2))/(LN(2)/2)*DB146*DE146*VLOOKUP('Données projet'!$B$13,Paramètres!$A$1:$I$89,3,0)*0.475*44/12</f>
        <v>1.7311170406999984E-5</v>
      </c>
      <c r="DI146" s="22">
        <f t="shared" si="123"/>
        <v>65.533839653834605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11">
        <f t="shared" si="140"/>
        <v>19.024375029918055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67">
        <f t="shared" si="110"/>
        <v>443.84185317710774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180.31844548479722</v>
      </c>
      <c r="T147" s="59">
        <f t="shared" si="142"/>
        <v>273.83237400307223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15.784128648187533</v>
      </c>
      <c r="AA147" s="21">
        <f>EXP(-LN(2)/25)*AA146+(1-EXP(-LN(2)/25))/(LN(2)/25)*Calculateur!V147*Calculateur!X147*VLOOKUP('Données projet'!$B$9,Paramètres!$A$1:$I$89,3,0)*0.475*44/12</f>
        <v>14.08474603351015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29.868874681697683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-5.6843418860808015E-14</v>
      </c>
      <c r="AJ147" s="13">
        <f>AI147*VLOOKUP('Données projet'!$B$10,Paramètres!$A$1:$I$89,3,0)*VLOOKUP('Données projet'!$B$10,Paramètres!$A$1:$I$89,5,0)</f>
        <v>-3.1036506698001178E-14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160.54301845388551</v>
      </c>
      <c r="AO147" s="59">
        <f t="shared" si="144"/>
        <v>272.6634844951584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8.5985838959801075</v>
      </c>
      <c r="AV147" s="21">
        <f>EXP(-LN(2)/25)*AV146+(1-EXP(-LN(2)/25))/(LN(2)/25)*Calculateur!AQ147*Calculateur!AS147*VLOOKUP('Données projet'!$B$10,Paramètres!$A$1:$I$89,3,0)*0.475*44/12</f>
        <v>8.3866141403226671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16.985198036302776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3.4106051316484809E-13</v>
      </c>
      <c r="BE147" s="13">
        <f>BD147*VLOOKUP('Données projet'!$B$11,Paramètres!$A$1:$I$89,3,0)*VLOOKUP('Données projet'!$B$11,Paramètres!$A$1:$I$89,5,0)</f>
        <v>1.5961632016114892E-13</v>
      </c>
      <c r="BF147" s="13">
        <f t="shared" si="145"/>
        <v>2.2708641912150958E-12</v>
      </c>
      <c r="BG147" s="20">
        <f t="shared" si="115"/>
        <v>4.2330868906469593E-12</v>
      </c>
      <c r="BH147" s="59">
        <f t="shared" si="116"/>
        <v>293.33333333333752</v>
      </c>
      <c r="BI147" s="59">
        <f ca="1">AVERAGE(OFFSET($BH$3,0,0,'Données projet'!$E$11+1,1))-AVERAGE(OFFSET($H$3,0,0,'Données projet'!$E$11+1,1))</f>
        <v>207.25176714718668</v>
      </c>
      <c r="BJ147" s="59">
        <f t="shared" si="146"/>
        <v>191.53228014642559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80.93802716756484</v>
      </c>
      <c r="BQ147" s="21">
        <f>EXP(-LN(2)/25)*BQ146+(1-EXP(-LN(2)/25))/(LN(2)/25)*Calculateur!BL147*Calculateur!BN147*VLOOKUP('Données projet'!$B$11,Paramètres!$A$1:$I$89,3,0)*0.475*44/12</f>
        <v>14.895917259347152</v>
      </c>
      <c r="BR147" s="21">
        <f>EXP(-LN(2)/2)*BR146+(1-EXP(-LN(2)/2))/(LN(2)/2)*BL147*BO147*VLOOKUP('Données projet'!$B$11,Paramètres!$A$1:$I$89,3,0)*0.475*44/12</f>
        <v>2.9923104239451287E-5</v>
      </c>
      <c r="BS147" s="22">
        <f t="shared" si="117"/>
        <v>95.833974350016234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68.620424404221751</v>
      </c>
      <c r="CE147" s="59">
        <f t="shared" si="148"/>
        <v>203.12945099478918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4.059424525956099</v>
      </c>
      <c r="CL147" s="21">
        <f>EXP(-LN(2)/25)*CL146+(1-EXP(-LN(2)/25))/(LN(2)/25)*Calculateur!CG147*Calculateur!CI147*VLOOKUP('Données projet'!$B$12,Paramètres!$A$1:$I$89,3,0)*0.475*44/12</f>
        <v>0.32444555161289584</v>
      </c>
      <c r="CM147" s="21">
        <f>EXP(-LN(2)/2)*CM146+(1-EXP(-LN(2)/2))/(LN(2)/2)*CG147*CJ147*VLOOKUP('Données projet'!$B$12,Paramètres!$A$1:$I$89,3,0)*0.475*44/12</f>
        <v>3.1272324352493283E-18</v>
      </c>
      <c r="CN147" s="22">
        <f t="shared" si="120"/>
        <v>4.3838700775689947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-2.8421709430404007E-13</v>
      </c>
      <c r="CU147" s="17">
        <f>CT147*VLOOKUP('Données projet'!$B$13,Paramètres!$A$1:$I$89,3,0)*VLOOKUP('Données projet'!$B$13,Paramètres!$A$1:$I$89,5,0)</f>
        <v>-1.69961822393816E-13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196.25918971690442</v>
      </c>
      <c r="CZ147" s="59">
        <f t="shared" si="150"/>
        <v>148.35701313170205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52.709153312014585</v>
      </c>
      <c r="DG147" s="21">
        <f>EXP(-LN(2)/25)*DG146+(1-EXP(-LN(2)/25))/(LN(2)/25)*Calculateur!DB147*Calculateur!DD147*VLOOKUP('Données projet'!$B$13,Paramètres!$A$1:$I$89,3,0)*0.475*44/12</f>
        <v>11.448538895215268</v>
      </c>
      <c r="DH147" s="21">
        <f>EXP(-LN(2)/2)*DH146+(1-EXP(-LN(2)/2))/(LN(2)/2)*DB147*DE147*VLOOKUP('Données projet'!$B$13,Paramètres!$A$1:$I$89,3,0)*0.475*44/12</f>
        <v>1.2240845985065575E-5</v>
      </c>
      <c r="DI147" s="22">
        <f t="shared" si="123"/>
        <v>64.157704448075847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11">
        <f t="shared" si="140"/>
        <v>19.141063649731827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67">
        <f t="shared" si="110"/>
        <v>444.86018585661668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180.31844548479722</v>
      </c>
      <c r="T148" s="59">
        <f t="shared" si="142"/>
        <v>273.83237400307223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15.474611512764428</v>
      </c>
      <c r="AA148" s="21">
        <f>EXP(-LN(2)/25)*AA147+(1-EXP(-LN(2)/25))/(LN(2)/25)*Calculateur!V148*Calculateur!X148*VLOOKUP('Données projet'!$B$9,Paramètres!$A$1:$I$89,3,0)*0.475*44/12</f>
        <v>13.699597912539213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29.174209425303641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-5.6843418860808015E-14</v>
      </c>
      <c r="AJ148" s="13">
        <f>AI148*VLOOKUP('Données projet'!$B$10,Paramètres!$A$1:$I$89,3,0)*VLOOKUP('Données projet'!$B$10,Paramètres!$A$1:$I$89,5,0)</f>
        <v>-3.1036506698001178E-14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160.54301845388551</v>
      </c>
      <c r="AO148" s="59">
        <f t="shared" si="144"/>
        <v>272.6634844951584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8.4299709103982519</v>
      </c>
      <c r="AV148" s="21">
        <f>EXP(-LN(2)/25)*AV147+(1-EXP(-LN(2)/25))/(LN(2)/25)*Calculateur!AQ148*Calculateur!AS148*VLOOKUP('Données projet'!$B$10,Paramètres!$A$1:$I$89,3,0)*0.475*44/12</f>
        <v>8.1572817356226732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16.587252646020925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3.4106051316484809E-13</v>
      </c>
      <c r="BE148" s="13">
        <f>BD148*VLOOKUP('Données projet'!$B$11,Paramètres!$A$1:$I$89,3,0)*VLOOKUP('Données projet'!$B$11,Paramètres!$A$1:$I$89,5,0)</f>
        <v>1.5961632016114892E-13</v>
      </c>
      <c r="BF148" s="13">
        <f t="shared" si="145"/>
        <v>2.2708641912150958E-12</v>
      </c>
      <c r="BG148" s="20">
        <f t="shared" si="115"/>
        <v>4.2330868906469593E-12</v>
      </c>
      <c r="BH148" s="59">
        <f t="shared" si="116"/>
        <v>293.33333333333752</v>
      </c>
      <c r="BI148" s="59">
        <f ca="1">AVERAGE(OFFSET($BH$3,0,0,'Données projet'!$E$11+1,1))-AVERAGE(OFFSET($H$3,0,0,'Données projet'!$E$11+1,1))</f>
        <v>207.25176714718668</v>
      </c>
      <c r="BJ148" s="59">
        <f t="shared" si="146"/>
        <v>191.53228014642559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79.350881822130845</v>
      </c>
      <c r="BQ148" s="21">
        <f>EXP(-LN(2)/25)*BQ147+(1-EXP(-LN(2)/25))/(LN(2)/25)*Calculateur!BL148*Calculateur!BN148*VLOOKUP('Données projet'!$B$11,Paramètres!$A$1:$I$89,3,0)*0.475*44/12</f>
        <v>14.488587618548062</v>
      </c>
      <c r="BR148" s="21">
        <f>EXP(-LN(2)/2)*BR147+(1-EXP(-LN(2)/2))/(LN(2)/2)*BL148*BO148*VLOOKUP('Données projet'!$B$11,Paramètres!$A$1:$I$89,3,0)*0.475*44/12</f>
        <v>2.1158829921867936E-5</v>
      </c>
      <c r="BS148" s="22">
        <f t="shared" si="117"/>
        <v>93.839490599508835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68.620424404221751</v>
      </c>
      <c r="CE148" s="59">
        <f t="shared" si="148"/>
        <v>203.12945099478918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3.9798216870065755</v>
      </c>
      <c r="CL148" s="21">
        <f>EXP(-LN(2)/25)*CL147+(1-EXP(-LN(2)/25))/(LN(2)/25)*Calculateur!CG148*Calculateur!CI148*VLOOKUP('Données projet'!$B$12,Paramètres!$A$1:$I$89,3,0)*0.475*44/12</f>
        <v>0.31557357094219118</v>
      </c>
      <c r="CM148" s="21">
        <f>EXP(-LN(2)/2)*CM147+(1-EXP(-LN(2)/2))/(LN(2)/2)*CG148*CJ148*VLOOKUP('Données projet'!$B$12,Paramètres!$A$1:$I$89,3,0)*0.475*44/12</f>
        <v>2.2112872613113209E-18</v>
      </c>
      <c r="CN148" s="22">
        <f t="shared" si="120"/>
        <v>4.2953952579487664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-2.8421709430404007E-13</v>
      </c>
      <c r="CU148" s="17">
        <f>CT148*VLOOKUP('Données projet'!$B$13,Paramètres!$A$1:$I$89,3,0)*VLOOKUP('Données projet'!$B$13,Paramètres!$A$1:$I$89,5,0)</f>
        <v>-1.69961822393816E-13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196.25918971690442</v>
      </c>
      <c r="CZ148" s="59">
        <f t="shared" si="150"/>
        <v>148.35701313170205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51.675558964975011</v>
      </c>
      <c r="DG148" s="21">
        <f>EXP(-LN(2)/25)*DG147+(1-EXP(-LN(2)/25))/(LN(2)/25)*Calculateur!DB148*Calculateur!DD148*VLOOKUP('Données projet'!$B$13,Paramètres!$A$1:$I$89,3,0)*0.475*44/12</f>
        <v>11.135477997073112</v>
      </c>
      <c r="DH148" s="21">
        <f>EXP(-LN(2)/2)*DH147+(1-EXP(-LN(2)/2))/(LN(2)/2)*DB148*DE148*VLOOKUP('Données projet'!$B$13,Paramètres!$A$1:$I$89,3,0)*0.475*44/12</f>
        <v>8.6555852034999921E-6</v>
      </c>
      <c r="DI148" s="22">
        <f t="shared" si="123"/>
        <v>62.811045617633326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11">
        <f t="shared" si="140"/>
        <v>19.257658633553223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67">
        <f t="shared" si="110"/>
        <v>445.87835545343899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180.31844548479722</v>
      </c>
      <c r="T149" s="59">
        <f t="shared" si="142"/>
        <v>273.83237400307223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15.171163819580158</v>
      </c>
      <c r="AA149" s="21">
        <f>EXP(-LN(2)/25)*AA148+(1-EXP(-LN(2)/25))/(LN(2)/25)*Calculateur!V149*Calculateur!X149*VLOOKUP('Données projet'!$B$9,Paramètres!$A$1:$I$89,3,0)*0.475*44/12</f>
        <v>13.324981687190284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28.496145506770443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-5.6843418860808015E-14</v>
      </c>
      <c r="AJ149" s="13">
        <f>AI149*VLOOKUP('Données projet'!$B$10,Paramètres!$A$1:$I$89,3,0)*VLOOKUP('Données projet'!$B$10,Paramètres!$A$1:$I$89,5,0)</f>
        <v>-3.1036506698001178E-14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160.54301845388551</v>
      </c>
      <c r="AO149" s="59">
        <f t="shared" si="144"/>
        <v>272.6634844951584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8.2646643226198897</v>
      </c>
      <c r="AV149" s="21">
        <f>EXP(-LN(2)/25)*AV148+(1-EXP(-LN(2)/25))/(LN(2)/25)*Calculateur!AQ149*Calculateur!AS149*VLOOKUP('Données projet'!$B$10,Paramètres!$A$1:$I$89,3,0)*0.475*44/12</f>
        <v>7.9342204375892686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16.198884760209157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3.4106051316484809E-13</v>
      </c>
      <c r="BE149" s="13">
        <f>BD149*VLOOKUP('Données projet'!$B$11,Paramètres!$A$1:$I$89,3,0)*VLOOKUP('Données projet'!$B$11,Paramètres!$A$1:$I$89,5,0)</f>
        <v>1.5961632016114892E-13</v>
      </c>
      <c r="BF149" s="13">
        <f t="shared" si="145"/>
        <v>2.2708641912150958E-12</v>
      </c>
      <c r="BG149" s="20">
        <f t="shared" si="115"/>
        <v>4.2330868906469593E-12</v>
      </c>
      <c r="BH149" s="59">
        <f t="shared" si="116"/>
        <v>293.33333333333752</v>
      </c>
      <c r="BI149" s="59">
        <f ca="1">AVERAGE(OFFSET($BH$3,0,0,'Données projet'!$E$11+1,1))-AVERAGE(OFFSET($H$3,0,0,'Données projet'!$E$11+1,1))</f>
        <v>207.25176714718668</v>
      </c>
      <c r="BJ149" s="59">
        <f t="shared" si="146"/>
        <v>191.53228014642559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77.794859428857734</v>
      </c>
      <c r="BQ149" s="21">
        <f>EXP(-LN(2)/25)*BQ148+(1-EXP(-LN(2)/25))/(LN(2)/25)*Calculateur!BL149*Calculateur!BN149*VLOOKUP('Données projet'!$B$11,Paramètres!$A$1:$I$89,3,0)*0.475*44/12</f>
        <v>14.092396428197157</v>
      </c>
      <c r="BR149" s="21">
        <f>EXP(-LN(2)/2)*BR148+(1-EXP(-LN(2)/2))/(LN(2)/2)*BL149*BO149*VLOOKUP('Données projet'!$B$11,Paramètres!$A$1:$I$89,3,0)*0.475*44/12</f>
        <v>1.4961552119725647E-5</v>
      </c>
      <c r="BS149" s="22">
        <f t="shared" si="117"/>
        <v>91.887270818607021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68.620424404221751</v>
      </c>
      <c r="CE149" s="59">
        <f t="shared" si="148"/>
        <v>203.12945099478918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3.9017798111759148</v>
      </c>
      <c r="CL149" s="21">
        <f>EXP(-LN(2)/25)*CL148+(1-EXP(-LN(2)/25))/(LN(2)/25)*Calculateur!CG149*Calculateur!CI149*VLOOKUP('Données projet'!$B$12,Paramètres!$A$1:$I$89,3,0)*0.475*44/12</f>
        <v>0.30694419504948411</v>
      </c>
      <c r="CM149" s="21">
        <f>EXP(-LN(2)/2)*CM148+(1-EXP(-LN(2)/2))/(LN(2)/2)*CG149*CJ149*VLOOKUP('Données projet'!$B$12,Paramètres!$A$1:$I$89,3,0)*0.475*44/12</f>
        <v>1.5636162176246641E-18</v>
      </c>
      <c r="CN149" s="22">
        <f t="shared" si="120"/>
        <v>4.208724006225399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-2.8421709430404007E-13</v>
      </c>
      <c r="CU149" s="17">
        <f>CT149*VLOOKUP('Données projet'!$B$13,Paramètres!$A$1:$I$89,3,0)*VLOOKUP('Données projet'!$B$13,Paramètres!$A$1:$I$89,5,0)</f>
        <v>-1.69961822393816E-13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196.25918971690442</v>
      </c>
      <c r="CZ149" s="59">
        <f t="shared" si="150"/>
        <v>148.35701313170205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50.662232772650576</v>
      </c>
      <c r="DG149" s="21">
        <f>EXP(-LN(2)/25)*DG148+(1-EXP(-LN(2)/25))/(LN(2)/25)*Calculateur!DB149*Calculateur!DD149*VLOOKUP('Données projet'!$B$13,Paramètres!$A$1:$I$89,3,0)*0.475*44/12</f>
        <v>10.83097776565381</v>
      </c>
      <c r="DH149" s="21">
        <f>EXP(-LN(2)/2)*DH148+(1-EXP(-LN(2)/2))/(LN(2)/2)*DB149*DE149*VLOOKUP('Données projet'!$B$13,Paramètres!$A$1:$I$89,3,0)*0.475*44/12</f>
        <v>6.1204229925327874E-6</v>
      </c>
      <c r="DI149" s="22">
        <f t="shared" si="123"/>
        <v>61.493216658727377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11">
        <f t="shared" si="140"/>
        <v>19.374160697102795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67">
        <f t="shared" si="110"/>
        <v>446.89636321412115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180.31844548479722</v>
      </c>
      <c r="T150" s="59">
        <f t="shared" si="142"/>
        <v>273.83237400307223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14.873666550574415</v>
      </c>
      <c r="AA150" s="21">
        <f>EXP(-LN(2)/25)*AA149+(1-EXP(-LN(2)/25))/(LN(2)/25)*Calculateur!V150*Calculateur!X150*VLOOKUP('Données projet'!$B$9,Paramètres!$A$1:$I$89,3,0)*0.475*44/12</f>
        <v>12.960609362223733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27.834275912798148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-5.6843418860808015E-14</v>
      </c>
      <c r="AJ150" s="13">
        <f>AI150*VLOOKUP('Données projet'!$B$10,Paramètres!$A$1:$I$89,3,0)*VLOOKUP('Données projet'!$B$10,Paramètres!$A$1:$I$89,5,0)</f>
        <v>-3.1036506698001178E-14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160.54301845388551</v>
      </c>
      <c r="AO150" s="59">
        <f t="shared" si="144"/>
        <v>272.6634844951584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8.1025992962007987</v>
      </c>
      <c r="AV150" s="21">
        <f>EXP(-LN(2)/25)*AV149+(1-EXP(-LN(2)/25))/(LN(2)/25)*Calculateur!AQ150*Calculateur!AS150*VLOOKUP('Données projet'!$B$10,Paramètres!$A$1:$I$89,3,0)*0.475*44/12</f>
        <v>7.7172587624808715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15.819858058681671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3.4106051316484809E-13</v>
      </c>
      <c r="BE150" s="13">
        <f>BD150*VLOOKUP('Données projet'!$B$11,Paramètres!$A$1:$I$89,3,0)*VLOOKUP('Données projet'!$B$11,Paramètres!$A$1:$I$89,5,0)</f>
        <v>1.5961632016114892E-13</v>
      </c>
      <c r="BF150" s="13">
        <f t="shared" si="145"/>
        <v>2.2708641912150958E-12</v>
      </c>
      <c r="BG150" s="20">
        <f t="shared" si="115"/>
        <v>4.2330868906469593E-12</v>
      </c>
      <c r="BH150" s="59">
        <f t="shared" si="116"/>
        <v>293.33333333333752</v>
      </c>
      <c r="BI150" s="59">
        <f ca="1">AVERAGE(OFFSET($BH$3,0,0,'Données projet'!$E$11+1,1))-AVERAGE(OFFSET($H$3,0,0,'Données projet'!$E$11+1,1))</f>
        <v>207.25176714718668</v>
      </c>
      <c r="BJ150" s="59">
        <f t="shared" si="146"/>
        <v>191.53228014642559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76.269349685636769</v>
      </c>
      <c r="BQ150" s="21">
        <f>EXP(-LN(2)/25)*BQ149+(1-EXP(-LN(2)/25))/(LN(2)/25)*Calculateur!BL150*Calculateur!BN150*VLOOKUP('Données projet'!$B$11,Paramètres!$A$1:$I$89,3,0)*0.475*44/12</f>
        <v>13.707039106781187</v>
      </c>
      <c r="BR150" s="21">
        <f>EXP(-LN(2)/2)*BR149+(1-EXP(-LN(2)/2))/(LN(2)/2)*BL150*BO150*VLOOKUP('Données projet'!$B$11,Paramètres!$A$1:$I$89,3,0)*0.475*44/12</f>
        <v>1.057941496093397E-5</v>
      </c>
      <c r="BS150" s="22">
        <f t="shared" si="117"/>
        <v>89.976399371832912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68.620424404221751</v>
      </c>
      <c r="CE150" s="59">
        <f t="shared" si="148"/>
        <v>203.12945099478918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3.8252682889294491</v>
      </c>
      <c r="CL150" s="21">
        <f>EXP(-LN(2)/25)*CL149+(1-EXP(-LN(2)/25))/(LN(2)/25)*Calculateur!CG150*Calculateur!CI150*VLOOKUP('Données projet'!$B$12,Paramètres!$A$1:$I$89,3,0)*0.475*44/12</f>
        <v>0.29855078989436229</v>
      </c>
      <c r="CM150" s="21">
        <f>EXP(-LN(2)/2)*CM149+(1-EXP(-LN(2)/2))/(LN(2)/2)*CG150*CJ150*VLOOKUP('Données projet'!$B$12,Paramètres!$A$1:$I$89,3,0)*0.475*44/12</f>
        <v>1.1056436306556605E-18</v>
      </c>
      <c r="CN150" s="22">
        <f t="shared" si="120"/>
        <v>4.1238190788238116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-2.8421709430404007E-13</v>
      </c>
      <c r="CU150" s="17">
        <f>CT150*VLOOKUP('Données projet'!$B$13,Paramètres!$A$1:$I$89,3,0)*VLOOKUP('Données projet'!$B$13,Paramètres!$A$1:$I$89,5,0)</f>
        <v>-1.69961822393816E-13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196.25918971690442</v>
      </c>
      <c r="CZ150" s="59">
        <f t="shared" si="150"/>
        <v>148.35701313170205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49.668777288889679</v>
      </c>
      <c r="DG150" s="21">
        <f>EXP(-LN(2)/25)*DG149+(1-EXP(-LN(2)/25))/(LN(2)/25)*Calculateur!DB150*Calculateur!DD150*VLOOKUP('Données projet'!$B$13,Paramètres!$A$1:$I$89,3,0)*0.475*44/12</f>
        <v>10.53480410907564</v>
      </c>
      <c r="DH150" s="21">
        <f>EXP(-LN(2)/2)*DH149+(1-EXP(-LN(2)/2))/(LN(2)/2)*DB150*DE150*VLOOKUP('Données projet'!$B$13,Paramètres!$A$1:$I$89,3,0)*0.475*44/12</f>
        <v>4.327792601749996E-6</v>
      </c>
      <c r="DI150" s="22">
        <f t="shared" si="123"/>
        <v>60.203585725757925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11">
        <f t="shared" si="140"/>
        <v>19.490570545800512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67">
        <f t="shared" si="110"/>
        <v>447.91421036726967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180.31844548479722</v>
      </c>
      <c r="T151" s="59">
        <f t="shared" si="142"/>
        <v>273.83237400307223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14.582003021558457</v>
      </c>
      <c r="AA151" s="21">
        <f>EXP(-LN(2)/25)*AA150+(1-EXP(-LN(2)/25))/(LN(2)/25)*Calculateur!V151*Calculateur!X151*VLOOKUP('Données projet'!$B$9,Paramètres!$A$1:$I$89,3,0)*0.475*44/12</f>
        <v>12.606200817644901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27.188203839203357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-5.6843418860808015E-14</v>
      </c>
      <c r="AJ151" s="13">
        <f>AI151*VLOOKUP('Données projet'!$B$10,Paramètres!$A$1:$I$89,3,0)*VLOOKUP('Données projet'!$B$10,Paramètres!$A$1:$I$89,5,0)</f>
        <v>-3.1036506698001178E-14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160.54301845388551</v>
      </c>
      <c r="AO151" s="59">
        <f t="shared" si="144"/>
        <v>272.6634844951584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7.9437122660998805</v>
      </c>
      <c r="AV151" s="21">
        <f>EXP(-LN(2)/25)*AV150+(1-EXP(-LN(2)/25))/(LN(2)/25)*Calculateur!AQ151*Calculateur!AS151*VLOOKUP('Données projet'!$B$10,Paramètres!$A$1:$I$89,3,0)*0.475*44/12</f>
        <v>7.5062299157878316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15.449942181887712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3.4106051316484809E-13</v>
      </c>
      <c r="BE151" s="13">
        <f>BD151*VLOOKUP('Données projet'!$B$11,Paramètres!$A$1:$I$89,3,0)*VLOOKUP('Données projet'!$B$11,Paramètres!$A$1:$I$89,5,0)</f>
        <v>1.5961632016114892E-13</v>
      </c>
      <c r="BF151" s="13">
        <f t="shared" si="145"/>
        <v>2.2708641912150958E-12</v>
      </c>
      <c r="BG151" s="20">
        <f t="shared" si="115"/>
        <v>4.2330868906469593E-12</v>
      </c>
      <c r="BH151" s="59">
        <f t="shared" si="116"/>
        <v>293.33333333333752</v>
      </c>
      <c r="BI151" s="59">
        <f ca="1">AVERAGE(OFFSET($BH$3,0,0,'Données projet'!$E$11+1,1))-AVERAGE(OFFSET($H$3,0,0,'Données projet'!$E$11+1,1))</f>
        <v>207.25176714718668</v>
      </c>
      <c r="BJ151" s="59">
        <f t="shared" si="146"/>
        <v>191.53228014642559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74.773754258011294</v>
      </c>
      <c r="BQ151" s="21">
        <f>EXP(-LN(2)/25)*BQ150+(1-EXP(-LN(2)/25))/(LN(2)/25)*Calculateur!BL151*Calculateur!BN151*VLOOKUP('Données projet'!$B$11,Paramètres!$A$1:$I$89,3,0)*0.475*44/12</f>
        <v>13.332219401584396</v>
      </c>
      <c r="BR151" s="21">
        <f>EXP(-LN(2)/2)*BR150+(1-EXP(-LN(2)/2))/(LN(2)/2)*BL151*BO151*VLOOKUP('Données projet'!$B$11,Paramètres!$A$1:$I$89,3,0)*0.475*44/12</f>
        <v>7.4807760598628243E-6</v>
      </c>
      <c r="BS151" s="22">
        <f t="shared" si="117"/>
        <v>88.105981140371753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68.620424404221751</v>
      </c>
      <c r="CE151" s="59">
        <f t="shared" si="148"/>
        <v>203.12945099478918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3.7502571109668161</v>
      </c>
      <c r="CL151" s="21">
        <f>EXP(-LN(2)/25)*CL150+(1-EXP(-LN(2)/25))/(LN(2)/25)*Calculateur!CG151*Calculateur!CI151*VLOOKUP('Données projet'!$B$12,Paramètres!$A$1:$I$89,3,0)*0.475*44/12</f>
        <v>0.29038690284459728</v>
      </c>
      <c r="CM151" s="21">
        <f>EXP(-LN(2)/2)*CM150+(1-EXP(-LN(2)/2))/(LN(2)/2)*CG151*CJ151*VLOOKUP('Données projet'!$B$12,Paramètres!$A$1:$I$89,3,0)*0.475*44/12</f>
        <v>7.8180810881233207E-19</v>
      </c>
      <c r="CN151" s="22">
        <f t="shared" si="120"/>
        <v>4.0406440138114137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-2.8421709430404007E-13</v>
      </c>
      <c r="CU151" s="17">
        <f>CT151*VLOOKUP('Données projet'!$B$13,Paramètres!$A$1:$I$89,3,0)*VLOOKUP('Données projet'!$B$13,Paramètres!$A$1:$I$89,5,0)</f>
        <v>-1.69961822393816E-13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196.25918971690442</v>
      </c>
      <c r="CZ151" s="59">
        <f t="shared" si="150"/>
        <v>148.35701313170205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48.694802861217319</v>
      </c>
      <c r="DG151" s="21">
        <f>EXP(-LN(2)/25)*DG150+(1-EXP(-LN(2)/25))/(LN(2)/25)*Calculateur!DB151*Calculateur!DD151*VLOOKUP('Données projet'!$B$13,Paramètres!$A$1:$I$89,3,0)*0.475*44/12</f>
        <v>10.246729336711697</v>
      </c>
      <c r="DH151" s="21">
        <f>EXP(-LN(2)/2)*DH150+(1-EXP(-LN(2)/2))/(LN(2)/2)*DB151*DE151*VLOOKUP('Données projet'!$B$13,Paramètres!$A$1:$I$89,3,0)*0.475*44/12</f>
        <v>3.0602114962663937E-6</v>
      </c>
      <c r="DI151" s="22">
        <f t="shared" si="123"/>
        <v>58.941535258140512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11">
        <f t="shared" si="140"/>
        <v>19.606888874982584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67">
        <f t="shared" si="110"/>
        <v>448.93189812392848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180.31844548479722</v>
      </c>
      <c r="T152" s="59">
        <f t="shared" si="142"/>
        <v>273.83237400307223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14.296058836449316</v>
      </c>
      <c r="AA152" s="21">
        <f>EXP(-LN(2)/25)*AA151+(1-EXP(-LN(2)/25))/(LN(2)/25)*Calculateur!V152*Calculateur!X152*VLOOKUP('Données projet'!$B$9,Paramètres!$A$1:$I$89,3,0)*0.475*44/12</f>
        <v>12.261483593355111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26.557542429804428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-5.6843418860808015E-14</v>
      </c>
      <c r="AJ152" s="13">
        <f>AI152*VLOOKUP('Données projet'!$B$10,Paramètres!$A$1:$I$89,3,0)*VLOOKUP('Données projet'!$B$10,Paramètres!$A$1:$I$89,5,0)</f>
        <v>-3.1036506698001178E-14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160.54301845388551</v>
      </c>
      <c r="AO152" s="59">
        <f t="shared" si="144"/>
        <v>272.6634844951584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7.7879409137477218</v>
      </c>
      <c r="AV152" s="21">
        <f>EXP(-LN(2)/25)*AV151+(1-EXP(-LN(2)/25))/(LN(2)/25)*Calculateur!AQ152*Calculateur!AS152*VLOOKUP('Données projet'!$B$10,Paramètres!$A$1:$I$89,3,0)*0.475*44/12</f>
        <v>7.3009716640051376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15.088912577752859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3.4106051316484809E-13</v>
      </c>
      <c r="BE152" s="13">
        <f>BD152*VLOOKUP('Données projet'!$B$11,Paramètres!$A$1:$I$89,3,0)*VLOOKUP('Données projet'!$B$11,Paramètres!$A$1:$I$89,5,0)</f>
        <v>1.5961632016114892E-13</v>
      </c>
      <c r="BF152" s="13">
        <f t="shared" si="145"/>
        <v>2.2708641912150958E-12</v>
      </c>
      <c r="BG152" s="20">
        <f t="shared" si="115"/>
        <v>4.2330868906469593E-12</v>
      </c>
      <c r="BH152" s="59">
        <f t="shared" si="116"/>
        <v>293.33333333333752</v>
      </c>
      <c r="BI152" s="59">
        <f ca="1">AVERAGE(OFFSET($BH$3,0,0,'Données projet'!$E$11+1,1))-AVERAGE(OFFSET($H$3,0,0,'Données projet'!$E$11+1,1))</f>
        <v>207.25176714718668</v>
      </c>
      <c r="BJ152" s="59">
        <f t="shared" si="146"/>
        <v>191.53228014642559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73.307486544498431</v>
      </c>
      <c r="BQ152" s="21">
        <f>EXP(-LN(2)/25)*BQ151+(1-EXP(-LN(2)/25))/(LN(2)/25)*Calculateur!BL152*Calculateur!BN152*VLOOKUP('Données projet'!$B$11,Paramètres!$A$1:$I$89,3,0)*0.475*44/12</f>
        <v>12.967649160937123</v>
      </c>
      <c r="BR152" s="21">
        <f>EXP(-LN(2)/2)*BR151+(1-EXP(-LN(2)/2))/(LN(2)/2)*BL152*BO152*VLOOKUP('Données projet'!$B$11,Paramètres!$A$1:$I$89,3,0)*0.475*44/12</f>
        <v>5.2897074804669857E-6</v>
      </c>
      <c r="BS152" s="22">
        <f t="shared" si="117"/>
        <v>86.275140995143033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68.620424404221751</v>
      </c>
      <c r="CE152" s="59">
        <f t="shared" si="148"/>
        <v>203.12945099478918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3.6767168564517294</v>
      </c>
      <c r="CL152" s="21">
        <f>EXP(-LN(2)/25)*CL151+(1-EXP(-LN(2)/25))/(LN(2)/25)*Calculateur!CG152*Calculateur!CI152*VLOOKUP('Données projet'!$B$12,Paramètres!$A$1:$I$89,3,0)*0.475*44/12</f>
        <v>0.28244625771552823</v>
      </c>
      <c r="CM152" s="21">
        <f>EXP(-LN(2)/2)*CM151+(1-EXP(-LN(2)/2))/(LN(2)/2)*CG152*CJ152*VLOOKUP('Données projet'!$B$12,Paramètres!$A$1:$I$89,3,0)*0.475*44/12</f>
        <v>5.5282181532783023E-19</v>
      </c>
      <c r="CN152" s="22">
        <f t="shared" si="120"/>
        <v>3.9591631141672576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-2.8421709430404007E-13</v>
      </c>
      <c r="CU152" s="17">
        <f>CT152*VLOOKUP('Données projet'!$B$13,Paramètres!$A$1:$I$89,3,0)*VLOOKUP('Données projet'!$B$13,Paramètres!$A$1:$I$89,5,0)</f>
        <v>-1.69961822393816E-13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196.25918971690442</v>
      </c>
      <c r="CZ152" s="59">
        <f t="shared" si="150"/>
        <v>148.35701313170205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47.739927478005875</v>
      </c>
      <c r="DG152" s="21">
        <f>EXP(-LN(2)/25)*DG151+(1-EXP(-LN(2)/25))/(LN(2)/25)*Calculateur!DB152*Calculateur!DD152*VLOOKUP('Données projet'!$B$13,Paramètres!$A$1:$I$89,3,0)*0.475*44/12</f>
        <v>9.9665319841472382</v>
      </c>
      <c r="DH152" s="21">
        <f>EXP(-LN(2)/2)*DH151+(1-EXP(-LN(2)/2))/(LN(2)/2)*DB152*DE152*VLOOKUP('Données projet'!$B$13,Paramètres!$A$1:$I$89,3,0)*0.475*44/12</f>
        <v>2.163896300874998E-6</v>
      </c>
      <c r="DI152" s="22">
        <f t="shared" si="123"/>
        <v>57.706461626049411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11">
        <f t="shared" si="140"/>
        <v>19.723116370112255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67">
        <f t="shared" si="110"/>
        <v>449.94942767794601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180.31844548479722</v>
      </c>
      <c r="T153" s="59">
        <f t="shared" si="142"/>
        <v>273.83237400307223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14.015721842401433</v>
      </c>
      <c r="AA153" s="21">
        <f>EXP(-LN(2)/25)*AA152+(1-EXP(-LN(2)/25))/(LN(2)/25)*Calculateur!V153*Calculateur!X153*VLOOKUP('Données projet'!$B$9,Paramètres!$A$1:$I$89,3,0)*0.475*44/12</f>
        <v>11.926192679691416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25.941914522092851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-5.6843418860808015E-14</v>
      </c>
      <c r="AJ153" s="13">
        <f>AI153*VLOOKUP('Données projet'!$B$10,Paramètres!$A$1:$I$89,3,0)*VLOOKUP('Données projet'!$B$10,Paramètres!$A$1:$I$89,5,0)</f>
        <v>-3.1036506698001178E-14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160.54301845388551</v>
      </c>
      <c r="AO153" s="59">
        <f t="shared" si="144"/>
        <v>272.6634844951584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7.6352241426040459</v>
      </c>
      <c r="AV153" s="21">
        <f>EXP(-LN(2)/25)*AV152+(1-EXP(-LN(2)/25))/(LN(2)/25)*Calculateur!AQ153*Calculateur!AS153*VLOOKUP('Données projet'!$B$10,Paramètres!$A$1:$I$89,3,0)*0.475*44/12</f>
        <v>7.1013262099115035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14.73655035251555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3.4106051316484809E-13</v>
      </c>
      <c r="BE153" s="13">
        <f>BD153*VLOOKUP('Données projet'!$B$11,Paramètres!$A$1:$I$89,3,0)*VLOOKUP('Données projet'!$B$11,Paramètres!$A$1:$I$89,5,0)</f>
        <v>1.5961632016114892E-13</v>
      </c>
      <c r="BF153" s="13">
        <f t="shared" si="145"/>
        <v>2.2708641912150958E-12</v>
      </c>
      <c r="BG153" s="20">
        <f t="shared" si="115"/>
        <v>4.2330868906469593E-12</v>
      </c>
      <c r="BH153" s="59">
        <f t="shared" si="116"/>
        <v>293.33333333333752</v>
      </c>
      <c r="BI153" s="59">
        <f ca="1">AVERAGE(OFFSET($BH$3,0,0,'Données projet'!$E$11+1,1))-AVERAGE(OFFSET($H$3,0,0,'Données projet'!$E$11+1,1))</f>
        <v>207.25176714718668</v>
      </c>
      <c r="BJ153" s="59">
        <f t="shared" si="146"/>
        <v>191.53228014642559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71.869971446512551</v>
      </c>
      <c r="BQ153" s="21">
        <f>EXP(-LN(2)/25)*BQ152+(1-EXP(-LN(2)/25))/(LN(2)/25)*Calculateur!BL153*Calculateur!BN153*VLOOKUP('Données projet'!$B$11,Paramètres!$A$1:$I$89,3,0)*0.475*44/12</f>
        <v>12.613048112692265</v>
      </c>
      <c r="BR153" s="21">
        <f>EXP(-LN(2)/2)*BR152+(1-EXP(-LN(2)/2))/(LN(2)/2)*BL153*BO153*VLOOKUP('Données projet'!$B$11,Paramètres!$A$1:$I$89,3,0)*0.475*44/12</f>
        <v>3.7403880299314126E-6</v>
      </c>
      <c r="BS153" s="22">
        <f t="shared" si="117"/>
        <v>84.483023299592844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68.620424404221751</v>
      </c>
      <c r="CE153" s="59">
        <f t="shared" si="148"/>
        <v>203.12945099478918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3.6046186814725574</v>
      </c>
      <c r="CL153" s="21">
        <f>EXP(-LN(2)/25)*CL152+(1-EXP(-LN(2)/25))/(LN(2)/25)*Calculateur!CG153*Calculateur!CI153*VLOOKUP('Données projet'!$B$12,Paramètres!$A$1:$I$89,3,0)*0.475*44/12</f>
        <v>0.27472274994509394</v>
      </c>
      <c r="CM153" s="21">
        <f>EXP(-LN(2)/2)*CM152+(1-EXP(-LN(2)/2))/(LN(2)/2)*CG153*CJ153*VLOOKUP('Données projet'!$B$12,Paramètres!$A$1:$I$89,3,0)*0.475*44/12</f>
        <v>3.9090405440616604E-19</v>
      </c>
      <c r="CN153" s="22">
        <f t="shared" si="120"/>
        <v>3.8793414314176511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-2.8421709430404007E-13</v>
      </c>
      <c r="CU153" s="17">
        <f>CT153*VLOOKUP('Données projet'!$B$13,Paramètres!$A$1:$I$89,3,0)*VLOOKUP('Données projet'!$B$13,Paramètres!$A$1:$I$89,5,0)</f>
        <v>-1.69961822393816E-13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196.25918971690442</v>
      </c>
      <c r="CZ153" s="59">
        <f t="shared" si="150"/>
        <v>148.35701313170205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46.803776618642729</v>
      </c>
      <c r="DG153" s="21">
        <f>EXP(-LN(2)/25)*DG152+(1-EXP(-LN(2)/25))/(LN(2)/25)*Calculateur!DB153*Calculateur!DD153*VLOOKUP('Données projet'!$B$13,Paramètres!$A$1:$I$89,3,0)*0.475*44/12</f>
        <v>9.6939966429235938</v>
      </c>
      <c r="DH153" s="21">
        <f>EXP(-LN(2)/2)*DH152+(1-EXP(-LN(2)/2))/(LN(2)/2)*DB153*DE153*VLOOKUP('Données projet'!$B$13,Paramètres!$A$1:$I$89,3,0)*0.475*44/12</f>
        <v>1.5301057481331968E-6</v>
      </c>
      <c r="DI153" s="22">
        <f t="shared" si="123"/>
        <v>56.497774791672072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11">
        <f t="shared" si="140"/>
        <v>19.839253706984934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67">
        <f t="shared" si="110"/>
        <v>450.96680020633255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180.31844548479722</v>
      </c>
      <c r="T154" s="59">
        <f t="shared" si="142"/>
        <v>273.83237400307223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13.740882085818146</v>
      </c>
      <c r="AA154" s="21">
        <f>EXP(-LN(2)/25)*AA153+(1-EXP(-LN(2)/25))/(LN(2)/25)*Calculateur!V154*Calculateur!X154*VLOOKUP('Données projet'!$B$9,Paramètres!$A$1:$I$89,3,0)*0.475*44/12</f>
        <v>11.600070313694038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25.340952399512183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-5.6843418860808015E-14</v>
      </c>
      <c r="AJ154" s="13">
        <f>AI154*VLOOKUP('Données projet'!$B$10,Paramètres!$A$1:$I$89,3,0)*VLOOKUP('Données projet'!$B$10,Paramètres!$A$1:$I$89,5,0)</f>
        <v>-3.1036506698001178E-14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160.54301845388551</v>
      </c>
      <c r="AO154" s="59">
        <f t="shared" si="144"/>
        <v>272.6634844951584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7.4855020541944643</v>
      </c>
      <c r="AV154" s="21">
        <f>EXP(-LN(2)/25)*AV153+(1-EXP(-LN(2)/25))/(LN(2)/25)*Calculateur!AQ154*Calculateur!AS154*VLOOKUP('Données projet'!$B$10,Paramètres!$A$1:$I$89,3,0)*0.475*44/12</f>
        <v>6.9071400712589588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14.392642125453424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3.4106051316484809E-13</v>
      </c>
      <c r="BE154" s="13">
        <f>BD154*VLOOKUP('Données projet'!$B$11,Paramètres!$A$1:$I$89,3,0)*VLOOKUP('Données projet'!$B$11,Paramètres!$A$1:$I$89,5,0)</f>
        <v>1.5961632016114892E-13</v>
      </c>
      <c r="BF154" s="13">
        <f t="shared" ref="BF154:BF203" si="167">EXP(-1.0587+0.8836*LN(BE154)+0.284)</f>
        <v>2.2708641912150958E-12</v>
      </c>
      <c r="BG154" s="20">
        <f t="shared" ref="BG154:BG203" si="168">(BE154+BF154)*0.475*44/12</f>
        <v>4.2330868906469593E-12</v>
      </c>
      <c r="BH154" s="59">
        <f t="shared" si="116"/>
        <v>293.33333333333752</v>
      </c>
      <c r="BI154" s="59">
        <f ca="1">AVERAGE(OFFSET($BH$3,0,0,'Données projet'!$E$11+1,1))-AVERAGE(OFFSET($H$3,0,0,'Données projet'!$E$11+1,1))</f>
        <v>207.25176714718668</v>
      </c>
      <c r="BJ154" s="59">
        <f t="shared" si="146"/>
        <v>191.53228014642559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70.460645142800544</v>
      </c>
      <c r="BQ154" s="21">
        <f>EXP(-LN(2)/25)*BQ153+(1-EXP(-LN(2)/25))/(LN(2)/25)*Calculateur!BL154*Calculateur!BN154*VLOOKUP('Données projet'!$B$11,Paramètres!$A$1:$I$89,3,0)*0.475*44/12</f>
        <v>12.268143648759322</v>
      </c>
      <c r="BR154" s="21">
        <f>EXP(-LN(2)/2)*BR153+(1-EXP(-LN(2)/2))/(LN(2)/2)*BL154*BO154*VLOOKUP('Données projet'!$B$11,Paramètres!$A$1:$I$89,3,0)*0.475*44/12</f>
        <v>2.6448537402334933E-6</v>
      </c>
      <c r="BS154" s="22">
        <f t="shared" ref="BS154:BS203" si="169">SUM(BP154:BR154)</f>
        <v>82.728791436413601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68.620424404221751</v>
      </c>
      <c r="CE154" s="59">
        <f t="shared" si="148"/>
        <v>203.12945099478918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3.5339343077291825</v>
      </c>
      <c r="CL154" s="21">
        <f>EXP(-LN(2)/25)*CL153+(1-EXP(-LN(2)/25))/(LN(2)/25)*Calculateur!CG154*Calculateur!CI154*VLOOKUP('Données projet'!$B$12,Paramètres!$A$1:$I$89,3,0)*0.475*44/12</f>
        <v>0.26721044190080379</v>
      </c>
      <c r="CM154" s="21">
        <f>EXP(-LN(2)/2)*CM153+(1-EXP(-LN(2)/2))/(LN(2)/2)*CG154*CJ154*VLOOKUP('Données projet'!$B$12,Paramètres!$A$1:$I$89,3,0)*0.475*44/12</f>
        <v>2.7641090766391511E-19</v>
      </c>
      <c r="CN154" s="22">
        <f t="shared" ref="CN154:CN203" si="172">SUM(CK154:CM154)</f>
        <v>3.8011447496299864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-2.8421709430404007E-13</v>
      </c>
      <c r="CU154" s="17">
        <f>CT154*VLOOKUP('Données projet'!$B$13,Paramètres!$A$1:$I$89,3,0)*VLOOKUP('Données projet'!$B$13,Paramètres!$A$1:$I$89,5,0)</f>
        <v>-1.69961822393816E-13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196.25918971690442</v>
      </c>
      <c r="CZ154" s="59">
        <f t="shared" si="150"/>
        <v>148.35701313170205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45.885983106636054</v>
      </c>
      <c r="DG154" s="21">
        <f>EXP(-LN(2)/25)*DG153+(1-EXP(-LN(2)/25))/(LN(2)/25)*Calculateur!DB154*Calculateur!DD154*VLOOKUP('Données projet'!$B$13,Paramètres!$A$1:$I$89,3,0)*0.475*44/12</f>
        <v>9.4289137949377206</v>
      </c>
      <c r="DH154" s="21">
        <f>EXP(-LN(2)/2)*DH153+(1-EXP(-LN(2)/2))/(LN(2)/2)*DB154*DE154*VLOOKUP('Données projet'!$B$13,Paramètres!$A$1:$I$89,3,0)*0.475*44/12</f>
        <v>1.081948150437499E-6</v>
      </c>
      <c r="DI154" s="22">
        <f t="shared" ref="DI154:DI203" si="175">SUM(DF154:DH154)</f>
        <v>55.314897983521924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11">
        <f t="shared" si="140"/>
        <v>19.955301551927551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67">
        <f t="shared" si="110"/>
        <v>451.98401686960767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180.31844548479722</v>
      </c>
      <c r="T155" s="59">
        <f t="shared" si="142"/>
        <v>273.83237400307223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13.471431769225759</v>
      </c>
      <c r="AA155" s="21">
        <f>EXP(-LN(2)/25)*AA154+(1-EXP(-LN(2)/25))/(LN(2)/25)*Calculateur!V155*Calculateur!X155*VLOOKUP('Données projet'!$B$9,Paramètres!$A$1:$I$89,3,0)*0.475*44/12</f>
        <v>11.28286578094489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24.754297550170648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-5.6843418860808015E-14</v>
      </c>
      <c r="AJ155" s="13">
        <f>AI155*VLOOKUP('Données projet'!$B$10,Paramètres!$A$1:$I$89,3,0)*VLOOKUP('Données projet'!$B$10,Paramètres!$A$1:$I$89,5,0)</f>
        <v>-3.1036506698001178E-14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160.54301845388551</v>
      </c>
      <c r="AO155" s="59">
        <f t="shared" si="144"/>
        <v>272.6634844951584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7.3387159246171381</v>
      </c>
      <c r="AV155" s="21">
        <f>EXP(-LN(2)/25)*AV154+(1-EXP(-LN(2)/25))/(LN(2)/25)*Calculateur!AQ155*Calculateur!AS155*VLOOKUP('Données projet'!$B$10,Paramètres!$A$1:$I$89,3,0)*0.475*44/12</f>
        <v>6.7182639627796723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14.05697988739681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3.4106051316484809E-13</v>
      </c>
      <c r="BE155" s="13">
        <f>BD155*VLOOKUP('Données projet'!$B$11,Paramètres!$A$1:$I$89,3,0)*VLOOKUP('Données projet'!$B$11,Paramètres!$A$1:$I$89,5,0)</f>
        <v>1.5961632016114892E-13</v>
      </c>
      <c r="BF155" s="13">
        <f t="shared" si="167"/>
        <v>2.2708641912150958E-12</v>
      </c>
      <c r="BG155" s="20">
        <f t="shared" si="168"/>
        <v>4.2330868906469593E-12</v>
      </c>
      <c r="BH155" s="59">
        <f t="shared" si="116"/>
        <v>293.33333333333752</v>
      </c>
      <c r="BI155" s="59">
        <f ca="1">AVERAGE(OFFSET($BH$3,0,0,'Données projet'!$E$11+1,1))-AVERAGE(OFFSET($H$3,0,0,'Données projet'!$E$11+1,1))</f>
        <v>207.25176714718668</v>
      </c>
      <c r="BJ155" s="59">
        <f t="shared" si="146"/>
        <v>191.53228014642559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69.078954868300158</v>
      </c>
      <c r="BQ155" s="21">
        <f>EXP(-LN(2)/25)*BQ154+(1-EXP(-LN(2)/25))/(LN(2)/25)*Calculateur!BL155*Calculateur!BN155*VLOOKUP('Données projet'!$B$11,Paramètres!$A$1:$I$89,3,0)*0.475*44/12</f>
        <v>11.932670615530363</v>
      </c>
      <c r="BR155" s="21">
        <f>EXP(-LN(2)/2)*BR154+(1-EXP(-LN(2)/2))/(LN(2)/2)*BL155*BO155*VLOOKUP('Données projet'!$B$11,Paramètres!$A$1:$I$89,3,0)*0.475*44/12</f>
        <v>1.8701940149657067E-6</v>
      </c>
      <c r="BS155" s="22">
        <f t="shared" si="169"/>
        <v>81.01162735402454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68.620424404221751</v>
      </c>
      <c r="CE155" s="59">
        <f t="shared" si="148"/>
        <v>203.12945099478918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3.4646360114417041</v>
      </c>
      <c r="CL155" s="21">
        <f>EXP(-LN(2)/25)*CL154+(1-EXP(-LN(2)/25))/(LN(2)/25)*Calculateur!CG155*Calculateur!CI155*VLOOKUP('Données projet'!$B$12,Paramètres!$A$1:$I$89,3,0)*0.475*44/12</f>
        <v>0.25990355831503986</v>
      </c>
      <c r="CM155" s="21">
        <f>EXP(-LN(2)/2)*CM154+(1-EXP(-LN(2)/2))/(LN(2)/2)*CG155*CJ155*VLOOKUP('Données projet'!$B$12,Paramètres!$A$1:$I$89,3,0)*0.475*44/12</f>
        <v>1.9545202720308302E-19</v>
      </c>
      <c r="CN155" s="22">
        <f t="shared" si="172"/>
        <v>3.7245395697567441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-2.8421709430404007E-13</v>
      </c>
      <c r="CU155" s="17">
        <f>CT155*VLOOKUP('Données projet'!$B$13,Paramètres!$A$1:$I$89,3,0)*VLOOKUP('Données projet'!$B$13,Paramètres!$A$1:$I$89,5,0)</f>
        <v>-1.69961822393816E-13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196.25918971690442</v>
      </c>
      <c r="CZ155" s="59">
        <f t="shared" si="150"/>
        <v>148.35701313170205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44.986186965601064</v>
      </c>
      <c r="DG155" s="21">
        <f>EXP(-LN(2)/25)*DG154+(1-EXP(-LN(2)/25))/(LN(2)/25)*Calculateur!DB155*Calculateur!DD155*VLOOKUP('Données projet'!$B$13,Paramètres!$A$1:$I$89,3,0)*0.475*44/12</f>
        <v>9.1710796513701229</v>
      </c>
      <c r="DH155" s="21">
        <f>EXP(-LN(2)/2)*DH154+(1-EXP(-LN(2)/2))/(LN(2)/2)*DB155*DE155*VLOOKUP('Données projet'!$B$13,Paramètres!$A$1:$I$89,3,0)*0.475*44/12</f>
        <v>7.6505287406659842E-7</v>
      </c>
      <c r="DI155" s="22">
        <f t="shared" si="175"/>
        <v>54.15726738202406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11">
        <f t="shared" si="140"/>
        <v>20.071260561992666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67">
        <f t="shared" si="110"/>
        <v>453.00107881213773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180.31844548479722</v>
      </c>
      <c r="T156" s="59">
        <f t="shared" si="142"/>
        <v>273.83237400307223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13.207265208993284</v>
      </c>
      <c r="AA156" s="21">
        <f>EXP(-LN(2)/25)*AA155+(1-EXP(-LN(2)/25))/(LN(2)/25)*Calculateur!V156*Calculateur!X156*VLOOKUP('Données projet'!$B$9,Paramètres!$A$1:$I$89,3,0)*0.475*44/12</f>
        <v>10.974335222824829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24.181600431818111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-5.6843418860808015E-14</v>
      </c>
      <c r="AJ156" s="13">
        <f>AI156*VLOOKUP('Données projet'!$B$10,Paramètres!$A$1:$I$89,3,0)*VLOOKUP('Données projet'!$B$10,Paramètres!$A$1:$I$89,5,0)</f>
        <v>-3.1036506698001178E-14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160.54301845388551</v>
      </c>
      <c r="AO156" s="59">
        <f t="shared" si="144"/>
        <v>272.6634844951584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7.1948081815101244</v>
      </c>
      <c r="AV156" s="21">
        <f>EXP(-LN(2)/25)*AV155+(1-EXP(-LN(2)/25))/(LN(2)/25)*Calculateur!AQ156*Calculateur!AS156*VLOOKUP('Données projet'!$B$10,Paramètres!$A$1:$I$89,3,0)*0.475*44/12</f>
        <v>6.5345526814193153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13.72936086292944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3.4106051316484809E-13</v>
      </c>
      <c r="BE156" s="13">
        <f>BD156*VLOOKUP('Données projet'!$B$11,Paramètres!$A$1:$I$89,3,0)*VLOOKUP('Données projet'!$B$11,Paramètres!$A$1:$I$89,5,0)</f>
        <v>1.5961632016114892E-13</v>
      </c>
      <c r="BF156" s="13">
        <f t="shared" si="167"/>
        <v>2.2708641912150958E-12</v>
      </c>
      <c r="BG156" s="20">
        <f t="shared" si="168"/>
        <v>4.2330868906469593E-12</v>
      </c>
      <c r="BH156" s="59">
        <f t="shared" si="116"/>
        <v>293.33333333333752</v>
      </c>
      <c r="BI156" s="59">
        <f ca="1">AVERAGE(OFFSET($BH$3,0,0,'Données projet'!$E$11+1,1))-AVERAGE(OFFSET($H$3,0,0,'Données projet'!$E$11+1,1))</f>
        <v>207.25176714718668</v>
      </c>
      <c r="BJ156" s="59">
        <f t="shared" si="146"/>
        <v>191.53228014642559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67.724358697334878</v>
      </c>
      <c r="BQ156" s="21">
        <f>EXP(-LN(2)/25)*BQ155+(1-EXP(-LN(2)/25))/(LN(2)/25)*Calculateur!BL156*Calculateur!BN156*VLOOKUP('Données projet'!$B$11,Paramètres!$A$1:$I$89,3,0)*0.475*44/12</f>
        <v>11.606371110036809</v>
      </c>
      <c r="BR156" s="21">
        <f>EXP(-LN(2)/2)*BR155+(1-EXP(-LN(2)/2))/(LN(2)/2)*BL156*BO156*VLOOKUP('Données projet'!$B$11,Paramètres!$A$1:$I$89,3,0)*0.475*44/12</f>
        <v>1.3224268701167469E-6</v>
      </c>
      <c r="BS156" s="22">
        <f t="shared" si="169"/>
        <v>79.330731129798551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68.620424404221751</v>
      </c>
      <c r="CE156" s="59">
        <f t="shared" si="148"/>
        <v>203.12945099478918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3.396696612476636</v>
      </c>
      <c r="CL156" s="21">
        <f>EXP(-LN(2)/25)*CL155+(1-EXP(-LN(2)/25))/(LN(2)/25)*Calculateur!CG156*Calculateur!CI156*VLOOKUP('Données projet'!$B$12,Paramètres!$A$1:$I$89,3,0)*0.475*44/12</f>
        <v>0.252796481845181</v>
      </c>
      <c r="CM156" s="21">
        <f>EXP(-LN(2)/2)*CM155+(1-EXP(-LN(2)/2))/(LN(2)/2)*CG156*CJ156*VLOOKUP('Données projet'!$B$12,Paramètres!$A$1:$I$89,3,0)*0.475*44/12</f>
        <v>1.3820545383195756E-19</v>
      </c>
      <c r="CN156" s="22">
        <f t="shared" si="172"/>
        <v>3.6494930943218171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-2.8421709430404007E-13</v>
      </c>
      <c r="CU156" s="17">
        <f>CT156*VLOOKUP('Données projet'!$B$13,Paramètres!$A$1:$I$89,3,0)*VLOOKUP('Données projet'!$B$13,Paramètres!$A$1:$I$89,5,0)</f>
        <v>-1.69961822393816E-13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196.25918971690442</v>
      </c>
      <c r="CZ156" s="59">
        <f t="shared" si="150"/>
        <v>148.35701313170205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44.104035278070313</v>
      </c>
      <c r="DG156" s="21">
        <f>EXP(-LN(2)/25)*DG155+(1-EXP(-LN(2)/25))/(LN(2)/25)*Calculateur!DB156*Calculateur!DD156*VLOOKUP('Données projet'!$B$13,Paramètres!$A$1:$I$89,3,0)*0.475*44/12</f>
        <v>8.9202959960172894</v>
      </c>
      <c r="DH156" s="21">
        <f>EXP(-LN(2)/2)*DH155+(1-EXP(-LN(2)/2))/(LN(2)/2)*DB156*DE156*VLOOKUP('Données projet'!$B$13,Paramètres!$A$1:$I$89,3,0)*0.475*44/12</f>
        <v>5.4097407521874951E-7</v>
      </c>
      <c r="DI156" s="22">
        <f t="shared" si="175"/>
        <v>53.024331815061679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11">
        <f t="shared" si="140"/>
        <v>20.18713138514735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67">
        <f t="shared" si="110"/>
        <v>454.01798716246549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180.31844548479722</v>
      </c>
      <c r="T157" s="59">
        <f t="shared" si="142"/>
        <v>273.83237400307223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12.948278793881276</v>
      </c>
      <c r="AA157" s="21">
        <f>EXP(-LN(2)/25)*AA156+(1-EXP(-LN(2)/25))/(LN(2)/25)*Calculateur!V157*Calculateur!X157*VLOOKUP('Données projet'!$B$9,Paramètres!$A$1:$I$89,3,0)*0.475*44/12</f>
        <v>10.674241449041476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23.622520242922754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-5.6843418860808015E-14</v>
      </c>
      <c r="AJ157" s="13">
        <f>AI157*VLOOKUP('Données projet'!$B$10,Paramètres!$A$1:$I$89,3,0)*VLOOKUP('Données projet'!$B$10,Paramètres!$A$1:$I$89,5,0)</f>
        <v>-3.1036506698001178E-14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160.54301845388551</v>
      </c>
      <c r="AO157" s="59">
        <f t="shared" si="144"/>
        <v>272.6634844951584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7.0537223814703829</v>
      </c>
      <c r="AV157" s="21">
        <f>EXP(-LN(2)/25)*AV156+(1-EXP(-LN(2)/25))/(LN(2)/25)*Calculateur!AQ157*Calculateur!AS157*VLOOKUP('Données projet'!$B$10,Paramètres!$A$1:$I$89,3,0)*0.475*44/12</f>
        <v>6.3558649947087131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13.409587376179097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3.4106051316484809E-13</v>
      </c>
      <c r="BE157" s="13">
        <f>BD157*VLOOKUP('Données projet'!$B$11,Paramètres!$A$1:$I$89,3,0)*VLOOKUP('Données projet'!$B$11,Paramètres!$A$1:$I$89,5,0)</f>
        <v>1.5961632016114892E-13</v>
      </c>
      <c r="BF157" s="13">
        <f t="shared" si="167"/>
        <v>2.2708641912150958E-12</v>
      </c>
      <c r="BG157" s="20">
        <f t="shared" si="168"/>
        <v>4.2330868906469593E-12</v>
      </c>
      <c r="BH157" s="59">
        <f t="shared" si="116"/>
        <v>293.33333333333752</v>
      </c>
      <c r="BI157" s="59">
        <f ca="1">AVERAGE(OFFSET($BH$3,0,0,'Données projet'!$E$11+1,1))-AVERAGE(OFFSET($H$3,0,0,'Données projet'!$E$11+1,1))</f>
        <v>207.25176714718668</v>
      </c>
      <c r="BJ157" s="59">
        <f t="shared" si="146"/>
        <v>191.53228014642559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66.39632533106014</v>
      </c>
      <c r="BQ157" s="21">
        <f>EXP(-LN(2)/25)*BQ156+(1-EXP(-LN(2)/25))/(LN(2)/25)*Calculateur!BL157*Calculateur!BN157*VLOOKUP('Données projet'!$B$11,Paramètres!$A$1:$I$89,3,0)*0.475*44/12</f>
        <v>11.288994281680322</v>
      </c>
      <c r="BR157" s="21">
        <f>EXP(-LN(2)/2)*BR156+(1-EXP(-LN(2)/2))/(LN(2)/2)*BL157*BO157*VLOOKUP('Données projet'!$B$11,Paramètres!$A$1:$I$89,3,0)*0.475*44/12</f>
        <v>9.3509700748285346E-7</v>
      </c>
      <c r="BS157" s="22">
        <f t="shared" si="169"/>
        <v>77.685320547837463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68.620424404221751</v>
      </c>
      <c r="CE157" s="59">
        <f t="shared" si="148"/>
        <v>203.12945099478918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3.3300894636863316</v>
      </c>
      <c r="CL157" s="21">
        <f>EXP(-LN(2)/25)*CL156+(1-EXP(-LN(2)/25))/(LN(2)/25)*Calculateur!CG157*Calculateur!CI157*VLOOKUP('Données projet'!$B$12,Paramètres!$A$1:$I$89,3,0)*0.475*44/12</f>
        <v>0.24588374875513533</v>
      </c>
      <c r="CM157" s="21">
        <f>EXP(-LN(2)/2)*CM156+(1-EXP(-LN(2)/2))/(LN(2)/2)*CG157*CJ157*VLOOKUP('Données projet'!$B$12,Paramètres!$A$1:$I$89,3,0)*0.475*44/12</f>
        <v>9.7726013601541509E-20</v>
      </c>
      <c r="CN157" s="22">
        <f t="shared" si="172"/>
        <v>3.5759732124414669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-2.8421709430404007E-13</v>
      </c>
      <c r="CU157" s="17">
        <f>CT157*VLOOKUP('Données projet'!$B$13,Paramètres!$A$1:$I$89,3,0)*VLOOKUP('Données projet'!$B$13,Paramètres!$A$1:$I$89,5,0)</f>
        <v>-1.69961822393816E-13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196.25918971690442</v>
      </c>
      <c r="CZ157" s="59">
        <f t="shared" si="150"/>
        <v>148.35701313170205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43.239182047072639</v>
      </c>
      <c r="DG157" s="21">
        <f>EXP(-LN(2)/25)*DG156+(1-EXP(-LN(2)/25))/(LN(2)/25)*Calculateur!DB157*Calculateur!DD157*VLOOKUP('Données projet'!$B$13,Paramètres!$A$1:$I$89,3,0)*0.475*44/12</f>
        <v>8.676370032908217</v>
      </c>
      <c r="DH157" s="21">
        <f>EXP(-LN(2)/2)*DH156+(1-EXP(-LN(2)/2))/(LN(2)/2)*DB157*DE157*VLOOKUP('Données projet'!$B$13,Paramètres!$A$1:$I$89,3,0)*0.475*44/12</f>
        <v>3.8252643703329921E-7</v>
      </c>
      <c r="DI157" s="22">
        <f t="shared" si="175"/>
        <v>51.915552462507293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11">
        <f t="shared" si="140"/>
        <v>20.302914660456867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67">
        <f t="shared" si="110"/>
        <v>455.03474303362952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180.31844548479722</v>
      </c>
      <c r="T158" s="59">
        <f t="shared" si="142"/>
        <v>273.83237400307223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12.694370944403499</v>
      </c>
      <c r="AA158" s="21">
        <f>EXP(-LN(2)/25)*AA157+(1-EXP(-LN(2)/25))/(LN(2)/25)*Calculateur!V158*Calculateur!X158*VLOOKUP('Données projet'!$B$9,Paramètres!$A$1:$I$89,3,0)*0.475*44/12</f>
        <v>10.382353755283475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23.076724699686974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-5.6843418860808015E-14</v>
      </c>
      <c r="AJ158" s="13">
        <f>AI158*VLOOKUP('Données projet'!$B$10,Paramètres!$A$1:$I$89,3,0)*VLOOKUP('Données projet'!$B$10,Paramètres!$A$1:$I$89,5,0)</f>
        <v>-3.1036506698001178E-14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160.54301845388551</v>
      </c>
      <c r="AO158" s="59">
        <f t="shared" si="144"/>
        <v>272.6634844951584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6.9154031879155804</v>
      </c>
      <c r="AV158" s="21">
        <f>EXP(-LN(2)/25)*AV157+(1-EXP(-LN(2)/25))/(LN(2)/25)*Calculateur!AQ158*Calculateur!AS158*VLOOKUP('Données projet'!$B$10,Paramètres!$A$1:$I$89,3,0)*0.475*44/12</f>
        <v>6.18206353218799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13.09746672010357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3.4106051316484809E-13</v>
      </c>
      <c r="BE158" s="13">
        <f>BD158*VLOOKUP('Données projet'!$B$11,Paramètres!$A$1:$I$89,3,0)*VLOOKUP('Données projet'!$B$11,Paramètres!$A$1:$I$89,5,0)</f>
        <v>1.5961632016114892E-13</v>
      </c>
      <c r="BF158" s="13">
        <f t="shared" si="167"/>
        <v>2.2708641912150958E-12</v>
      </c>
      <c r="BG158" s="20">
        <f t="shared" si="168"/>
        <v>4.2330868906469593E-12</v>
      </c>
      <c r="BH158" s="59">
        <f t="shared" si="116"/>
        <v>293.33333333333752</v>
      </c>
      <c r="BI158" s="59">
        <f ca="1">AVERAGE(OFFSET($BH$3,0,0,'Données projet'!$E$11+1,1))-AVERAGE(OFFSET($H$3,0,0,'Données projet'!$E$11+1,1))</f>
        <v>207.25176714718668</v>
      </c>
      <c r="BJ158" s="59">
        <f t="shared" si="146"/>
        <v>191.53228014642559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65.094333889077674</v>
      </c>
      <c r="BQ158" s="21">
        <f>EXP(-LN(2)/25)*BQ157+(1-EXP(-LN(2)/25))/(LN(2)/25)*Calculateur!BL158*Calculateur!BN158*VLOOKUP('Données projet'!$B$11,Paramètres!$A$1:$I$89,3,0)*0.475*44/12</f>
        <v>10.980296139385366</v>
      </c>
      <c r="BR158" s="21">
        <f>EXP(-LN(2)/2)*BR157+(1-EXP(-LN(2)/2))/(LN(2)/2)*BL158*BO158*VLOOKUP('Données projet'!$B$11,Paramètres!$A$1:$I$89,3,0)*0.475*44/12</f>
        <v>6.6121343505837354E-7</v>
      </c>
      <c r="BS158" s="22">
        <f t="shared" si="169"/>
        <v>76.074630689676482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68.620424404221751</v>
      </c>
      <c r="CE158" s="59">
        <f t="shared" si="148"/>
        <v>203.12945099478918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3.2647884404574556</v>
      </c>
      <c r="CL158" s="21">
        <f>EXP(-LN(2)/25)*CL157+(1-EXP(-LN(2)/25))/(LN(2)/25)*Calculateur!CG158*Calculateur!CI158*VLOOKUP('Données projet'!$B$12,Paramètres!$A$1:$I$89,3,0)*0.475*44/12</f>
        <v>0.23916004471496177</v>
      </c>
      <c r="CM158" s="21">
        <f>EXP(-LN(2)/2)*CM157+(1-EXP(-LN(2)/2))/(LN(2)/2)*CG158*CJ158*VLOOKUP('Données projet'!$B$12,Paramètres!$A$1:$I$89,3,0)*0.475*44/12</f>
        <v>6.9102726915978778E-20</v>
      </c>
      <c r="CN158" s="22">
        <f t="shared" si="172"/>
        <v>3.5039484851724172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-2.8421709430404007E-13</v>
      </c>
      <c r="CU158" s="17">
        <f>CT158*VLOOKUP('Données projet'!$B$13,Paramètres!$A$1:$I$89,3,0)*VLOOKUP('Données projet'!$B$13,Paramètres!$A$1:$I$89,5,0)</f>
        <v>-1.69961822393816E-13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196.25918971690442</v>
      </c>
      <c r="CZ158" s="59">
        <f t="shared" si="150"/>
        <v>148.35701313170205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42.391288060426447</v>
      </c>
      <c r="DG158" s="21">
        <f>EXP(-LN(2)/25)*DG157+(1-EXP(-LN(2)/25))/(LN(2)/25)*Calculateur!DB158*Calculateur!DD158*VLOOKUP('Données projet'!$B$13,Paramètres!$A$1:$I$89,3,0)*0.475*44/12</f>
        <v>8.4391142380878712</v>
      </c>
      <c r="DH158" s="21">
        <f>EXP(-LN(2)/2)*DH157+(1-EXP(-LN(2)/2))/(LN(2)/2)*DB158*DE158*VLOOKUP('Données projet'!$B$13,Paramètres!$A$1:$I$89,3,0)*0.475*44/12</f>
        <v>2.7048703760937475E-7</v>
      </c>
      <c r="DI158" s="22">
        <f t="shared" si="175"/>
        <v>50.83040256900135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11">
        <f t="shared" si="140"/>
        <v>20.418611018263718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67">
        <f t="shared" si="110"/>
        <v>456.05134752347647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180.31844548479722</v>
      </c>
      <c r="T159" s="59">
        <f t="shared" si="142"/>
        <v>273.83237400307223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12.445442072985484</v>
      </c>
      <c r="AA159" s="21">
        <f>EXP(-LN(2)/25)*AA158+(1-EXP(-LN(2)/25))/(LN(2)/25)*Calculateur!V159*Calculateur!X159*VLOOKUP('Données projet'!$B$9,Paramètres!$A$1:$I$89,3,0)*0.475*44/12</f>
        <v>10.098447745860994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22.54388981884648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-5.6843418860808015E-14</v>
      </c>
      <c r="AJ159" s="13">
        <f>AI159*VLOOKUP('Données projet'!$B$10,Paramètres!$A$1:$I$89,3,0)*VLOOKUP('Données projet'!$B$10,Paramètres!$A$1:$I$89,5,0)</f>
        <v>-3.1036506698001178E-14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160.54301845388551</v>
      </c>
      <c r="AO159" s="59">
        <f t="shared" si="144"/>
        <v>272.6634844951584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6.7797963493800095</v>
      </c>
      <c r="AV159" s="21">
        <f>EXP(-LN(2)/25)*AV158+(1-EXP(-LN(2)/25))/(LN(2)/25)*Calculateur!AQ159*Calculateur!AS159*VLOOKUP('Données projet'!$B$10,Paramètres!$A$1:$I$89,3,0)*0.475*44/12</f>
        <v>6.0130146797997179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12.792811029179727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3.4106051316484809E-13</v>
      </c>
      <c r="BE159" s="13">
        <f>BD159*VLOOKUP('Données projet'!$B$11,Paramètres!$A$1:$I$89,3,0)*VLOOKUP('Données projet'!$B$11,Paramètres!$A$1:$I$89,5,0)</f>
        <v>1.5961632016114892E-13</v>
      </c>
      <c r="BF159" s="13">
        <f t="shared" si="167"/>
        <v>2.2708641912150958E-12</v>
      </c>
      <c r="BG159" s="20">
        <f t="shared" si="168"/>
        <v>4.2330868906469593E-12</v>
      </c>
      <c r="BH159" s="59">
        <f t="shared" si="116"/>
        <v>293.33333333333752</v>
      </c>
      <c r="BI159" s="59">
        <f ca="1">AVERAGE(OFFSET($BH$3,0,0,'Données projet'!$E$11+1,1))-AVERAGE(OFFSET($H$3,0,0,'Données projet'!$E$11+1,1))</f>
        <v>207.25176714718668</v>
      </c>
      <c r="BJ159" s="59">
        <f t="shared" si="146"/>
        <v>191.53228014642559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63.81787370513613</v>
      </c>
      <c r="BQ159" s="21">
        <f>EXP(-LN(2)/25)*BQ158+(1-EXP(-LN(2)/25))/(LN(2)/25)*Calculateur!BL159*Calculateur!BN159*VLOOKUP('Données projet'!$B$11,Paramètres!$A$1:$I$89,3,0)*0.475*44/12</f>
        <v>10.680039364025195</v>
      </c>
      <c r="BR159" s="21">
        <f>EXP(-LN(2)/2)*BR158+(1-EXP(-LN(2)/2))/(LN(2)/2)*BL159*BO159*VLOOKUP('Données projet'!$B$11,Paramètres!$A$1:$I$89,3,0)*0.475*44/12</f>
        <v>4.6754850374142684E-7</v>
      </c>
      <c r="BS159" s="22">
        <f t="shared" si="169"/>
        <v>74.497913536709831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68.620424404221751</v>
      </c>
      <c r="CE159" s="59">
        <f t="shared" si="148"/>
        <v>203.12945099478918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3.2007679304644068</v>
      </c>
      <c r="CL159" s="21">
        <f>EXP(-LN(2)/25)*CL158+(1-EXP(-LN(2)/25))/(LN(2)/25)*Calculateur!CG159*Calculateur!CI159*VLOOKUP('Données projet'!$B$12,Paramètres!$A$1:$I$89,3,0)*0.475*44/12</f>
        <v>0.232620200715351</v>
      </c>
      <c r="CM159" s="21">
        <f>EXP(-LN(2)/2)*CM158+(1-EXP(-LN(2)/2))/(LN(2)/2)*CG159*CJ159*VLOOKUP('Données projet'!$B$12,Paramètres!$A$1:$I$89,3,0)*0.475*44/12</f>
        <v>4.8863006800770754E-20</v>
      </c>
      <c r="CN159" s="22">
        <f t="shared" si="172"/>
        <v>3.4333881311797576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-2.8421709430404007E-13</v>
      </c>
      <c r="CU159" s="17">
        <f>CT159*VLOOKUP('Données projet'!$B$13,Paramètres!$A$1:$I$89,3,0)*VLOOKUP('Données projet'!$B$13,Paramètres!$A$1:$I$89,5,0)</f>
        <v>-1.69961822393816E-13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196.25918971690442</v>
      </c>
      <c r="CZ159" s="59">
        <f t="shared" si="150"/>
        <v>148.35701313170205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41.560020757694119</v>
      </c>
      <c r="DG159" s="21">
        <f>EXP(-LN(2)/25)*DG158+(1-EXP(-LN(2)/25))/(LN(2)/25)*Calculateur!DB159*Calculateur!DD159*VLOOKUP('Données projet'!$B$13,Paramètres!$A$1:$I$89,3,0)*0.475*44/12</f>
        <v>8.2083462154536289</v>
      </c>
      <c r="DH159" s="21">
        <f>EXP(-LN(2)/2)*DH158+(1-EXP(-LN(2)/2))/(LN(2)/2)*DB159*DE159*VLOOKUP('Données projet'!$B$13,Paramètres!$A$1:$I$89,3,0)*0.475*44/12</f>
        <v>1.9126321851664961E-7</v>
      </c>
      <c r="DI159" s="22">
        <f t="shared" si="175"/>
        <v>49.768367164410968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11">
        <f t="shared" si="140"/>
        <v>20.534221080361753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67">
        <f t="shared" si="110"/>
        <v>457.06780171496393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180.31844548479722</v>
      </c>
      <c r="T160" s="59">
        <f t="shared" si="142"/>
        <v>273.83237400307223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12.201394544904357</v>
      </c>
      <c r="AA160" s="21">
        <f>EXP(-LN(2)/25)*AA159+(1-EXP(-LN(2)/25))/(LN(2)/25)*Calculateur!V160*Calculateur!X160*VLOOKUP('Données projet'!$B$9,Paramètres!$A$1:$I$89,3,0)*0.475*44/12</f>
        <v>9.8223051611961392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22.023699706100494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-5.6843418860808015E-14</v>
      </c>
      <c r="AJ160" s="13">
        <f>AI160*VLOOKUP('Données projet'!$B$10,Paramètres!$A$1:$I$89,3,0)*VLOOKUP('Données projet'!$B$10,Paramètres!$A$1:$I$89,5,0)</f>
        <v>-3.1036506698001178E-14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160.54301845388551</v>
      </c>
      <c r="AO160" s="59">
        <f t="shared" si="144"/>
        <v>272.6634844951584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6.6468486782361165</v>
      </c>
      <c r="AV160" s="21">
        <f>EXP(-LN(2)/25)*AV159+(1-EXP(-LN(2)/25))/(LN(2)/25)*Calculateur!AQ160*Calculateur!AS160*VLOOKUP('Données projet'!$B$10,Paramètres!$A$1:$I$89,3,0)*0.475*44/12</f>
        <v>5.8485884771698959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12.495437155406012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3.4106051316484809E-13</v>
      </c>
      <c r="BE160" s="13">
        <f>BD160*VLOOKUP('Données projet'!$B$11,Paramètres!$A$1:$I$89,3,0)*VLOOKUP('Données projet'!$B$11,Paramètres!$A$1:$I$89,5,0)</f>
        <v>1.5961632016114892E-13</v>
      </c>
      <c r="BF160" s="13">
        <f t="shared" si="167"/>
        <v>2.2708641912150958E-12</v>
      </c>
      <c r="BG160" s="20">
        <f t="shared" si="168"/>
        <v>4.2330868906469593E-12</v>
      </c>
      <c r="BH160" s="59">
        <f t="shared" si="116"/>
        <v>293.33333333333752</v>
      </c>
      <c r="BI160" s="59">
        <f ca="1">AVERAGE(OFFSET($BH$3,0,0,'Données projet'!$E$11+1,1))-AVERAGE(OFFSET($H$3,0,0,'Données projet'!$E$11+1,1))</f>
        <v>207.25176714718668</v>
      </c>
      <c r="BJ160" s="59">
        <f t="shared" si="146"/>
        <v>191.53228014642559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62.566444126837837</v>
      </c>
      <c r="BQ160" s="21">
        <f>EXP(-LN(2)/25)*BQ159+(1-EXP(-LN(2)/25))/(LN(2)/25)*Calculateur!BL160*Calculateur!BN160*VLOOKUP('Données projet'!$B$11,Paramètres!$A$1:$I$89,3,0)*0.475*44/12</f>
        <v>10.387993125977065</v>
      </c>
      <c r="BR160" s="21">
        <f>EXP(-LN(2)/2)*BR159+(1-EXP(-LN(2)/2))/(LN(2)/2)*BL160*BO160*VLOOKUP('Données projet'!$B$11,Paramètres!$A$1:$I$89,3,0)*0.475*44/12</f>
        <v>3.3060671752918682E-7</v>
      </c>
      <c r="BS160" s="22">
        <f t="shared" si="169"/>
        <v>72.954437583421623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68.620424404221751</v>
      </c>
      <c r="CE160" s="59">
        <f t="shared" si="148"/>
        <v>203.12945099478918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3.1380028236236663</v>
      </c>
      <c r="CL160" s="21">
        <f>EXP(-LN(2)/25)*CL159+(1-EXP(-LN(2)/25))/(LN(2)/25)*Calculateur!CG160*Calculateur!CI160*VLOOKUP('Données projet'!$B$12,Paramètres!$A$1:$I$89,3,0)*0.475*44/12</f>
        <v>0.22625918909382503</v>
      </c>
      <c r="CM160" s="21">
        <f>EXP(-LN(2)/2)*CM159+(1-EXP(-LN(2)/2))/(LN(2)/2)*CG160*CJ160*VLOOKUP('Données projet'!$B$12,Paramètres!$A$1:$I$89,3,0)*0.475*44/12</f>
        <v>3.4551363457989389E-20</v>
      </c>
      <c r="CN160" s="22">
        <f t="shared" si="172"/>
        <v>3.3642620127174911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-2.8421709430404007E-13</v>
      </c>
      <c r="CU160" s="17">
        <f>CT160*VLOOKUP('Données projet'!$B$13,Paramètres!$A$1:$I$89,3,0)*VLOOKUP('Données projet'!$B$13,Paramètres!$A$1:$I$89,5,0)</f>
        <v>-1.69961822393816E-13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196.25918971690442</v>
      </c>
      <c r="CZ160" s="59">
        <f t="shared" si="150"/>
        <v>148.35701313170205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40.745054099745381</v>
      </c>
      <c r="DG160" s="21">
        <f>EXP(-LN(2)/25)*DG159+(1-EXP(-LN(2)/25))/(LN(2)/25)*Calculateur!DB160*Calculateur!DD160*VLOOKUP('Données projet'!$B$13,Paramètres!$A$1:$I$89,3,0)*0.475*44/12</f>
        <v>7.9838885565338824</v>
      </c>
      <c r="DH160" s="21">
        <f>EXP(-LN(2)/2)*DH159+(1-EXP(-LN(2)/2))/(LN(2)/2)*DB160*DE160*VLOOKUP('Données projet'!$B$13,Paramètres!$A$1:$I$89,3,0)*0.475*44/12</f>
        <v>1.3524351880468738E-7</v>
      </c>
      <c r="DI160" s="22">
        <f t="shared" si="175"/>
        <v>48.728942791522783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11">
        <f t="shared" si="140"/>
        <v>20.649745460165789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67">
        <f t="shared" si="110"/>
        <v>458.08410667645592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180.31844548479722</v>
      </c>
      <c r="T161" s="59">
        <f t="shared" si="142"/>
        <v>273.83237400307223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11.962132639994607</v>
      </c>
      <c r="AA161" s="21">
        <f>EXP(-LN(2)/25)*AA160+(1-EXP(-LN(2)/25))/(LN(2)/25)*Calculateur!V161*Calculateur!X161*VLOOKUP('Données projet'!$B$9,Paramètres!$A$1:$I$89,3,0)*0.475*44/12</f>
        <v>9.5537137100306513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21.515846350025257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-5.6843418860808015E-14</v>
      </c>
      <c r="AJ161" s="13">
        <f>AI161*VLOOKUP('Données projet'!$B$10,Paramètres!$A$1:$I$89,3,0)*VLOOKUP('Données projet'!$B$10,Paramètres!$A$1:$I$89,5,0)</f>
        <v>-3.1036506698001178E-14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160.54301845388551</v>
      </c>
      <c r="AO161" s="59">
        <f t="shared" si="144"/>
        <v>272.6634844951584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6.5165080298332834</v>
      </c>
      <c r="AV161" s="21">
        <f>EXP(-LN(2)/25)*AV160+(1-EXP(-LN(2)/25))/(LN(2)/25)*Calculateur!AQ161*Calculateur!AS161*VLOOKUP('Données projet'!$B$10,Paramètres!$A$1:$I$89,3,0)*0.475*44/12</f>
        <v>5.6886585176977844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12.205166547531068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3.4106051316484809E-13</v>
      </c>
      <c r="BE161" s="13">
        <f>BD161*VLOOKUP('Données projet'!$B$11,Paramètres!$A$1:$I$89,3,0)*VLOOKUP('Données projet'!$B$11,Paramètres!$A$1:$I$89,5,0)</f>
        <v>1.5961632016114892E-13</v>
      </c>
      <c r="BF161" s="13">
        <f t="shared" si="167"/>
        <v>2.2708641912150958E-12</v>
      </c>
      <c r="BG161" s="20">
        <f t="shared" si="168"/>
        <v>4.2330868906469593E-12</v>
      </c>
      <c r="BH161" s="59">
        <f t="shared" si="116"/>
        <v>293.33333333333752</v>
      </c>
      <c r="BI161" s="59">
        <f ca="1">AVERAGE(OFFSET($BH$3,0,0,'Données projet'!$E$11+1,1))-AVERAGE(OFFSET($H$3,0,0,'Données projet'!$E$11+1,1))</f>
        <v>207.25176714718668</v>
      </c>
      <c r="BJ161" s="59">
        <f t="shared" si="146"/>
        <v>191.53228014642559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61.339554319273304</v>
      </c>
      <c r="BQ161" s="21">
        <f>EXP(-LN(2)/25)*BQ160+(1-EXP(-LN(2)/25))/(LN(2)/25)*Calculateur!BL161*Calculateur!BN161*VLOOKUP('Données projet'!$B$11,Paramètres!$A$1:$I$89,3,0)*0.475*44/12</f>
        <v>10.103932907666406</v>
      </c>
      <c r="BR161" s="21">
        <f>EXP(-LN(2)/2)*BR160+(1-EXP(-LN(2)/2))/(LN(2)/2)*BL161*BO161*VLOOKUP('Données projet'!$B$11,Paramètres!$A$1:$I$89,3,0)*0.475*44/12</f>
        <v>2.3377425187071344E-7</v>
      </c>
      <c r="BS161" s="22">
        <f t="shared" si="169"/>
        <v>71.443487460713968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68.620424404221751</v>
      </c>
      <c r="CE161" s="59">
        <f t="shared" si="148"/>
        <v>203.12945099478918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3.0764685022451377</v>
      </c>
      <c r="CL161" s="21">
        <f>EXP(-LN(2)/25)*CL160+(1-EXP(-LN(2)/25))/(LN(2)/25)*Calculateur!CG161*Calculateur!CI161*VLOOKUP('Données projet'!$B$12,Paramètres!$A$1:$I$89,3,0)*0.475*44/12</f>
        <v>0.22007211966960075</v>
      </c>
      <c r="CM161" s="21">
        <f>EXP(-LN(2)/2)*CM160+(1-EXP(-LN(2)/2))/(LN(2)/2)*CG161*CJ161*VLOOKUP('Données projet'!$B$12,Paramètres!$A$1:$I$89,3,0)*0.475*44/12</f>
        <v>2.4431503400385377E-20</v>
      </c>
      <c r="CN161" s="22">
        <f t="shared" si="172"/>
        <v>3.2965406219147386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-2.8421709430404007E-13</v>
      </c>
      <c r="CU161" s="17">
        <f>CT161*VLOOKUP('Données projet'!$B$13,Paramètres!$A$1:$I$89,3,0)*VLOOKUP('Données projet'!$B$13,Paramètres!$A$1:$I$89,5,0)</f>
        <v>-1.69961822393816E-13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196.25918971690442</v>
      </c>
      <c r="CZ161" s="59">
        <f t="shared" si="150"/>
        <v>148.35701313170205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39.946068440878442</v>
      </c>
      <c r="DG161" s="21">
        <f>EXP(-LN(2)/25)*DG160+(1-EXP(-LN(2)/25))/(LN(2)/25)*Calculateur!DB161*Calculateur!DD161*VLOOKUP('Données projet'!$B$13,Paramètres!$A$1:$I$89,3,0)*0.475*44/12</f>
        <v>7.7655687041010113</v>
      </c>
      <c r="DH161" s="21">
        <f>EXP(-LN(2)/2)*DH160+(1-EXP(-LN(2)/2))/(LN(2)/2)*DB161*DE161*VLOOKUP('Données projet'!$B$13,Paramètres!$A$1:$I$89,3,0)*0.475*44/12</f>
        <v>9.5631609258324803E-8</v>
      </c>
      <c r="DI161" s="22">
        <f t="shared" si="175"/>
        <v>47.711637240611061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11">
        <f t="shared" si="140"/>
        <v>20.765184762876906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67">
        <f t="shared" si="110"/>
        <v>459.10026346201118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180.31844548479722</v>
      </c>
      <c r="T162" s="59">
        <f t="shared" si="142"/>
        <v>273.83237400307223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11.727562515104784</v>
      </c>
      <c r="AA162" s="21">
        <f>EXP(-LN(2)/25)*AA161+(1-EXP(-LN(2)/25))/(LN(2)/25)*Calculateur!V162*Calculateur!X162*VLOOKUP('Données projet'!$B$9,Paramètres!$A$1:$I$89,3,0)*0.475*44/12</f>
        <v>9.292466906221895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21.020029421326679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-5.6843418860808015E-14</v>
      </c>
      <c r="AJ162" s="13">
        <f>AI162*VLOOKUP('Données projet'!$B$10,Paramètres!$A$1:$I$89,3,0)*VLOOKUP('Données projet'!$B$10,Paramètres!$A$1:$I$89,5,0)</f>
        <v>-3.1036506698001178E-14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160.54301845388551</v>
      </c>
      <c r="AO162" s="59">
        <f t="shared" si="144"/>
        <v>272.6634844951584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6.3887232820456843</v>
      </c>
      <c r="AV162" s="21">
        <f>EXP(-LN(2)/25)*AV161+(1-EXP(-LN(2)/25))/(LN(2)/25)*Calculateur!AQ162*Calculateur!AS162*VLOOKUP('Données projet'!$B$10,Paramètres!$A$1:$I$89,3,0)*0.475*44/12</f>
        <v>5.533101851377789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11.921825133423473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3.4106051316484809E-13</v>
      </c>
      <c r="BE162" s="13">
        <f>BD162*VLOOKUP('Données projet'!$B$11,Paramètres!$A$1:$I$89,3,0)*VLOOKUP('Données projet'!$B$11,Paramètres!$A$1:$I$89,5,0)</f>
        <v>1.5961632016114892E-13</v>
      </c>
      <c r="BF162" s="13">
        <f t="shared" si="167"/>
        <v>2.2708641912150958E-12</v>
      </c>
      <c r="BG162" s="20">
        <f t="shared" si="168"/>
        <v>4.2330868906469593E-12</v>
      </c>
      <c r="BH162" s="59">
        <f t="shared" si="116"/>
        <v>293.33333333333752</v>
      </c>
      <c r="BI162" s="59">
        <f ca="1">AVERAGE(OFFSET($BH$3,0,0,'Données projet'!$E$11+1,1))-AVERAGE(OFFSET($H$3,0,0,'Données projet'!$E$11+1,1))</f>
        <v>207.25176714718668</v>
      </c>
      <c r="BJ162" s="59">
        <f t="shared" si="146"/>
        <v>191.53228014642559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60.136723072506221</v>
      </c>
      <c r="BQ162" s="21">
        <f>EXP(-LN(2)/25)*BQ161+(1-EXP(-LN(2)/25))/(LN(2)/25)*Calculateur!BL162*Calculateur!BN162*VLOOKUP('Données projet'!$B$11,Paramètres!$A$1:$I$89,3,0)*0.475*44/12</f>
        <v>9.8276403309635292</v>
      </c>
      <c r="BR162" s="21">
        <f>EXP(-LN(2)/2)*BR161+(1-EXP(-LN(2)/2))/(LN(2)/2)*BL162*BO162*VLOOKUP('Données projet'!$B$11,Paramètres!$A$1:$I$89,3,0)*0.475*44/12</f>
        <v>1.6530335876459344E-7</v>
      </c>
      <c r="BS162" s="22">
        <f t="shared" si="169"/>
        <v>69.964363568773109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68.620424404221751</v>
      </c>
      <c r="CE162" s="59">
        <f t="shared" si="148"/>
        <v>203.12945099478918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3.0161408313766116</v>
      </c>
      <c r="CL162" s="21">
        <f>EXP(-LN(2)/25)*CL161+(1-EXP(-LN(2)/25))/(LN(2)/25)*Calculateur!CG162*Calculateur!CI162*VLOOKUP('Données projet'!$B$12,Paramètres!$A$1:$I$89,3,0)*0.475*44/12</f>
        <v>0.21405423598414572</v>
      </c>
      <c r="CM162" s="21">
        <f>EXP(-LN(2)/2)*CM161+(1-EXP(-LN(2)/2))/(LN(2)/2)*CG162*CJ162*VLOOKUP('Données projet'!$B$12,Paramètres!$A$1:$I$89,3,0)*0.475*44/12</f>
        <v>1.7275681728994695E-20</v>
      </c>
      <c r="CN162" s="22">
        <f t="shared" si="172"/>
        <v>3.2301950673607571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-2.8421709430404007E-13</v>
      </c>
      <c r="CU162" s="17">
        <f>CT162*VLOOKUP('Données projet'!$B$13,Paramètres!$A$1:$I$89,3,0)*VLOOKUP('Données projet'!$B$13,Paramètres!$A$1:$I$89,5,0)</f>
        <v>-1.69961822393816E-13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196.25918971690442</v>
      </c>
      <c r="CZ162" s="59">
        <f t="shared" si="150"/>
        <v>148.35701313170205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39.162750403448747</v>
      </c>
      <c r="DG162" s="21">
        <f>EXP(-LN(2)/25)*DG161+(1-EXP(-LN(2)/25))/(LN(2)/25)*Calculateur!DB162*Calculateur!DD162*VLOOKUP('Données projet'!$B$13,Paramètres!$A$1:$I$89,3,0)*0.475*44/12</f>
        <v>7.5532188195138596</v>
      </c>
      <c r="DH162" s="21">
        <f>EXP(-LN(2)/2)*DH161+(1-EXP(-LN(2)/2))/(LN(2)/2)*DB162*DE162*VLOOKUP('Données projet'!$B$13,Paramètres!$A$1:$I$89,3,0)*0.475*44/12</f>
        <v>6.7621759402343688E-8</v>
      </c>
      <c r="DI162" s="22">
        <f t="shared" si="175"/>
        <v>46.715969290584368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11">
        <f t="shared" si="140"/>
        <v>20.880539585643316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67">
        <f t="shared" si="110"/>
        <v>460.11627311166262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180.31844548479722</v>
      </c>
      <c r="T163" s="59">
        <f t="shared" si="142"/>
        <v>273.83237400307223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11.497592167290403</v>
      </c>
      <c r="AA163" s="21">
        <f>EXP(-LN(2)/25)*AA162+(1-EXP(-LN(2)/25))/(LN(2)/25)*Calculateur!V163*Calculateur!X163*VLOOKUP('Données projet'!$B$9,Paramètres!$A$1:$I$89,3,0)*0.475*44/12</f>
        <v>9.0383639100016602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20.535956077292063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-5.6843418860808015E-14</v>
      </c>
      <c r="AJ163" s="13">
        <f>AI163*VLOOKUP('Données projet'!$B$10,Paramètres!$A$1:$I$89,3,0)*VLOOKUP('Données projet'!$B$10,Paramètres!$A$1:$I$89,5,0)</f>
        <v>-3.1036506698001178E-14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160.54301845388551</v>
      </c>
      <c r="AO163" s="59">
        <f t="shared" si="144"/>
        <v>272.6634844951584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6.2634443152212</v>
      </c>
      <c r="AV163" s="21">
        <f>EXP(-LN(2)/25)*AV162+(1-EXP(-LN(2)/25))/(LN(2)/25)*Calculateur!AQ163*Calculateur!AS163*VLOOKUP('Données projet'!$B$10,Paramètres!$A$1:$I$89,3,0)*0.475*44/12</f>
        <v>5.3817988902786826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11.645243205499883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3.4106051316484809E-13</v>
      </c>
      <c r="BE163" s="13">
        <f>BD163*VLOOKUP('Données projet'!$B$11,Paramètres!$A$1:$I$89,3,0)*VLOOKUP('Données projet'!$B$11,Paramètres!$A$1:$I$89,5,0)</f>
        <v>1.5961632016114892E-13</v>
      </c>
      <c r="BF163" s="13">
        <f t="shared" si="167"/>
        <v>2.2708641912150958E-12</v>
      </c>
      <c r="BG163" s="20">
        <f t="shared" si="168"/>
        <v>4.2330868906469593E-12</v>
      </c>
      <c r="BH163" s="59">
        <f t="shared" si="116"/>
        <v>293.33333333333752</v>
      </c>
      <c r="BI163" s="59">
        <f ca="1">AVERAGE(OFFSET($BH$3,0,0,'Données projet'!$E$11+1,1))-AVERAGE(OFFSET($H$3,0,0,'Données projet'!$E$11+1,1))</f>
        <v>207.25176714718668</v>
      </c>
      <c r="BJ163" s="59">
        <f t="shared" si="146"/>
        <v>191.53228014642559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58.957478612833619</v>
      </c>
      <c r="BQ163" s="21">
        <f>EXP(-LN(2)/25)*BQ162+(1-EXP(-LN(2)/25))/(LN(2)/25)*Calculateur!BL163*Calculateur!BN163*VLOOKUP('Données projet'!$B$11,Paramètres!$A$1:$I$89,3,0)*0.475*44/12</f>
        <v>9.5589029893001882</v>
      </c>
      <c r="BR163" s="21">
        <f>EXP(-LN(2)/2)*BR162+(1-EXP(-LN(2)/2))/(LN(2)/2)*BL163*BO163*VLOOKUP('Données projet'!$B$11,Paramètres!$A$1:$I$89,3,0)*0.475*44/12</f>
        <v>1.1688712593535675E-7</v>
      </c>
      <c r="BS163" s="22">
        <f t="shared" si="169"/>
        <v>68.516381719020927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68.620424404221751</v>
      </c>
      <c r="CE163" s="59">
        <f t="shared" si="148"/>
        <v>203.12945099478918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2.9569961493375718</v>
      </c>
      <c r="CL163" s="21">
        <f>EXP(-LN(2)/25)*CL162+(1-EXP(-LN(2)/25))/(LN(2)/25)*Calculateur!CG163*Calculateur!CI163*VLOOKUP('Données projet'!$B$12,Paramètres!$A$1:$I$89,3,0)*0.475*44/12</f>
        <v>0.20820091164453622</v>
      </c>
      <c r="CM163" s="21">
        <f>EXP(-LN(2)/2)*CM162+(1-EXP(-LN(2)/2))/(LN(2)/2)*CG163*CJ163*VLOOKUP('Données projet'!$B$12,Paramètres!$A$1:$I$89,3,0)*0.475*44/12</f>
        <v>1.2215751700192689E-20</v>
      </c>
      <c r="CN163" s="22">
        <f t="shared" si="172"/>
        <v>3.1651970609821078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-2.8421709430404007E-13</v>
      </c>
      <c r="CU163" s="17">
        <f>CT163*VLOOKUP('Données projet'!$B$13,Paramètres!$A$1:$I$89,3,0)*VLOOKUP('Données projet'!$B$13,Paramètres!$A$1:$I$89,5,0)</f>
        <v>-1.69961822393816E-13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196.25918971690442</v>
      </c>
      <c r="CZ163" s="59">
        <f t="shared" si="150"/>
        <v>148.35701313170205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38.394792754956228</v>
      </c>
      <c r="DG163" s="21">
        <f>EXP(-LN(2)/25)*DG162+(1-EXP(-LN(2)/25))/(LN(2)/25)*Calculateur!DB163*Calculateur!DD163*VLOOKUP('Données projet'!$B$13,Paramètres!$A$1:$I$89,3,0)*0.475*44/12</f>
        <v>7.3466756536877389</v>
      </c>
      <c r="DH163" s="21">
        <f>EXP(-LN(2)/2)*DH162+(1-EXP(-LN(2)/2))/(LN(2)/2)*DB163*DE163*VLOOKUP('Données projet'!$B$13,Paramètres!$A$1:$I$89,3,0)*0.475*44/12</f>
        <v>4.7815804629162401E-8</v>
      </c>
      <c r="DI163" s="22">
        <f t="shared" si="175"/>
        <v>45.741468456459771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11">
        <f t="shared" si="140"/>
        <v>20.995810517717125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67">
        <f t="shared" si="110"/>
        <v>461.13213665169121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180.31844548479722</v>
      </c>
      <c r="T164" s="59">
        <f t="shared" si="142"/>
        <v>273.83237400307223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11.2721313977286</v>
      </c>
      <c r="AA164" s="21">
        <f>EXP(-LN(2)/25)*AA163+(1-EXP(-LN(2)/25))/(LN(2)/25)*Calculateur!V164*Calculateur!X164*VLOOKUP('Données projet'!$B$9,Paramètres!$A$1:$I$89,3,0)*0.475*44/12</f>
        <v>8.7912093735757644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20.063340771304365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-5.6843418860808015E-14</v>
      </c>
      <c r="AJ164" s="13">
        <f>AI164*VLOOKUP('Données projet'!$B$10,Paramètres!$A$1:$I$89,3,0)*VLOOKUP('Données projet'!$B$10,Paramètres!$A$1:$I$89,5,0)</f>
        <v>-3.1036506698001178E-14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160.54301845388551</v>
      </c>
      <c r="AO164" s="59">
        <f t="shared" si="144"/>
        <v>272.6634844951584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6.1406219925235188</v>
      </c>
      <c r="AV164" s="21">
        <f>EXP(-LN(2)/25)*AV163+(1-EXP(-LN(2)/25))/(LN(2)/25)*Calculateur!AQ164*Calculateur!AS164*VLOOKUP('Données projet'!$B$10,Paramètres!$A$1:$I$89,3,0)*0.475*44/12</f>
        <v>5.2346333166075087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11.375255309131028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3.4106051316484809E-13</v>
      </c>
      <c r="BE164" s="13">
        <f>BD164*VLOOKUP('Données projet'!$B$11,Paramètres!$A$1:$I$89,3,0)*VLOOKUP('Données projet'!$B$11,Paramètres!$A$1:$I$89,5,0)</f>
        <v>1.5961632016114892E-13</v>
      </c>
      <c r="BF164" s="13">
        <f t="shared" si="167"/>
        <v>2.2708641912150958E-12</v>
      </c>
      <c r="BG164" s="20">
        <f t="shared" si="168"/>
        <v>4.2330868906469593E-12</v>
      </c>
      <c r="BH164" s="59">
        <f t="shared" si="116"/>
        <v>293.33333333333752</v>
      </c>
      <c r="BI164" s="59">
        <f ca="1">AVERAGE(OFFSET($BH$3,0,0,'Données projet'!$E$11+1,1))-AVERAGE(OFFSET($H$3,0,0,'Données projet'!$E$11+1,1))</f>
        <v>207.25176714718668</v>
      </c>
      <c r="BJ164" s="59">
        <f t="shared" si="146"/>
        <v>191.53228014642559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57.801358417747096</v>
      </c>
      <c r="BQ164" s="21">
        <f>EXP(-LN(2)/25)*BQ163+(1-EXP(-LN(2)/25))/(LN(2)/25)*Calculateur!BL164*Calculateur!BN164*VLOOKUP('Données projet'!$B$11,Paramètres!$A$1:$I$89,3,0)*0.475*44/12</f>
        <v>9.2975142843769127</v>
      </c>
      <c r="BR164" s="21">
        <f>EXP(-LN(2)/2)*BR163+(1-EXP(-LN(2)/2))/(LN(2)/2)*BL164*BO164*VLOOKUP('Données projet'!$B$11,Paramètres!$A$1:$I$89,3,0)*0.475*44/12</f>
        <v>8.2651679382296732E-8</v>
      </c>
      <c r="BS164" s="22">
        <f t="shared" si="169"/>
        <v>67.098872784775693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68.620424404221751</v>
      </c>
      <c r="CE164" s="59">
        <f t="shared" si="148"/>
        <v>203.12945099478918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2.8990112584386236</v>
      </c>
      <c r="CL164" s="21">
        <f>EXP(-LN(2)/25)*CL163+(1-EXP(-LN(2)/25))/(LN(2)/25)*Calculateur!CG164*Calculateur!CI164*VLOOKUP('Données projet'!$B$12,Paramètres!$A$1:$I$89,3,0)*0.475*44/12</f>
        <v>0.20250764676680627</v>
      </c>
      <c r="CM164" s="21">
        <f>EXP(-LN(2)/2)*CM163+(1-EXP(-LN(2)/2))/(LN(2)/2)*CG164*CJ164*VLOOKUP('Données projet'!$B$12,Paramètres!$A$1:$I$89,3,0)*0.475*44/12</f>
        <v>8.6378408644973473E-21</v>
      </c>
      <c r="CN164" s="22">
        <f t="shared" si="172"/>
        <v>3.1015189052054297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-2.8421709430404007E-13</v>
      </c>
      <c r="CU164" s="17">
        <f>CT164*VLOOKUP('Données projet'!$B$13,Paramètres!$A$1:$I$89,3,0)*VLOOKUP('Données projet'!$B$13,Paramètres!$A$1:$I$89,5,0)</f>
        <v>-1.69961822393816E-13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196.25918971690442</v>
      </c>
      <c r="CZ164" s="59">
        <f t="shared" si="150"/>
        <v>148.35701313170205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37.641894287542733</v>
      </c>
      <c r="DG164" s="21">
        <f>EXP(-LN(2)/25)*DG163+(1-EXP(-LN(2)/25))/(LN(2)/25)*Calculateur!DB164*Calculateur!DD164*VLOOKUP('Données projet'!$B$13,Paramètres!$A$1:$I$89,3,0)*0.475*44/12</f>
        <v>7.1457804215927663</v>
      </c>
      <c r="DH164" s="21">
        <f>EXP(-LN(2)/2)*DH163+(1-EXP(-LN(2)/2))/(LN(2)/2)*DB164*DE164*VLOOKUP('Données projet'!$B$13,Paramètres!$A$1:$I$89,3,0)*0.475*44/12</f>
        <v>3.3810879701171844E-8</v>
      </c>
      <c r="DI164" s="22">
        <f t="shared" si="175"/>
        <v>44.787674742946379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11">
        <f t="shared" si="140"/>
        <v>21.11099814060724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67">
        <f t="shared" si="110"/>
        <v>462.1478550948915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180.31844548479722</v>
      </c>
      <c r="T165" s="59">
        <f t="shared" si="142"/>
        <v>273.83237400307223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11.051091776340414</v>
      </c>
      <c r="AA165" s="21">
        <f>EXP(-LN(2)/25)*AA164+(1-EXP(-LN(2)/25))/(LN(2)/25)*Calculateur!V165*Calculateur!X165*VLOOKUP('Données projet'!$B$9,Paramètres!$A$1:$I$89,3,0)*0.475*44/12</f>
        <v>8.550813290945726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19.60190506728614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-5.6843418860808015E-14</v>
      </c>
      <c r="AJ165" s="13">
        <f>AI165*VLOOKUP('Données projet'!$B$10,Paramètres!$A$1:$I$89,3,0)*VLOOKUP('Données projet'!$B$10,Paramètres!$A$1:$I$89,5,0)</f>
        <v>-3.1036506698001178E-14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160.54301845388551</v>
      </c>
      <c r="AO165" s="59">
        <f t="shared" si="144"/>
        <v>272.6634844951584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6.0202081406597197</v>
      </c>
      <c r="AV165" s="21">
        <f>EXP(-LN(2)/25)*AV164+(1-EXP(-LN(2)/25))/(LN(2)/25)*Calculateur!AQ165*Calculateur!AS165*VLOOKUP('Données projet'!$B$10,Paramètres!$A$1:$I$89,3,0)*0.475*44/12</f>
        <v>5.091491993287474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11.111700133947194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3.4106051316484809E-13</v>
      </c>
      <c r="BE165" s="13">
        <f>BD165*VLOOKUP('Données projet'!$B$11,Paramètres!$A$1:$I$89,3,0)*VLOOKUP('Données projet'!$B$11,Paramètres!$A$1:$I$89,5,0)</f>
        <v>1.5961632016114892E-13</v>
      </c>
      <c r="BF165" s="13">
        <f t="shared" si="167"/>
        <v>2.2708641912150958E-12</v>
      </c>
      <c r="BG165" s="20">
        <f t="shared" si="168"/>
        <v>4.2330868906469593E-12</v>
      </c>
      <c r="BH165" s="59">
        <f t="shared" si="116"/>
        <v>293.33333333333752</v>
      </c>
      <c r="BI165" s="59">
        <f ca="1">AVERAGE(OFFSET($BH$3,0,0,'Données projet'!$E$11+1,1))-AVERAGE(OFFSET($H$3,0,0,'Données projet'!$E$11+1,1))</f>
        <v>207.25176714718668</v>
      </c>
      <c r="BJ165" s="59">
        <f t="shared" si="146"/>
        <v>191.53228014642559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56.66790903452253</v>
      </c>
      <c r="BQ165" s="21">
        <f>EXP(-LN(2)/25)*BQ164+(1-EXP(-LN(2)/25))/(LN(2)/25)*Calculateur!BL165*Calculateur!BN165*VLOOKUP('Données projet'!$B$11,Paramètres!$A$1:$I$89,3,0)*0.475*44/12</f>
        <v>9.0432732673356</v>
      </c>
      <c r="BR165" s="21">
        <f>EXP(-LN(2)/2)*BR164+(1-EXP(-LN(2)/2))/(LN(2)/2)*BL165*BO165*VLOOKUP('Données projet'!$B$11,Paramètres!$A$1:$I$89,3,0)*0.475*44/12</f>
        <v>5.8443562967678381E-8</v>
      </c>
      <c r="BS165" s="22">
        <f t="shared" si="169"/>
        <v>65.711182360301692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68.620424404221751</v>
      </c>
      <c r="CE165" s="59">
        <f t="shared" si="148"/>
        <v>203.12945099478918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2.8421634158829123</v>
      </c>
      <c r="CL165" s="21">
        <f>EXP(-LN(2)/25)*CL164+(1-EXP(-LN(2)/25))/(LN(2)/25)*Calculateur!CG165*Calculateur!CI165*VLOOKUP('Données projet'!$B$12,Paramètres!$A$1:$I$89,3,0)*0.475*44/12</f>
        <v>0.19697006451655363</v>
      </c>
      <c r="CM165" s="21">
        <f>EXP(-LN(2)/2)*CM164+(1-EXP(-LN(2)/2))/(LN(2)/2)*CG165*CJ165*VLOOKUP('Données projet'!$B$12,Paramètres!$A$1:$I$89,3,0)*0.475*44/12</f>
        <v>6.1078758500963443E-21</v>
      </c>
      <c r="CN165" s="22">
        <f t="shared" si="172"/>
        <v>3.0391334803994661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-2.8421709430404007E-13</v>
      </c>
      <c r="CU165" s="17">
        <f>CT165*VLOOKUP('Données projet'!$B$13,Paramètres!$A$1:$I$89,3,0)*VLOOKUP('Données projet'!$B$13,Paramètres!$A$1:$I$89,5,0)</f>
        <v>-1.69961822393816E-13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196.25918971690442</v>
      </c>
      <c r="CZ165" s="59">
        <f t="shared" si="150"/>
        <v>148.35701313170205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36.903759699852493</v>
      </c>
      <c r="DG165" s="21">
        <f>EXP(-LN(2)/25)*DG164+(1-EXP(-LN(2)/25))/(LN(2)/25)*Calculateur!DB165*Calculateur!DD165*VLOOKUP('Données projet'!$B$13,Paramètres!$A$1:$I$89,3,0)*0.475*44/12</f>
        <v>6.9503786801840519</v>
      </c>
      <c r="DH165" s="21">
        <f>EXP(-LN(2)/2)*DH164+(1-EXP(-LN(2)/2))/(LN(2)/2)*DB165*DE165*VLOOKUP('Données projet'!$B$13,Paramètres!$A$1:$I$89,3,0)*0.475*44/12</f>
        <v>2.3907902314581201E-8</v>
      </c>
      <c r="DI165" s="22">
        <f t="shared" si="175"/>
        <v>43.854138403944447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11">
        <f t="shared" si="140"/>
        <v>21.226103028228163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67">
        <f t="shared" si="110"/>
        <v>463.16342944083124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180.31844548479722</v>
      </c>
      <c r="T166" s="59">
        <f t="shared" si="142"/>
        <v>273.83237400307223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10.834386607106792</v>
      </c>
      <c r="AA166" s="21">
        <f>EXP(-LN(2)/25)*AA165+(1-EXP(-LN(2)/25))/(LN(2)/25)*Calculateur!V166*Calculateur!X166*VLOOKUP('Données projet'!$B$9,Paramètres!$A$1:$I$89,3,0)*0.475*44/12</f>
        <v>8.3169908518370868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19.151377458943877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-5.6843418860808015E-14</v>
      </c>
      <c r="AJ166" s="13">
        <f>AI166*VLOOKUP('Données projet'!$B$10,Paramètres!$A$1:$I$89,3,0)*VLOOKUP('Données projet'!$B$10,Paramètres!$A$1:$I$89,5,0)</f>
        <v>-3.1036506698001178E-14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160.54301845388551</v>
      </c>
      <c r="AO166" s="59">
        <f t="shared" si="144"/>
        <v>272.6634844951584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5.9021555309857723</v>
      </c>
      <c r="AV166" s="21">
        <f>EXP(-LN(2)/25)*AV165+(1-EXP(-LN(2)/25))/(LN(2)/25)*Calculateur!AQ166*Calculateur!AS166*VLOOKUP('Données projet'!$B$10,Paramètres!$A$1:$I$89,3,0)*0.475*44/12</f>
        <v>4.9522648769811006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10.854420407966874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3.4106051316484809E-13</v>
      </c>
      <c r="BE166" s="13">
        <f>BD166*VLOOKUP('Données projet'!$B$11,Paramètres!$A$1:$I$89,3,0)*VLOOKUP('Données projet'!$B$11,Paramètres!$A$1:$I$89,5,0)</f>
        <v>1.5961632016114892E-13</v>
      </c>
      <c r="BF166" s="13">
        <f t="shared" si="167"/>
        <v>2.2708641912150958E-12</v>
      </c>
      <c r="BG166" s="20">
        <f t="shared" si="168"/>
        <v>4.2330868906469593E-12</v>
      </c>
      <c r="BH166" s="59">
        <f t="shared" si="116"/>
        <v>293.33333333333752</v>
      </c>
      <c r="BI166" s="59">
        <f ca="1">AVERAGE(OFFSET($BH$3,0,0,'Données projet'!$E$11+1,1))-AVERAGE(OFFSET($H$3,0,0,'Données projet'!$E$11+1,1))</f>
        <v>207.25176714718668</v>
      </c>
      <c r="BJ166" s="59">
        <f t="shared" si="146"/>
        <v>191.53228014642559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55.556685902367143</v>
      </c>
      <c r="BQ166" s="21">
        <f>EXP(-LN(2)/25)*BQ165+(1-EXP(-LN(2)/25))/(LN(2)/25)*Calculateur!BL166*Calculateur!BN166*VLOOKUP('Données projet'!$B$11,Paramètres!$A$1:$I$89,3,0)*0.475*44/12</f>
        <v>8.7959844842752357</v>
      </c>
      <c r="BR166" s="21">
        <f>EXP(-LN(2)/2)*BR165+(1-EXP(-LN(2)/2))/(LN(2)/2)*BL166*BO166*VLOOKUP('Données projet'!$B$11,Paramètres!$A$1:$I$89,3,0)*0.475*44/12</f>
        <v>4.1325839691148372E-8</v>
      </c>
      <c r="BS166" s="22">
        <f t="shared" si="169"/>
        <v>64.352670427968206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68.620424404221751</v>
      </c>
      <c r="CE166" s="59">
        <f t="shared" si="148"/>
        <v>203.12945099478918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2.7864303248459583</v>
      </c>
      <c r="CL166" s="21">
        <f>EXP(-LN(2)/25)*CL165+(1-EXP(-LN(2)/25))/(LN(2)/25)*Calculateur!CG166*Calculateur!CI166*VLOOKUP('Données projet'!$B$12,Paramètres!$A$1:$I$89,3,0)*0.475*44/12</f>
        <v>0.19158390774414297</v>
      </c>
      <c r="CM166" s="21">
        <f>EXP(-LN(2)/2)*CM165+(1-EXP(-LN(2)/2))/(LN(2)/2)*CG166*CJ166*VLOOKUP('Données projet'!$B$12,Paramètres!$A$1:$I$89,3,0)*0.475*44/12</f>
        <v>4.3189204322486736E-21</v>
      </c>
      <c r="CN166" s="22">
        <f t="shared" si="172"/>
        <v>2.9780142325901013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-2.8421709430404007E-13</v>
      </c>
      <c r="CU166" s="17">
        <f>CT166*VLOOKUP('Données projet'!$B$13,Paramètres!$A$1:$I$89,3,0)*VLOOKUP('Données projet'!$B$13,Paramètres!$A$1:$I$89,5,0)</f>
        <v>-1.69961822393816E-13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196.25918971690442</v>
      </c>
      <c r="CZ166" s="59">
        <f t="shared" si="150"/>
        <v>148.35701313170205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36.180099481209218</v>
      </c>
      <c r="DG166" s="21">
        <f>EXP(-LN(2)/25)*DG165+(1-EXP(-LN(2)/25))/(LN(2)/25)*Calculateur!DB166*Calculateur!DD166*VLOOKUP('Données projet'!$B$13,Paramètres!$A$1:$I$89,3,0)*0.475*44/12</f>
        <v>6.7603202096698896</v>
      </c>
      <c r="DH166" s="21">
        <f>EXP(-LN(2)/2)*DH165+(1-EXP(-LN(2)/2))/(LN(2)/2)*DB166*DE166*VLOOKUP('Données projet'!$B$13,Paramètres!$A$1:$I$89,3,0)*0.475*44/12</f>
        <v>1.6905439850585922E-8</v>
      </c>
      <c r="DI166" s="22">
        <f t="shared" si="175"/>
        <v>42.94041970778455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11">
        <f t="shared" si="140"/>
        <v>21.341125747045204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67">
        <f t="shared" si="110"/>
        <v>464.17886067610431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180.31844548479722</v>
      </c>
      <c r="T167" s="59">
        <f t="shared" si="142"/>
        <v>273.83237400307223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10.621930894064739</v>
      </c>
      <c r="AA167" s="21">
        <f>EXP(-LN(2)/25)*AA166+(1-EXP(-LN(2)/25))/(LN(2)/25)*Calculateur!V167*Calculateur!X167*VLOOKUP('Données projet'!$B$9,Paramètres!$A$1:$I$89,3,0)*0.475*44/12</f>
        <v>8.0895622996220613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18.711493193686799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-5.6843418860808015E-14</v>
      </c>
      <c r="AJ167" s="13">
        <f>AI167*VLOOKUP('Données projet'!$B$10,Paramètres!$A$1:$I$89,3,0)*VLOOKUP('Données projet'!$B$10,Paramètres!$A$1:$I$89,5,0)</f>
        <v>-3.1036506698001178E-14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160.54301845388551</v>
      </c>
      <c r="AO167" s="59">
        <f t="shared" si="144"/>
        <v>272.6634844951584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5.7864178609825485</v>
      </c>
      <c r="AV167" s="21">
        <f>EXP(-LN(2)/25)*AV166+(1-EXP(-LN(2)/25))/(LN(2)/25)*Calculateur!AQ167*Calculateur!AS167*VLOOKUP('Données projet'!$B$10,Paramètres!$A$1:$I$89,3,0)*0.475*44/12</f>
        <v>4.8168449334917609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10.603262794474309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3.4106051316484809E-13</v>
      </c>
      <c r="BE167" s="13">
        <f>BD167*VLOOKUP('Données projet'!$B$11,Paramètres!$A$1:$I$89,3,0)*VLOOKUP('Données projet'!$B$11,Paramètres!$A$1:$I$89,5,0)</f>
        <v>1.5961632016114892E-13</v>
      </c>
      <c r="BF167" s="13">
        <f t="shared" si="167"/>
        <v>2.2708641912150958E-12</v>
      </c>
      <c r="BG167" s="20">
        <f t="shared" si="168"/>
        <v>4.2330868906469593E-12</v>
      </c>
      <c r="BH167" s="59">
        <f t="shared" si="116"/>
        <v>293.33333333333752</v>
      </c>
      <c r="BI167" s="59">
        <f ca="1">AVERAGE(OFFSET($BH$3,0,0,'Données projet'!$E$11+1,1))-AVERAGE(OFFSET($H$3,0,0,'Données projet'!$E$11+1,1))</f>
        <v>207.25176714718668</v>
      </c>
      <c r="BJ167" s="59">
        <f t="shared" si="146"/>
        <v>191.53228014642559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54.467253178054136</v>
      </c>
      <c r="BQ167" s="21">
        <f>EXP(-LN(2)/25)*BQ166+(1-EXP(-LN(2)/25))/(LN(2)/25)*Calculateur!BL167*Calculateur!BN167*VLOOKUP('Données projet'!$B$11,Paramètres!$A$1:$I$89,3,0)*0.475*44/12</f>
        <v>8.5554578259920095</v>
      </c>
      <c r="BR167" s="21">
        <f>EXP(-LN(2)/2)*BR166+(1-EXP(-LN(2)/2))/(LN(2)/2)*BL167*BO167*VLOOKUP('Données projet'!$B$11,Paramètres!$A$1:$I$89,3,0)*0.475*44/12</f>
        <v>2.9221781483839194E-8</v>
      </c>
      <c r="BS167" s="22">
        <f t="shared" si="169"/>
        <v>63.022711033267925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68.620424404221751</v>
      </c>
      <c r="CE167" s="59">
        <f t="shared" si="148"/>
        <v>203.12945099478918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2.7317901257304102</v>
      </c>
      <c r="CL167" s="21">
        <f>EXP(-LN(2)/25)*CL166+(1-EXP(-LN(2)/25))/(LN(2)/25)*Calculateur!CG167*Calculateur!CI167*VLOOKUP('Données projet'!$B$12,Paramètres!$A$1:$I$89,3,0)*0.475*44/12</f>
        <v>0.18634503571191954</v>
      </c>
      <c r="CM167" s="21">
        <f>EXP(-LN(2)/2)*CM166+(1-EXP(-LN(2)/2))/(LN(2)/2)*CG167*CJ167*VLOOKUP('Données projet'!$B$12,Paramètres!$A$1:$I$89,3,0)*0.475*44/12</f>
        <v>3.0539379250481722E-21</v>
      </c>
      <c r="CN167" s="22">
        <f t="shared" si="172"/>
        <v>2.9181351614423297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-2.8421709430404007E-13</v>
      </c>
      <c r="CU167" s="17">
        <f>CT167*VLOOKUP('Données projet'!$B$13,Paramètres!$A$1:$I$89,3,0)*VLOOKUP('Données projet'!$B$13,Paramètres!$A$1:$I$89,5,0)</f>
        <v>-1.69961822393816E-13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196.25918971690442</v>
      </c>
      <c r="CZ167" s="59">
        <f t="shared" si="150"/>
        <v>148.35701313170205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35.470629798064387</v>
      </c>
      <c r="DG167" s="21">
        <f>EXP(-LN(2)/25)*DG166+(1-EXP(-LN(2)/25))/(LN(2)/25)*Calculateur!DB167*Calculateur!DD167*VLOOKUP('Données projet'!$B$13,Paramètres!$A$1:$I$89,3,0)*0.475*44/12</f>
        <v>6.5754588980266773</v>
      </c>
      <c r="DH167" s="21">
        <f>EXP(-LN(2)/2)*DH166+(1-EXP(-LN(2)/2))/(LN(2)/2)*DB167*DE167*VLOOKUP('Données projet'!$B$13,Paramètres!$A$1:$I$89,3,0)*0.475*44/12</f>
        <v>1.19539511572906E-8</v>
      </c>
      <c r="DI167" s="22">
        <f t="shared" si="175"/>
        <v>42.046088708045012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11">
        <f t="shared" si="140"/>
        <v>21.456066856215958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67">
        <f t="shared" si="110"/>
        <v>465.19414977457666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180.31844548479722</v>
      </c>
      <c r="T168" s="59">
        <f t="shared" si="142"/>
        <v>273.83237400307223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10.413641307970254</v>
      </c>
      <c r="AA168" s="21">
        <f>EXP(-LN(2)/25)*AA167+(1-EXP(-LN(2)/25))/(LN(2)/25)*Calculateur!V168*Calculateur!X168*VLOOKUP('Données projet'!$B$9,Paramètres!$A$1:$I$89,3,0)*0.475*44/12</f>
        <v>7.8683527931273041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18.28199410109756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-5.6843418860808015E-14</v>
      </c>
      <c r="AJ168" s="13">
        <f>AI168*VLOOKUP('Données projet'!$B$10,Paramètres!$A$1:$I$89,3,0)*VLOOKUP('Données projet'!$B$10,Paramètres!$A$1:$I$89,5,0)</f>
        <v>-3.1036506698001178E-14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160.54301845388551</v>
      </c>
      <c r="AO168" s="59">
        <f t="shared" si="144"/>
        <v>272.6634844951584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5.67294973609508</v>
      </c>
      <c r="AV168" s="21">
        <f>EXP(-LN(2)/25)*AV167+(1-EXP(-LN(2)/25))/(LN(2)/25)*Calculateur!AQ168*Calculateur!AS168*VLOOKUP('Données projet'!$B$10,Paramètres!$A$1:$I$89,3,0)*0.475*44/12</f>
        <v>4.6851280554785628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10.358077791573642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3.4106051316484809E-13</v>
      </c>
      <c r="BE168" s="13">
        <f>BD168*VLOOKUP('Données projet'!$B$11,Paramètres!$A$1:$I$89,3,0)*VLOOKUP('Données projet'!$B$11,Paramètres!$A$1:$I$89,5,0)</f>
        <v>1.5961632016114892E-13</v>
      </c>
      <c r="BF168" s="13">
        <f t="shared" si="167"/>
        <v>2.2708641912150958E-12</v>
      </c>
      <c r="BG168" s="20">
        <f t="shared" si="168"/>
        <v>4.2330868906469593E-12</v>
      </c>
      <c r="BH168" s="59">
        <f t="shared" si="116"/>
        <v>293.33333333333752</v>
      </c>
      <c r="BI168" s="59">
        <f ca="1">AVERAGE(OFFSET($BH$3,0,0,'Données projet'!$E$11+1,1))-AVERAGE(OFFSET($H$3,0,0,'Données projet'!$E$11+1,1))</f>
        <v>207.25176714718668</v>
      </c>
      <c r="BJ168" s="59">
        <f t="shared" si="146"/>
        <v>191.53228014642559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53.39918356497656</v>
      </c>
      <c r="BQ168" s="21">
        <f>EXP(-LN(2)/25)*BQ167+(1-EXP(-LN(2)/25))/(LN(2)/25)*Calculateur!BL168*Calculateur!BN168*VLOOKUP('Données projet'!$B$11,Paramètres!$A$1:$I$89,3,0)*0.475*44/12</f>
        <v>8.3215083818282842</v>
      </c>
      <c r="BR168" s="21">
        <f>EXP(-LN(2)/2)*BR167+(1-EXP(-LN(2)/2))/(LN(2)/2)*BL168*BO168*VLOOKUP('Données projet'!$B$11,Paramètres!$A$1:$I$89,3,0)*0.475*44/12</f>
        <v>2.066291984557419E-8</v>
      </c>
      <c r="BS168" s="22">
        <f t="shared" si="169"/>
        <v>61.720691967467765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68.620424404221751</v>
      </c>
      <c r="CE168" s="59">
        <f t="shared" si="148"/>
        <v>203.12945099478918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2.6782213875922873</v>
      </c>
      <c r="CL168" s="21">
        <f>EXP(-LN(2)/25)*CL167+(1-EXP(-LN(2)/25))/(LN(2)/25)*Calculateur!CG168*Calculateur!CI168*VLOOKUP('Données projet'!$B$12,Paramètres!$A$1:$I$89,3,0)*0.475*44/12</f>
        <v>0.18124942091091759</v>
      </c>
      <c r="CM168" s="21">
        <f>EXP(-LN(2)/2)*CM167+(1-EXP(-LN(2)/2))/(LN(2)/2)*CG168*CJ168*VLOOKUP('Données projet'!$B$12,Paramètres!$A$1:$I$89,3,0)*0.475*44/12</f>
        <v>2.1594602161243368E-21</v>
      </c>
      <c r="CN168" s="22">
        <f t="shared" si="172"/>
        <v>2.8594708085032048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-2.8421709430404007E-13</v>
      </c>
      <c r="CU168" s="17">
        <f>CT168*VLOOKUP('Données projet'!$B$13,Paramètres!$A$1:$I$89,3,0)*VLOOKUP('Données projet'!$B$13,Paramètres!$A$1:$I$89,5,0)</f>
        <v>-1.69961822393816E-13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196.25918971690442</v>
      </c>
      <c r="CZ168" s="59">
        <f t="shared" si="150"/>
        <v>148.35701313170205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34.775072382672249</v>
      </c>
      <c r="DG168" s="21">
        <f>EXP(-LN(2)/25)*DG167+(1-EXP(-LN(2)/25))/(LN(2)/25)*Calculateur!DB168*Calculateur!DD168*VLOOKUP('Données projet'!$B$13,Paramètres!$A$1:$I$89,3,0)*0.475*44/12</f>
        <v>6.3956526286717823</v>
      </c>
      <c r="DH168" s="21">
        <f>EXP(-LN(2)/2)*DH167+(1-EXP(-LN(2)/2))/(LN(2)/2)*DB168*DE168*VLOOKUP('Données projet'!$B$13,Paramètres!$A$1:$I$89,3,0)*0.475*44/12</f>
        <v>8.452719925292961E-9</v>
      </c>
      <c r="DI168" s="22">
        <f t="shared" si="175"/>
        <v>41.170725019796755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11">
        <f t="shared" si="140"/>
        <v>21.570926907728293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67">
        <f t="shared" si="110"/>
        <v>466.20929769762733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180.31844548479722</v>
      </c>
      <c r="T169" s="59">
        <f t="shared" si="142"/>
        <v>273.83237400307223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10.209436153614977</v>
      </c>
      <c r="AA169" s="21">
        <f>EXP(-LN(2)/25)*AA168+(1-EXP(-LN(2)/25))/(LN(2)/25)*Calculateur!V169*Calculateur!X169*VLOOKUP('Données projet'!$B$9,Paramètres!$A$1:$I$89,3,0)*0.475*44/12</f>
        <v>7.6531922722205481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17.862628425835524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-5.6843418860808015E-14</v>
      </c>
      <c r="AJ169" s="13">
        <f>AI169*VLOOKUP('Données projet'!$B$10,Paramètres!$A$1:$I$89,3,0)*VLOOKUP('Données projet'!$B$10,Paramètres!$A$1:$I$89,5,0)</f>
        <v>-3.1036506698001178E-14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160.54301845388551</v>
      </c>
      <c r="AO169" s="59">
        <f t="shared" si="144"/>
        <v>272.6634844951584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5.5617066519279321</v>
      </c>
      <c r="AV169" s="21">
        <f>EXP(-LN(2)/25)*AV168+(1-EXP(-LN(2)/25))/(LN(2)/25)*Calculateur!AQ169*Calculateur!AS169*VLOOKUP('Données projet'!$B$10,Paramètres!$A$1:$I$89,3,0)*0.475*44/12</f>
        <v>4.557012982421325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10.118719634349258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3.4106051316484809E-13</v>
      </c>
      <c r="BE169" s="13">
        <f>BD169*VLOOKUP('Données projet'!$B$11,Paramètres!$A$1:$I$89,3,0)*VLOOKUP('Données projet'!$B$11,Paramètres!$A$1:$I$89,5,0)</f>
        <v>1.5961632016114892E-13</v>
      </c>
      <c r="BF169" s="13">
        <f t="shared" si="167"/>
        <v>2.2708641912150958E-12</v>
      </c>
      <c r="BG169" s="20">
        <f t="shared" si="168"/>
        <v>4.2330868906469593E-12</v>
      </c>
      <c r="BH169" s="59">
        <f t="shared" si="116"/>
        <v>293.33333333333752</v>
      </c>
      <c r="BI169" s="59">
        <f ca="1">AVERAGE(OFFSET($BH$3,0,0,'Données projet'!$E$11+1,1))-AVERAGE(OFFSET($H$3,0,0,'Données projet'!$E$11+1,1))</f>
        <v>207.25176714718668</v>
      </c>
      <c r="BJ169" s="59">
        <f t="shared" si="146"/>
        <v>191.53228014642559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52.352058145553293</v>
      </c>
      <c r="BQ169" s="21">
        <f>EXP(-LN(2)/25)*BQ168+(1-EXP(-LN(2)/25))/(LN(2)/25)*Calculateur!BL169*Calculateur!BN169*VLOOKUP('Données projet'!$B$11,Paramètres!$A$1:$I$89,3,0)*0.475*44/12</f>
        <v>8.0939562975180834</v>
      </c>
      <c r="BR169" s="21">
        <f>EXP(-LN(2)/2)*BR168+(1-EXP(-LN(2)/2))/(LN(2)/2)*BL169*BO169*VLOOKUP('Données projet'!$B$11,Paramètres!$A$1:$I$89,3,0)*0.475*44/12</f>
        <v>1.46108907419196E-8</v>
      </c>
      <c r="BS169" s="22">
        <f t="shared" si="169"/>
        <v>60.446014457682267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68.620424404221751</v>
      </c>
      <c r="CE169" s="59">
        <f t="shared" si="148"/>
        <v>203.12945099478918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2.625703099735349</v>
      </c>
      <c r="CL169" s="21">
        <f>EXP(-LN(2)/25)*CL168+(1-EXP(-LN(2)/25))/(LN(2)/25)*Calculateur!CG169*Calculateur!CI169*VLOOKUP('Données projet'!$B$12,Paramètres!$A$1:$I$89,3,0)*0.475*44/12</f>
        <v>0.17629314596461576</v>
      </c>
      <c r="CM169" s="21">
        <f>EXP(-LN(2)/2)*CM168+(1-EXP(-LN(2)/2))/(LN(2)/2)*CG169*CJ169*VLOOKUP('Données projet'!$B$12,Paramètres!$A$1:$I$89,3,0)*0.475*44/12</f>
        <v>1.5269689625240861E-21</v>
      </c>
      <c r="CN169" s="22">
        <f t="shared" si="172"/>
        <v>2.8019962456999647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-2.8421709430404007E-13</v>
      </c>
      <c r="CU169" s="17">
        <f>CT169*VLOOKUP('Données projet'!$B$13,Paramètres!$A$1:$I$89,3,0)*VLOOKUP('Données projet'!$B$13,Paramètres!$A$1:$I$89,5,0)</f>
        <v>-1.69961822393816E-13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196.25918971690442</v>
      </c>
      <c r="CZ169" s="59">
        <f t="shared" si="150"/>
        <v>148.35701313170205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34.093154423947816</v>
      </c>
      <c r="DG169" s="21">
        <f>EXP(-LN(2)/25)*DG168+(1-EXP(-LN(2)/25))/(LN(2)/25)*Calculateur!DB169*Calculateur!DD169*VLOOKUP('Données projet'!$B$13,Paramètres!$A$1:$I$89,3,0)*0.475*44/12</f>
        <v>6.2207631712079978</v>
      </c>
      <c r="DH169" s="21">
        <f>EXP(-LN(2)/2)*DH168+(1-EXP(-LN(2)/2))/(LN(2)/2)*DB169*DE169*VLOOKUP('Données projet'!$B$13,Paramètres!$A$1:$I$89,3,0)*0.475*44/12</f>
        <v>5.9769755786453002E-9</v>
      </c>
      <c r="DI169" s="22">
        <f t="shared" si="175"/>
        <v>40.313917601132793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11">
        <f t="shared" si="140"/>
        <v>21.685706446534894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67">
        <f t="shared" si="110"/>
        <v>467.22430539438216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180.31844548479722</v>
      </c>
      <c r="T170" s="59">
        <f t="shared" si="142"/>
        <v>273.83237400307223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10.009235337783762</v>
      </c>
      <c r="AA170" s="21">
        <f>EXP(-LN(2)/25)*AA169+(1-EXP(-LN(2)/25))/(LN(2)/25)*Calculateur!V170*Calculateur!X170*VLOOKUP('Données projet'!$B$9,Paramètres!$A$1:$I$89,3,0)*0.475*44/12</f>
        <v>7.4439153270727871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17.453150664856551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-5.6843418860808015E-14</v>
      </c>
      <c r="AJ170" s="13">
        <f>AI170*VLOOKUP('Données projet'!$B$10,Paramètres!$A$1:$I$89,3,0)*VLOOKUP('Données projet'!$B$10,Paramètres!$A$1:$I$89,5,0)</f>
        <v>-3.1036506698001178E-14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160.54301845388551</v>
      </c>
      <c r="AO170" s="59">
        <f t="shared" si="144"/>
        <v>272.6634844951584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5.4526449767897205</v>
      </c>
      <c r="AV170" s="21">
        <f>EXP(-LN(2)/25)*AV169+(1-EXP(-LN(2)/25))/(LN(2)/25)*Calculateur!AQ170*Calculateur!AS170*VLOOKUP('Données projet'!$B$10,Paramètres!$A$1:$I$89,3,0)*0.475*44/12</f>
        <v>4.4324012227741161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9.8850461995638366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3.4106051316484809E-13</v>
      </c>
      <c r="BE170" s="13">
        <f>BD170*VLOOKUP('Données projet'!$B$11,Paramètres!$A$1:$I$89,3,0)*VLOOKUP('Données projet'!$B$11,Paramètres!$A$1:$I$89,5,0)</f>
        <v>1.5961632016114892E-13</v>
      </c>
      <c r="BF170" s="13">
        <f t="shared" si="167"/>
        <v>2.2708641912150958E-12</v>
      </c>
      <c r="BG170" s="20">
        <f t="shared" si="168"/>
        <v>4.2330868906469593E-12</v>
      </c>
      <c r="BH170" s="59">
        <f t="shared" si="116"/>
        <v>293.33333333333752</v>
      </c>
      <c r="BI170" s="59">
        <f ca="1">AVERAGE(OFFSET($BH$3,0,0,'Données projet'!$E$11+1,1))-AVERAGE(OFFSET($H$3,0,0,'Données projet'!$E$11+1,1))</f>
        <v>207.25176714718668</v>
      </c>
      <c r="BJ170" s="59">
        <f t="shared" si="146"/>
        <v>191.53228014642559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51.325466216921477</v>
      </c>
      <c r="BQ170" s="21">
        <f>EXP(-LN(2)/25)*BQ169+(1-EXP(-LN(2)/25))/(LN(2)/25)*Calculateur!BL170*Calculateur!BN170*VLOOKUP('Données projet'!$B$11,Paramètres!$A$1:$I$89,3,0)*0.475*44/12</f>
        <v>7.8726266369197884</v>
      </c>
      <c r="BR170" s="21">
        <f>EXP(-LN(2)/2)*BR169+(1-EXP(-LN(2)/2))/(LN(2)/2)*BL170*BO170*VLOOKUP('Données projet'!$B$11,Paramètres!$A$1:$I$89,3,0)*0.475*44/12</f>
        <v>1.0331459922787096E-8</v>
      </c>
      <c r="BS170" s="22">
        <f t="shared" si="169"/>
        <v>59.198092864172729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68.620424404221751</v>
      </c>
      <c r="CE170" s="59">
        <f t="shared" si="148"/>
        <v>203.12945099478918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2.5742146634702925</v>
      </c>
      <c r="CL170" s="21">
        <f>EXP(-LN(2)/25)*CL169+(1-EXP(-LN(2)/25))/(LN(2)/25)*Calculateur!CG170*Calculateur!CI170*VLOOKUP('Données projet'!$B$12,Paramètres!$A$1:$I$89,3,0)*0.475*44/12</f>
        <v>0.17147240061735972</v>
      </c>
      <c r="CM170" s="21">
        <f>EXP(-LN(2)/2)*CM169+(1-EXP(-LN(2)/2))/(LN(2)/2)*CG170*CJ170*VLOOKUP('Données projet'!$B$12,Paramètres!$A$1:$I$89,3,0)*0.475*44/12</f>
        <v>1.0797301080621684E-21</v>
      </c>
      <c r="CN170" s="22">
        <f t="shared" si="172"/>
        <v>2.7456870640876523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-2.8421709430404007E-13</v>
      </c>
      <c r="CU170" s="17">
        <f>CT170*VLOOKUP('Données projet'!$B$13,Paramètres!$A$1:$I$89,3,0)*VLOOKUP('Données projet'!$B$13,Paramètres!$A$1:$I$89,5,0)</f>
        <v>-1.69961822393816E-13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196.25918971690442</v>
      </c>
      <c r="CZ170" s="59">
        <f t="shared" si="150"/>
        <v>148.35701313170205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33.424608460465087</v>
      </c>
      <c r="DG170" s="21">
        <f>EXP(-LN(2)/25)*DG169+(1-EXP(-LN(2)/25))/(LN(2)/25)*Calculateur!DB170*Calculateur!DD170*VLOOKUP('Données projet'!$B$13,Paramètres!$A$1:$I$89,3,0)*0.475*44/12</f>
        <v>6.0506560751555973</v>
      </c>
      <c r="DH170" s="21">
        <f>EXP(-LN(2)/2)*DH169+(1-EXP(-LN(2)/2))/(LN(2)/2)*DB170*DE170*VLOOKUP('Données projet'!$B$13,Paramètres!$A$1:$I$89,3,0)*0.475*44/12</f>
        <v>4.2263599626464805E-9</v>
      </c>
      <c r="DI170" s="22">
        <f t="shared" si="175"/>
        <v>39.475264539847039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11">
        <f t="shared" si="140"/>
        <v>21.800406010684551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67">
        <f t="shared" si="110"/>
        <v>468.23917380194285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180.31844548479722</v>
      </c>
      <c r="T171" s="59">
        <f t="shared" si="142"/>
        <v>273.83237400307223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9.8129603378405577</v>
      </c>
      <c r="AA171" s="21">
        <f>EXP(-LN(2)/25)*AA170+(1-EXP(-LN(2)/25))/(LN(2)/25)*Calculateur!V171*Calculateur!X171*VLOOKUP('Données projet'!$B$9,Paramètres!$A$1:$I$89,3,0)*0.475*44/12</f>
        <v>7.2403610709954878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17.053321408836045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-5.6843418860808015E-14</v>
      </c>
      <c r="AJ171" s="13">
        <f>AI171*VLOOKUP('Données projet'!$B$10,Paramètres!$A$1:$I$89,3,0)*VLOOKUP('Données projet'!$B$10,Paramètres!$A$1:$I$89,5,0)</f>
        <v>-3.1036506698001178E-14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160.54301845388551</v>
      </c>
      <c r="AO171" s="59">
        <f t="shared" si="144"/>
        <v>272.6634844951584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5.3457219345799158</v>
      </c>
      <c r="AV171" s="21">
        <f>EXP(-LN(2)/25)*AV170+(1-EXP(-LN(2)/25))/(LN(2)/25)*Calculateur!AQ171*Calculateur!AS171*VLOOKUP('Données projet'!$B$10,Paramètres!$A$1:$I$89,3,0)*0.475*44/12</f>
        <v>4.3111969782475077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9.6569189128274235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3.4106051316484809E-13</v>
      </c>
      <c r="BE171" s="13">
        <f>BD171*VLOOKUP('Données projet'!$B$11,Paramètres!$A$1:$I$89,3,0)*VLOOKUP('Données projet'!$B$11,Paramètres!$A$1:$I$89,5,0)</f>
        <v>1.5961632016114892E-13</v>
      </c>
      <c r="BF171" s="13">
        <f t="shared" si="167"/>
        <v>2.2708641912150958E-12</v>
      </c>
      <c r="BG171" s="20">
        <f t="shared" si="168"/>
        <v>4.2330868906469593E-12</v>
      </c>
      <c r="BH171" s="59">
        <f t="shared" si="116"/>
        <v>293.33333333333752</v>
      </c>
      <c r="BI171" s="59">
        <f ca="1">AVERAGE(OFFSET($BH$3,0,0,'Données projet'!$E$11+1,1))-AVERAGE(OFFSET($H$3,0,0,'Données projet'!$E$11+1,1))</f>
        <v>207.25176714718668</v>
      </c>
      <c r="BJ171" s="59">
        <f t="shared" si="146"/>
        <v>191.53228014642559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50.319005129850886</v>
      </c>
      <c r="BQ171" s="21">
        <f>EXP(-LN(2)/25)*BQ170+(1-EXP(-LN(2)/25))/(LN(2)/25)*Calculateur!BL171*Calculateur!BN171*VLOOKUP('Données projet'!$B$11,Paramètres!$A$1:$I$89,3,0)*0.475*44/12</f>
        <v>7.6573492475297753</v>
      </c>
      <c r="BR171" s="21">
        <f>EXP(-LN(2)/2)*BR170+(1-EXP(-LN(2)/2))/(LN(2)/2)*BL171*BO171*VLOOKUP('Données projet'!$B$11,Paramètres!$A$1:$I$89,3,0)*0.475*44/12</f>
        <v>7.3054453709598009E-9</v>
      </c>
      <c r="BS171" s="22">
        <f t="shared" si="169"/>
        <v>57.976354384686104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68.620424404221751</v>
      </c>
      <c r="CE171" s="59">
        <f t="shared" si="148"/>
        <v>203.12945099478918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2.5237358840355486</v>
      </c>
      <c r="CL171" s="21">
        <f>EXP(-LN(2)/25)*CL170+(1-EXP(-LN(2)/25))/(LN(2)/25)*Calculateur!CG171*Calculateur!CI171*VLOOKUP('Données projet'!$B$12,Paramètres!$A$1:$I$89,3,0)*0.475*44/12</f>
        <v>0.16678347880513636</v>
      </c>
      <c r="CM171" s="21">
        <f>EXP(-LN(2)/2)*CM170+(1-EXP(-LN(2)/2))/(LN(2)/2)*CG171*CJ171*VLOOKUP('Données projet'!$B$12,Paramètres!$A$1:$I$89,3,0)*0.475*44/12</f>
        <v>7.6348448126204304E-22</v>
      </c>
      <c r="CN171" s="22">
        <f t="shared" si="172"/>
        <v>2.6905193628406852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-2.8421709430404007E-13</v>
      </c>
      <c r="CU171" s="17">
        <f>CT171*VLOOKUP('Données projet'!$B$13,Paramètres!$A$1:$I$89,3,0)*VLOOKUP('Données projet'!$B$13,Paramètres!$A$1:$I$89,5,0)</f>
        <v>-1.69961822393816E-13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196.25918971690442</v>
      </c>
      <c r="CZ171" s="59">
        <f t="shared" si="150"/>
        <v>148.35701313170205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32.76917227555348</v>
      </c>
      <c r="DG171" s="21">
        <f>EXP(-LN(2)/25)*DG170+(1-EXP(-LN(2)/25))/(LN(2)/25)*Calculateur!DB171*Calculateur!DD171*VLOOKUP('Données projet'!$B$13,Paramètres!$A$1:$I$89,3,0)*0.475*44/12</f>
        <v>5.8852005665902931</v>
      </c>
      <c r="DH171" s="21">
        <f>EXP(-LN(2)/2)*DH170+(1-EXP(-LN(2)/2))/(LN(2)/2)*DB171*DE171*VLOOKUP('Données projet'!$B$13,Paramètres!$A$1:$I$89,3,0)*0.475*44/12</f>
        <v>2.9884877893226501E-9</v>
      </c>
      <c r="DI171" s="22">
        <f t="shared" si="175"/>
        <v>38.654372845132258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11">
        <f t="shared" si="140"/>
        <v>21.915026131450077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67">
        <f t="shared" si="110"/>
        <v>469.25390384560944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180.31844548479722</v>
      </c>
      <c r="T172" s="59">
        <f t="shared" si="142"/>
        <v>273.83237400307223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9.6205341709303092</v>
      </c>
      <c r="AA172" s="21">
        <f>EXP(-LN(2)/25)*AA171+(1-EXP(-LN(2)/25))/(LN(2)/25)*Calculateur!V172*Calculateur!X172*VLOOKUP('Données projet'!$B$9,Paramètres!$A$1:$I$89,3,0)*0.475*44/12</f>
        <v>7.0423730167550751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16.662907187685384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-5.6843418860808015E-14</v>
      </c>
      <c r="AJ172" s="13">
        <f>AI172*VLOOKUP('Données projet'!$B$10,Paramètres!$A$1:$I$89,3,0)*VLOOKUP('Données projet'!$B$10,Paramètres!$A$1:$I$89,5,0)</f>
        <v>-3.1036506698001178E-14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160.54301845388551</v>
      </c>
      <c r="AO172" s="59">
        <f t="shared" si="144"/>
        <v>272.6634844951584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5.2408955880112291</v>
      </c>
      <c r="AV172" s="21">
        <f>EXP(-LN(2)/25)*AV171+(1-EXP(-LN(2)/25))/(LN(2)/25)*Calculateur!AQ172*Calculateur!AS172*VLOOKUP('Données projet'!$B$10,Paramètres!$A$1:$I$89,3,0)*0.475*44/12</f>
        <v>4.1933070701613335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9.4342026581725626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3.4106051316484809E-13</v>
      </c>
      <c r="BE172" s="13">
        <f>BD172*VLOOKUP('Données projet'!$B$11,Paramètres!$A$1:$I$89,3,0)*VLOOKUP('Données projet'!$B$11,Paramètres!$A$1:$I$89,5,0)</f>
        <v>1.5961632016114892E-13</v>
      </c>
      <c r="BF172" s="13">
        <f t="shared" si="167"/>
        <v>2.2708641912150958E-12</v>
      </c>
      <c r="BG172" s="20">
        <f t="shared" si="168"/>
        <v>4.2330868906469593E-12</v>
      </c>
      <c r="BH172" s="59">
        <f t="shared" si="116"/>
        <v>293.33333333333752</v>
      </c>
      <c r="BI172" s="59">
        <f ca="1">AVERAGE(OFFSET($BH$3,0,0,'Données projet'!$E$11+1,1))-AVERAGE(OFFSET($H$3,0,0,'Données projet'!$E$11+1,1))</f>
        <v>207.25176714718668</v>
      </c>
      <c r="BJ172" s="59">
        <f t="shared" si="146"/>
        <v>191.53228014642559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49.332280130817097</v>
      </c>
      <c r="BQ172" s="21">
        <f>EXP(-LN(2)/25)*BQ171+(1-EXP(-LN(2)/25))/(LN(2)/25)*Calculateur!BL172*Calculateur!BN172*VLOOKUP('Données projet'!$B$11,Paramètres!$A$1:$I$89,3,0)*0.475*44/12</f>
        <v>7.447958629673578</v>
      </c>
      <c r="BR172" s="21">
        <f>EXP(-LN(2)/2)*BR171+(1-EXP(-LN(2)/2))/(LN(2)/2)*BL172*BO172*VLOOKUP('Données projet'!$B$11,Paramètres!$A$1:$I$89,3,0)*0.475*44/12</f>
        <v>5.165729961393549E-9</v>
      </c>
      <c r="BS172" s="22">
        <f t="shared" si="169"/>
        <v>56.780238765656406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68.620424404221751</v>
      </c>
      <c r="CE172" s="59">
        <f t="shared" si="148"/>
        <v>203.12945099478918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2.4742469626765047</v>
      </c>
      <c r="CL172" s="21">
        <f>EXP(-LN(2)/25)*CL171+(1-EXP(-LN(2)/25))/(LN(2)/25)*Calculateur!CG172*Calculateur!CI172*VLOOKUP('Données projet'!$B$12,Paramètres!$A$1:$I$89,3,0)*0.475*44/12</f>
        <v>0.16222277580644795</v>
      </c>
      <c r="CM172" s="21">
        <f>EXP(-LN(2)/2)*CM171+(1-EXP(-LN(2)/2))/(LN(2)/2)*CG172*CJ172*VLOOKUP('Données projet'!$B$12,Paramètres!$A$1:$I$89,3,0)*0.475*44/12</f>
        <v>5.398650540310842E-22</v>
      </c>
      <c r="CN172" s="22">
        <f t="shared" si="172"/>
        <v>2.6364697384829525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-2.8421709430404007E-13</v>
      </c>
      <c r="CU172" s="17">
        <f>CT172*VLOOKUP('Données projet'!$B$13,Paramètres!$A$1:$I$89,3,0)*VLOOKUP('Données projet'!$B$13,Paramètres!$A$1:$I$89,5,0)</f>
        <v>-1.69961822393816E-13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196.25918971690442</v>
      </c>
      <c r="CZ172" s="59">
        <f t="shared" si="150"/>
        <v>148.35701313170205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32.126588794451386</v>
      </c>
      <c r="DG172" s="21">
        <f>EXP(-LN(2)/25)*DG171+(1-EXP(-LN(2)/25))/(LN(2)/25)*Calculateur!DB172*Calculateur!DD172*VLOOKUP('Données projet'!$B$13,Paramètres!$A$1:$I$89,3,0)*0.475*44/12</f>
        <v>5.7242694476076341</v>
      </c>
      <c r="DH172" s="21">
        <f>EXP(-LN(2)/2)*DH171+(1-EXP(-LN(2)/2))/(LN(2)/2)*DB172*DE172*VLOOKUP('Données projet'!$B$13,Paramètres!$A$1:$I$89,3,0)*0.475*44/12</f>
        <v>2.1131799813232403E-9</v>
      </c>
      <c r="DI172" s="22">
        <f t="shared" si="175"/>
        <v>37.850858244172201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11">
        <f t="shared" si="140"/>
        <v>22.0295673334534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67">
        <f t="shared" si="110"/>
        <v>470.26849643909861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180.31844548479722</v>
      </c>
      <c r="T173" s="59">
        <f t="shared" si="142"/>
        <v>273.83237400307223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9.4318813637847985</v>
      </c>
      <c r="AA173" s="21">
        <f>EXP(-LN(2)/25)*AA172+(1-EXP(-LN(2)/25))/(LN(2)/25)*Calculateur!V173*Calculateur!X173*VLOOKUP('Données projet'!$B$9,Paramètres!$A$1:$I$89,3,0)*0.475*44/12</f>
        <v>6.8497989562696064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16.281680320054406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-5.6843418860808015E-14</v>
      </c>
      <c r="AJ173" s="13">
        <f>AI173*VLOOKUP('Données projet'!$B$10,Paramètres!$A$1:$I$89,3,0)*VLOOKUP('Données projet'!$B$10,Paramètres!$A$1:$I$89,5,0)</f>
        <v>-3.1036506698001178E-14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160.54301845388551</v>
      </c>
      <c r="AO173" s="59">
        <f t="shared" si="144"/>
        <v>272.6634844951584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5.1381248221609965</v>
      </c>
      <c r="AV173" s="21">
        <f>EXP(-LN(2)/25)*AV172+(1-EXP(-LN(2)/25))/(LN(2)/25)*Calculateur!AQ173*Calculateur!AS173*VLOOKUP('Données projet'!$B$10,Paramètres!$A$1:$I$89,3,0)*0.475*44/12</f>
        <v>4.0786408678113366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9.216765689972334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3.4106051316484809E-13</v>
      </c>
      <c r="BE173" s="13">
        <f>BD173*VLOOKUP('Données projet'!$B$11,Paramètres!$A$1:$I$89,3,0)*VLOOKUP('Données projet'!$B$11,Paramètres!$A$1:$I$89,5,0)</f>
        <v>1.5961632016114892E-13</v>
      </c>
      <c r="BF173" s="13">
        <f t="shared" si="167"/>
        <v>2.2708641912150958E-12</v>
      </c>
      <c r="BG173" s="20">
        <f t="shared" si="168"/>
        <v>4.2330868906469593E-12</v>
      </c>
      <c r="BH173" s="59">
        <f t="shared" si="116"/>
        <v>293.33333333333752</v>
      </c>
      <c r="BI173" s="59">
        <f ca="1">AVERAGE(OFFSET($BH$3,0,0,'Données projet'!$E$11+1,1))-AVERAGE(OFFSET($H$3,0,0,'Données projet'!$E$11+1,1))</f>
        <v>207.25176714718668</v>
      </c>
      <c r="BJ173" s="59">
        <f t="shared" si="146"/>
        <v>191.53228014642559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48.364904207171541</v>
      </c>
      <c r="BQ173" s="21">
        <f>EXP(-LN(2)/25)*BQ172+(1-EXP(-LN(2)/25))/(LN(2)/25)*Calculateur!BL173*Calculateur!BN173*VLOOKUP('Données projet'!$B$11,Paramètres!$A$1:$I$89,3,0)*0.475*44/12</f>
        <v>7.2442938092740325</v>
      </c>
      <c r="BR173" s="21">
        <f>EXP(-LN(2)/2)*BR172+(1-EXP(-LN(2)/2))/(LN(2)/2)*BL173*BO173*VLOOKUP('Données projet'!$B$11,Paramètres!$A$1:$I$89,3,0)*0.475*44/12</f>
        <v>3.6527226854799013E-9</v>
      </c>
      <c r="BS173" s="22">
        <f t="shared" si="169"/>
        <v>55.609198020098297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68.620424404221751</v>
      </c>
      <c r="CE173" s="59">
        <f t="shared" si="148"/>
        <v>203.12945099478918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2.4257284888800501</v>
      </c>
      <c r="CL173" s="21">
        <f>EXP(-LN(2)/25)*CL172+(1-EXP(-LN(2)/25))/(LN(2)/25)*Calculateur!CG173*Calculateur!CI173*VLOOKUP('Données projet'!$B$12,Paramètres!$A$1:$I$89,3,0)*0.475*44/12</f>
        <v>0.15778678547109562</v>
      </c>
      <c r="CM173" s="21">
        <f>EXP(-LN(2)/2)*CM172+(1-EXP(-LN(2)/2))/(LN(2)/2)*CG173*CJ173*VLOOKUP('Données projet'!$B$12,Paramètres!$A$1:$I$89,3,0)*0.475*44/12</f>
        <v>3.8174224063102152E-22</v>
      </c>
      <c r="CN173" s="22">
        <f t="shared" si="172"/>
        <v>2.5835152743511456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-2.8421709430404007E-13</v>
      </c>
      <c r="CU173" s="17">
        <f>CT173*VLOOKUP('Données projet'!$B$13,Paramètres!$A$1:$I$89,3,0)*VLOOKUP('Données projet'!$B$13,Paramètres!$A$1:$I$89,5,0)</f>
        <v>-1.69961822393816E-13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196.25918971690442</v>
      </c>
      <c r="CZ173" s="59">
        <f t="shared" si="150"/>
        <v>148.35701313170205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31.496605983476485</v>
      </c>
      <c r="DG173" s="21">
        <f>EXP(-LN(2)/25)*DG172+(1-EXP(-LN(2)/25))/(LN(2)/25)*Calculateur!DB173*Calculateur!DD173*VLOOKUP('Données projet'!$B$13,Paramètres!$A$1:$I$89,3,0)*0.475*44/12</f>
        <v>5.567738998536556</v>
      </c>
      <c r="DH173" s="21">
        <f>EXP(-LN(2)/2)*DH172+(1-EXP(-LN(2)/2))/(LN(2)/2)*DB173*DE173*VLOOKUP('Données projet'!$B$13,Paramètres!$A$1:$I$89,3,0)*0.475*44/12</f>
        <v>1.494243894661325E-9</v>
      </c>
      <c r="DI173" s="22">
        <f t="shared" si="175"/>
        <v>37.064344983507283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11">
        <f t="shared" si="140"/>
        <v>22.144030134787236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67">
        <f t="shared" si="110"/>
        <v>471.28295248475501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180.31844548479722</v>
      </c>
      <c r="T174" s="59">
        <f t="shared" si="142"/>
        <v>273.83237400307223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9.2469279231205608</v>
      </c>
      <c r="AA174" s="21">
        <f>EXP(-LN(2)/25)*AA173+(1-EXP(-LN(2)/25))/(LN(2)/25)*Calculateur!V174*Calculateur!X174*VLOOKUP('Données projet'!$B$9,Paramètres!$A$1:$I$89,3,0)*0.475*44/12</f>
        <v>6.6624908435951422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15.909418766715703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-5.6843418860808015E-14</v>
      </c>
      <c r="AJ174" s="13">
        <f>AI174*VLOOKUP('Données projet'!$B$10,Paramètres!$A$1:$I$89,3,0)*VLOOKUP('Données projet'!$B$10,Paramètres!$A$1:$I$89,5,0)</f>
        <v>-3.1036506698001178E-14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160.54301845388551</v>
      </c>
      <c r="AO174" s="59">
        <f t="shared" si="144"/>
        <v>272.6634844951584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5.0373693283451093</v>
      </c>
      <c r="AV174" s="21">
        <f>EXP(-LN(2)/25)*AV173+(1-EXP(-LN(2)/25))/(LN(2)/25)*Calculateur!AQ174*Calculateur!AS174*VLOOKUP('Données projet'!$B$10,Paramètres!$A$1:$I$89,3,0)*0.475*44/12</f>
        <v>3.9671102187946343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9.0044795471397432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3.4106051316484809E-13</v>
      </c>
      <c r="BE174" s="13">
        <f>BD174*VLOOKUP('Données projet'!$B$11,Paramètres!$A$1:$I$89,3,0)*VLOOKUP('Données projet'!$B$11,Paramètres!$A$1:$I$89,5,0)</f>
        <v>1.5961632016114892E-13</v>
      </c>
      <c r="BF174" s="13">
        <f t="shared" si="167"/>
        <v>2.2708641912150958E-12</v>
      </c>
      <c r="BG174" s="20">
        <f t="shared" si="168"/>
        <v>4.2330868906469593E-12</v>
      </c>
      <c r="BH174" s="59">
        <f t="shared" si="116"/>
        <v>293.33333333333752</v>
      </c>
      <c r="BI174" s="59">
        <f ca="1">AVERAGE(OFFSET($BH$3,0,0,'Données projet'!$E$11+1,1))-AVERAGE(OFFSET($H$3,0,0,'Données projet'!$E$11+1,1))</f>
        <v>207.25176714718668</v>
      </c>
      <c r="BJ174" s="59">
        <f t="shared" si="146"/>
        <v>191.53228014642559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47.416497935347621</v>
      </c>
      <c r="BQ174" s="21">
        <f>EXP(-LN(2)/25)*BQ173+(1-EXP(-LN(2)/25))/(LN(2)/25)*Calculateur!BL174*Calculateur!BN174*VLOOKUP('Données projet'!$B$11,Paramètres!$A$1:$I$89,3,0)*0.475*44/12</f>
        <v>7.0461982140985802</v>
      </c>
      <c r="BR174" s="21">
        <f>EXP(-LN(2)/2)*BR173+(1-EXP(-LN(2)/2))/(LN(2)/2)*BL174*BO174*VLOOKUP('Données projet'!$B$11,Paramètres!$A$1:$I$89,3,0)*0.475*44/12</f>
        <v>2.5828649806967749E-9</v>
      </c>
      <c r="BS174" s="22">
        <f t="shared" si="169"/>
        <v>54.462696152029068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68.620424404221751</v>
      </c>
      <c r="CE174" s="59">
        <f t="shared" si="148"/>
        <v>203.12945099478918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2.3781614327613974</v>
      </c>
      <c r="CL174" s="21">
        <f>EXP(-LN(2)/25)*CL173+(1-EXP(-LN(2)/25))/(LN(2)/25)*Calculateur!CG174*Calculateur!CI174*VLOOKUP('Données projet'!$B$12,Paramètres!$A$1:$I$89,3,0)*0.475*44/12</f>
        <v>0.15347209752474208</v>
      </c>
      <c r="CM174" s="21">
        <f>EXP(-LN(2)/2)*CM173+(1-EXP(-LN(2)/2))/(LN(2)/2)*CG174*CJ174*VLOOKUP('Données projet'!$B$12,Paramètres!$A$1:$I$89,3,0)*0.475*44/12</f>
        <v>2.699325270155421E-22</v>
      </c>
      <c r="CN174" s="22">
        <f t="shared" si="172"/>
        <v>2.5316335302861392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-2.8421709430404007E-13</v>
      </c>
      <c r="CU174" s="17">
        <f>CT174*VLOOKUP('Données projet'!$B$13,Paramètres!$A$1:$I$89,3,0)*VLOOKUP('Données projet'!$B$13,Paramètres!$A$1:$I$89,5,0)</f>
        <v>-1.69961822393816E-13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196.25918971690442</v>
      </c>
      <c r="CZ174" s="59">
        <f t="shared" si="150"/>
        <v>148.35701313170205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30.87897675117323</v>
      </c>
      <c r="DG174" s="21">
        <f>EXP(-LN(2)/25)*DG173+(1-EXP(-LN(2)/25))/(LN(2)/25)*Calculateur!DB174*Calculateur!DD174*VLOOKUP('Données projet'!$B$13,Paramètres!$A$1:$I$89,3,0)*0.475*44/12</f>
        <v>5.4154888828269048</v>
      </c>
      <c r="DH174" s="21">
        <f>EXP(-LN(2)/2)*DH173+(1-EXP(-LN(2)/2))/(LN(2)/2)*DB174*DE174*VLOOKUP('Données projet'!$B$13,Paramètres!$A$1:$I$89,3,0)*0.475*44/12</f>
        <v>1.0565899906616201E-9</v>
      </c>
      <c r="DI174" s="22">
        <f t="shared" si="175"/>
        <v>36.294465635056724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11">
        <f t="shared" si="140"/>
        <v>22.258415047134207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67">
        <f t="shared" si="110"/>
        <v>472.29727287375937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180.31844548479722</v>
      </c>
      <c r="T175" s="59">
        <f t="shared" si="142"/>
        <v>273.83237400307223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9.0656013066172889</v>
      </c>
      <c r="AA175" s="21">
        <f>EXP(-LN(2)/25)*AA174+(1-EXP(-LN(2)/25))/(LN(2)/25)*Calculateur!V175*Calculateur!X175*VLOOKUP('Données projet'!$B$9,Paramètres!$A$1:$I$89,3,0)*0.475*44/12</f>
        <v>6.4803046811118667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15.545905987729157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-5.6843418860808015E-14</v>
      </c>
      <c r="AJ175" s="13">
        <f>AI175*VLOOKUP('Données projet'!$B$10,Paramètres!$A$1:$I$89,3,0)*VLOOKUP('Données projet'!$B$10,Paramètres!$A$1:$I$89,5,0)</f>
        <v>-3.1036506698001178E-14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160.54301845388551</v>
      </c>
      <c r="AO175" s="59">
        <f t="shared" si="144"/>
        <v>272.6634844951584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4.9385895883081687</v>
      </c>
      <c r="AV175" s="21">
        <f>EXP(-LN(2)/25)*AV174+(1-EXP(-LN(2)/25))/(LN(2)/25)*Calculateur!AQ175*Calculateur!AS175*VLOOKUP('Données projet'!$B$10,Paramètres!$A$1:$I$89,3,0)*0.475*44/12</f>
        <v>3.8586293812404358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8.7972189695486041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3.4106051316484809E-13</v>
      </c>
      <c r="BE175" s="13">
        <f>BD175*VLOOKUP('Données projet'!$B$11,Paramètres!$A$1:$I$89,3,0)*VLOOKUP('Données projet'!$B$11,Paramètres!$A$1:$I$89,5,0)</f>
        <v>1.5961632016114892E-13</v>
      </c>
      <c r="BF175" s="13">
        <f t="shared" si="167"/>
        <v>2.2708641912150958E-12</v>
      </c>
      <c r="BG175" s="20">
        <f t="shared" si="168"/>
        <v>4.2330868906469593E-12</v>
      </c>
      <c r="BH175" s="59">
        <f t="shared" si="116"/>
        <v>293.33333333333752</v>
      </c>
      <c r="BI175" s="59">
        <f ca="1">AVERAGE(OFFSET($BH$3,0,0,'Données projet'!$E$11+1,1))-AVERAGE(OFFSET($H$3,0,0,'Données projet'!$E$11+1,1))</f>
        <v>207.25176714718668</v>
      </c>
      <c r="BJ175" s="59">
        <f t="shared" si="146"/>
        <v>191.53228014642559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46.486689332043461</v>
      </c>
      <c r="BQ175" s="21">
        <f>EXP(-LN(2)/25)*BQ174+(1-EXP(-LN(2)/25))/(LN(2)/25)*Calculateur!BL175*Calculateur!BN175*VLOOKUP('Données projet'!$B$11,Paramètres!$A$1:$I$89,3,0)*0.475*44/12</f>
        <v>6.853519553390595</v>
      </c>
      <c r="BR175" s="21">
        <f>EXP(-LN(2)/2)*BR174+(1-EXP(-LN(2)/2))/(LN(2)/2)*BL175*BO175*VLOOKUP('Données projet'!$B$11,Paramètres!$A$1:$I$89,3,0)*0.475*44/12</f>
        <v>1.8263613427399508E-9</v>
      </c>
      <c r="BS175" s="22">
        <f t="shared" si="169"/>
        <v>53.340208887260424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68.620424404221751</v>
      </c>
      <c r="CE175" s="59">
        <f t="shared" si="148"/>
        <v>203.12945099478918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2.331527137600192</v>
      </c>
      <c r="CL175" s="21">
        <f>EXP(-LN(2)/25)*CL174+(1-EXP(-LN(2)/25))/(LN(2)/25)*Calculateur!CG175*Calculateur!CI175*VLOOKUP('Données projet'!$B$12,Paramètres!$A$1:$I$89,3,0)*0.475*44/12</f>
        <v>0.14927539494718117</v>
      </c>
      <c r="CM175" s="21">
        <f>EXP(-LN(2)/2)*CM174+(1-EXP(-LN(2)/2))/(LN(2)/2)*CG175*CJ175*VLOOKUP('Données projet'!$B$12,Paramètres!$A$1:$I$89,3,0)*0.475*44/12</f>
        <v>1.9087112031551076E-22</v>
      </c>
      <c r="CN175" s="22">
        <f t="shared" si="172"/>
        <v>2.480802532547373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-2.8421709430404007E-13</v>
      </c>
      <c r="CU175" s="17">
        <f>CT175*VLOOKUP('Données projet'!$B$13,Paramètres!$A$1:$I$89,3,0)*VLOOKUP('Données projet'!$B$13,Paramètres!$A$1:$I$89,5,0)</f>
        <v>-1.69961822393816E-13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196.25918971690442</v>
      </c>
      <c r="CZ175" s="59">
        <f t="shared" si="150"/>
        <v>148.35701313170205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30.273458851398807</v>
      </c>
      <c r="DG175" s="21">
        <f>EXP(-LN(2)/25)*DG174+(1-EXP(-LN(2)/25))/(LN(2)/25)*Calculateur!DB175*Calculateur!DD175*VLOOKUP('Données projet'!$B$13,Paramètres!$A$1:$I$89,3,0)*0.475*44/12</f>
        <v>5.2674020545378202</v>
      </c>
      <c r="DH175" s="21">
        <f>EXP(-LN(2)/2)*DH174+(1-EXP(-LN(2)/2))/(LN(2)/2)*DB175*DE175*VLOOKUP('Données projet'!$B$13,Paramètres!$A$1:$I$89,3,0)*0.475*44/12</f>
        <v>7.4712194733066252E-10</v>
      </c>
      <c r="DI175" s="22">
        <f t="shared" si="175"/>
        <v>35.540860906683747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11">
        <f t="shared" si="140"/>
        <v>22.372722575882829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67">
        <f t="shared" si="110"/>
        <v>473.31145848632991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180.31844548479722</v>
      </c>
      <c r="T176" s="59">
        <f t="shared" si="142"/>
        <v>273.83237400307223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8.8878303944653307</v>
      </c>
      <c r="AA176" s="21">
        <f>EXP(-LN(2)/25)*AA175+(1-EXP(-LN(2)/25))/(LN(2)/25)*Calculateur!V176*Calculateur!X176*VLOOKUP('Données projet'!$B$9,Paramètres!$A$1:$I$89,3,0)*0.475*44/12</f>
        <v>6.3031004088224503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15.190930803287781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-5.6843418860808015E-14</v>
      </c>
      <c r="AJ176" s="13">
        <f>AI176*VLOOKUP('Données projet'!$B$10,Paramètres!$A$1:$I$89,3,0)*VLOOKUP('Données projet'!$B$10,Paramètres!$A$1:$I$89,5,0)</f>
        <v>-3.1036506698001178E-14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160.54301845388551</v>
      </c>
      <c r="AO176" s="59">
        <f t="shared" si="144"/>
        <v>272.6634844951584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4.8417468587236598</v>
      </c>
      <c r="AV176" s="21">
        <f>EXP(-LN(2)/25)*AV175+(1-EXP(-LN(2)/25))/(LN(2)/25)*Calculateur!AQ176*Calculateur!AS176*VLOOKUP('Données projet'!$B$10,Paramètres!$A$1:$I$89,3,0)*0.475*44/12</f>
        <v>3.7531149578939158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8.5948618166175752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3.4106051316484809E-13</v>
      </c>
      <c r="BE176" s="13">
        <f>BD176*VLOOKUP('Données projet'!$B$11,Paramètres!$A$1:$I$89,3,0)*VLOOKUP('Données projet'!$B$11,Paramètres!$A$1:$I$89,5,0)</f>
        <v>1.5961632016114892E-13</v>
      </c>
      <c r="BF176" s="13">
        <f t="shared" si="167"/>
        <v>2.2708641912150958E-12</v>
      </c>
      <c r="BG176" s="20">
        <f t="shared" si="168"/>
        <v>4.2330868906469593E-12</v>
      </c>
      <c r="BH176" s="59">
        <f t="shared" si="116"/>
        <v>293.33333333333752</v>
      </c>
      <c r="BI176" s="59">
        <f ca="1">AVERAGE(OFFSET($BH$3,0,0,'Données projet'!$E$11+1,1))-AVERAGE(OFFSET($H$3,0,0,'Données projet'!$E$11+1,1))</f>
        <v>207.25176714718668</v>
      </c>
      <c r="BJ176" s="59">
        <f t="shared" si="146"/>
        <v>191.53228014642559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45.575113708322846</v>
      </c>
      <c r="BQ176" s="21">
        <f>EXP(-LN(2)/25)*BQ175+(1-EXP(-LN(2)/25))/(LN(2)/25)*Calculateur!BL176*Calculateur!BN176*VLOOKUP('Données projet'!$B$11,Paramètres!$A$1:$I$89,3,0)*0.475*44/12</f>
        <v>6.6661097007921999</v>
      </c>
      <c r="BR176" s="21">
        <f>EXP(-LN(2)/2)*BR175+(1-EXP(-LN(2)/2))/(LN(2)/2)*BL176*BO176*VLOOKUP('Données projet'!$B$11,Paramètres!$A$1:$I$89,3,0)*0.475*44/12</f>
        <v>1.2914324903483877E-9</v>
      </c>
      <c r="BS176" s="22">
        <f t="shared" si="169"/>
        <v>52.241223410406477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68.620424404221751</v>
      </c>
      <c r="CE176" s="59">
        <f t="shared" si="148"/>
        <v>203.12945099478918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2.2858073125229863</v>
      </c>
      <c r="CL176" s="21">
        <f>EXP(-LN(2)/25)*CL175+(1-EXP(-LN(2)/25))/(LN(2)/25)*Calculateur!CG176*Calculateur!CI176*VLOOKUP('Données projet'!$B$12,Paramètres!$A$1:$I$89,3,0)*0.475*44/12</f>
        <v>0.14519345142229867</v>
      </c>
      <c r="CM176" s="21">
        <f>EXP(-LN(2)/2)*CM175+(1-EXP(-LN(2)/2))/(LN(2)/2)*CG176*CJ176*VLOOKUP('Données projet'!$B$12,Paramètres!$A$1:$I$89,3,0)*0.475*44/12</f>
        <v>1.3496626350777105E-22</v>
      </c>
      <c r="CN176" s="22">
        <f t="shared" si="172"/>
        <v>2.4310007639452849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-2.8421709430404007E-13</v>
      </c>
      <c r="CU176" s="17">
        <f>CT176*VLOOKUP('Données projet'!$B$13,Paramètres!$A$1:$I$89,3,0)*VLOOKUP('Données projet'!$B$13,Paramètres!$A$1:$I$89,5,0)</f>
        <v>-1.69961822393816E-13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196.25918971690442</v>
      </c>
      <c r="CZ176" s="59">
        <f t="shared" si="150"/>
        <v>148.35701313170205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29.67981478830951</v>
      </c>
      <c r="DG176" s="21">
        <f>EXP(-LN(2)/25)*DG175+(1-EXP(-LN(2)/25))/(LN(2)/25)*Calculateur!DB176*Calculateur!DD176*VLOOKUP('Données projet'!$B$13,Paramètres!$A$1:$I$89,3,0)*0.475*44/12</f>
        <v>5.1233646683558485</v>
      </c>
      <c r="DH176" s="21">
        <f>EXP(-LN(2)/2)*DH175+(1-EXP(-LN(2)/2))/(LN(2)/2)*DB176*DE176*VLOOKUP('Données projet'!$B$13,Paramètres!$A$1:$I$89,3,0)*0.475*44/12</f>
        <v>5.2829499533081006E-10</v>
      </c>
      <c r="DI176" s="22">
        <f t="shared" si="175"/>
        <v>34.803179457193657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11">
        <f t="shared" si="140"/>
        <v>22.486953220240959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67">
        <f t="shared" si="110"/>
        <v>474.32551019192033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180.31844548479722</v>
      </c>
      <c r="T177" s="59">
        <f t="shared" si="142"/>
        <v>273.83237400307223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8.7135454614711225</v>
      </c>
      <c r="AA177" s="21">
        <f>EXP(-LN(2)/25)*AA176+(1-EXP(-LN(2)/25))/(LN(2)/25)*Calculateur!V177*Calculateur!X177*VLOOKUP('Données projet'!$B$9,Paramètres!$A$1:$I$89,3,0)*0.475*44/12</f>
        <v>6.1307417966775555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14.844287258148679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-5.6843418860808015E-14</v>
      </c>
      <c r="AJ177" s="13">
        <f>AI177*VLOOKUP('Données projet'!$B$10,Paramètres!$A$1:$I$89,3,0)*VLOOKUP('Données projet'!$B$10,Paramètres!$A$1:$I$89,5,0)</f>
        <v>-3.1036506698001178E-14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160.54301845388551</v>
      </c>
      <c r="AO177" s="59">
        <f t="shared" si="144"/>
        <v>272.6634844951584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4.7468031559980712</v>
      </c>
      <c r="AV177" s="21">
        <f>EXP(-LN(2)/25)*AV176+(1-EXP(-LN(2)/25))/(LN(2)/25)*Calculateur!AQ177*Calculateur!AS177*VLOOKUP('Données projet'!$B$10,Paramètres!$A$1:$I$89,3,0)*0.475*44/12</f>
        <v>3.6504858320025688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8.3972889880006392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3.4106051316484809E-13</v>
      </c>
      <c r="BE177" s="13">
        <f>BD177*VLOOKUP('Données projet'!$B$11,Paramètres!$A$1:$I$89,3,0)*VLOOKUP('Données projet'!$B$11,Paramètres!$A$1:$I$89,5,0)</f>
        <v>1.5961632016114892E-13</v>
      </c>
      <c r="BF177" s="13">
        <f t="shared" si="167"/>
        <v>2.2708641912150958E-12</v>
      </c>
      <c r="BG177" s="20">
        <f t="shared" si="168"/>
        <v>4.2330868906469593E-12</v>
      </c>
      <c r="BH177" s="59">
        <f t="shared" si="116"/>
        <v>293.33333333333752</v>
      </c>
      <c r="BI177" s="59">
        <f ca="1">AVERAGE(OFFSET($BH$3,0,0,'Données projet'!$E$11+1,1))-AVERAGE(OFFSET($H$3,0,0,'Données projet'!$E$11+1,1))</f>
        <v>207.25176714718668</v>
      </c>
      <c r="BJ177" s="59">
        <f t="shared" si="146"/>
        <v>191.53228014642559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44.681413526577167</v>
      </c>
      <c r="BQ177" s="21">
        <f>EXP(-LN(2)/25)*BQ176+(1-EXP(-LN(2)/25))/(LN(2)/25)*Calculateur!BL177*Calculateur!BN177*VLOOKUP('Données projet'!$B$11,Paramètres!$A$1:$I$89,3,0)*0.475*44/12</f>
        <v>6.4838245804685632</v>
      </c>
      <c r="BR177" s="21">
        <f>EXP(-LN(2)/2)*BR176+(1-EXP(-LN(2)/2))/(LN(2)/2)*BL177*BO177*VLOOKUP('Données projet'!$B$11,Paramètres!$A$1:$I$89,3,0)*0.475*44/12</f>
        <v>9.1318067136997553E-10</v>
      </c>
      <c r="BS177" s="22">
        <f t="shared" si="169"/>
        <v>51.165238107958913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68.620424404221751</v>
      </c>
      <c r="CE177" s="59">
        <f t="shared" si="148"/>
        <v>203.12945099478918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2.240984025329205</v>
      </c>
      <c r="CL177" s="21">
        <f>EXP(-LN(2)/25)*CL176+(1-EXP(-LN(2)/25))/(LN(2)/25)*Calculateur!CG177*Calculateur!CI177*VLOOKUP('Données projet'!$B$12,Paramètres!$A$1:$I$89,3,0)*0.475*44/12</f>
        <v>0.14122312885776414</v>
      </c>
      <c r="CM177" s="21">
        <f>EXP(-LN(2)/2)*CM176+(1-EXP(-LN(2)/2))/(LN(2)/2)*CG177*CJ177*VLOOKUP('Données projet'!$B$12,Paramètres!$A$1:$I$89,3,0)*0.475*44/12</f>
        <v>9.543556015775538E-23</v>
      </c>
      <c r="CN177" s="22">
        <f t="shared" si="172"/>
        <v>2.3822071541869692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-2.8421709430404007E-13</v>
      </c>
      <c r="CU177" s="17">
        <f>CT177*VLOOKUP('Données projet'!$B$13,Paramètres!$A$1:$I$89,3,0)*VLOOKUP('Données projet'!$B$13,Paramètres!$A$1:$I$89,5,0)</f>
        <v>-1.69961822393816E-13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196.25918971690442</v>
      </c>
      <c r="CZ177" s="59">
        <f t="shared" si="150"/>
        <v>148.35701313170205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29.09781172321027</v>
      </c>
      <c r="DG177" s="21">
        <f>EXP(-LN(2)/25)*DG176+(1-EXP(-LN(2)/25))/(LN(2)/25)*Calculateur!DB177*Calculateur!DD177*VLOOKUP('Données projet'!$B$13,Paramètres!$A$1:$I$89,3,0)*0.475*44/12</f>
        <v>4.9832659920736191</v>
      </c>
      <c r="DH177" s="21">
        <f>EXP(-LN(2)/2)*DH176+(1-EXP(-LN(2)/2))/(LN(2)/2)*DB177*DE177*VLOOKUP('Données projet'!$B$13,Paramètres!$A$1:$I$89,3,0)*0.475*44/12</f>
        <v>3.7356097366533126E-10</v>
      </c>
      <c r="DI177" s="22">
        <f t="shared" si="175"/>
        <v>34.08107771565745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11">
        <f t="shared" si="140"/>
        <v>22.601107473346421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67">
        <f t="shared" si="110"/>
        <v>475.33942884941229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180.31844548479722</v>
      </c>
      <c r="T178" s="59">
        <f t="shared" si="142"/>
        <v>273.83237400307223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8.5426781497096194</v>
      </c>
      <c r="AA178" s="21">
        <f>EXP(-LN(2)/25)*AA177+(1-EXP(-LN(2)/25))/(LN(2)/25)*Calculateur!V178*Calculateur!X178*VLOOKUP('Données projet'!$B$9,Paramètres!$A$1:$I$89,3,0)*0.475*44/12</f>
        <v>5.9630963398457082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14.505774489555328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-5.6843418860808015E-14</v>
      </c>
      <c r="AJ178" s="13">
        <f>AI178*VLOOKUP('Données projet'!$B$10,Paramètres!$A$1:$I$89,3,0)*VLOOKUP('Données projet'!$B$10,Paramètres!$A$1:$I$89,5,0)</f>
        <v>-3.1036506698001178E-14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160.54301845388551</v>
      </c>
      <c r="AO178" s="59">
        <f t="shared" si="144"/>
        <v>272.6634844951584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4.6537212413729909</v>
      </c>
      <c r="AV178" s="21">
        <f>EXP(-LN(2)/25)*AV177+(1-EXP(-LN(2)/25))/(LN(2)/25)*Calculateur!AQ178*Calculateur!AS178*VLOOKUP('Données projet'!$B$10,Paramètres!$A$1:$I$89,3,0)*0.475*44/12</f>
        <v>3.5506631049557518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8.2043843463287427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3.4106051316484809E-13</v>
      </c>
      <c r="BE178" s="13">
        <f>BD178*VLOOKUP('Données projet'!$B$11,Paramètres!$A$1:$I$89,3,0)*VLOOKUP('Données projet'!$B$11,Paramètres!$A$1:$I$89,5,0)</f>
        <v>1.5961632016114892E-13</v>
      </c>
      <c r="BF178" s="13">
        <f t="shared" si="167"/>
        <v>2.2708641912150958E-12</v>
      </c>
      <c r="BG178" s="20">
        <f t="shared" si="168"/>
        <v>4.2330868906469593E-12</v>
      </c>
      <c r="BH178" s="59">
        <f t="shared" si="116"/>
        <v>293.33333333333752</v>
      </c>
      <c r="BI178" s="59">
        <f ca="1">AVERAGE(OFFSET($BH$3,0,0,'Données projet'!$E$11+1,1))-AVERAGE(OFFSET($H$3,0,0,'Données projet'!$E$11+1,1))</f>
        <v>207.25176714718668</v>
      </c>
      <c r="BJ178" s="59">
        <f t="shared" si="146"/>
        <v>191.53228014642559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43.805238260292235</v>
      </c>
      <c r="BQ178" s="21">
        <f>EXP(-LN(2)/25)*BQ177+(1-EXP(-LN(2)/25))/(LN(2)/25)*Calculateur!BL178*Calculateur!BN178*VLOOKUP('Données projet'!$B$11,Paramètres!$A$1:$I$89,3,0)*0.475*44/12</f>
        <v>6.3065240563461344</v>
      </c>
      <c r="BR178" s="21">
        <f>EXP(-LN(2)/2)*BR177+(1-EXP(-LN(2)/2))/(LN(2)/2)*BL178*BO178*VLOOKUP('Données projet'!$B$11,Paramètres!$A$1:$I$89,3,0)*0.475*44/12</f>
        <v>6.4571624517419394E-10</v>
      </c>
      <c r="BS178" s="22">
        <f t="shared" si="169"/>
        <v>50.111762317284082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68.620424404221751</v>
      </c>
      <c r="CE178" s="59">
        <f t="shared" si="148"/>
        <v>203.12945099478918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2.197039695457788</v>
      </c>
      <c r="CL178" s="21">
        <f>EXP(-LN(2)/25)*CL177+(1-EXP(-LN(2)/25))/(LN(2)/25)*Calculateur!CG178*Calculateur!CI178*VLOOKUP('Données projet'!$B$12,Paramètres!$A$1:$I$89,3,0)*0.475*44/12</f>
        <v>0.137361374972547</v>
      </c>
      <c r="CM178" s="21">
        <f>EXP(-LN(2)/2)*CM177+(1-EXP(-LN(2)/2))/(LN(2)/2)*CG178*CJ178*VLOOKUP('Données projet'!$B$12,Paramètres!$A$1:$I$89,3,0)*0.475*44/12</f>
        <v>6.7483131753885526E-23</v>
      </c>
      <c r="CN178" s="22">
        <f t="shared" si="172"/>
        <v>2.3344010704303351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-2.8421709430404007E-13</v>
      </c>
      <c r="CU178" s="17">
        <f>CT178*VLOOKUP('Données projet'!$B$13,Paramètres!$A$1:$I$89,3,0)*VLOOKUP('Données projet'!$B$13,Paramètres!$A$1:$I$89,5,0)</f>
        <v>-1.69961822393816E-13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196.25918971690442</v>
      </c>
      <c r="CZ178" s="59">
        <f t="shared" si="150"/>
        <v>148.35701313170205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28.527221383230806</v>
      </c>
      <c r="DG178" s="21">
        <f>EXP(-LN(2)/25)*DG177+(1-EXP(-LN(2)/25))/(LN(2)/25)*Calculateur!DB178*Calculateur!DD178*VLOOKUP('Données projet'!$B$13,Paramètres!$A$1:$I$89,3,0)*0.475*44/12</f>
        <v>4.8469983214617969</v>
      </c>
      <c r="DH178" s="21">
        <f>EXP(-LN(2)/2)*DH177+(1-EXP(-LN(2)/2))/(LN(2)/2)*DB178*DE178*VLOOKUP('Données projet'!$B$13,Paramètres!$A$1:$I$89,3,0)*0.475*44/12</f>
        <v>2.6414749766540503E-10</v>
      </c>
      <c r="DI178" s="22">
        <f t="shared" si="175"/>
        <v>33.374219704956751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11">
        <f t="shared" si="140"/>
        <v>22.715185822375016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67">
        <f t="shared" si="110"/>
        <v>476.3532153073038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180.31844548479722</v>
      </c>
      <c r="T179" s="59">
        <f t="shared" si="142"/>
        <v>273.83237400307223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8.3751614417129883</v>
      </c>
      <c r="AA179" s="21">
        <f>EXP(-LN(2)/25)*AA178+(1-EXP(-LN(2)/25))/(LN(2)/25)*Calculateur!V179*Calculateur!X179*VLOOKUP('Données projet'!$B$9,Paramètres!$A$1:$I$89,3,0)*0.475*44/12</f>
        <v>5.8000351568470192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14.175196598560007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-5.6843418860808015E-14</v>
      </c>
      <c r="AJ179" s="13">
        <f>AI179*VLOOKUP('Données projet'!$B$10,Paramètres!$A$1:$I$89,3,0)*VLOOKUP('Données projet'!$B$10,Paramètres!$A$1:$I$89,5,0)</f>
        <v>-3.1036506698001178E-14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160.54301845388551</v>
      </c>
      <c r="AO179" s="59">
        <f t="shared" si="144"/>
        <v>272.6634844951584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4.5624646063193461</v>
      </c>
      <c r="AV179" s="21">
        <f>EXP(-LN(2)/25)*AV178+(1-EXP(-LN(2)/25))/(LN(2)/25)*Calculateur!AQ179*Calculateur!AS179*VLOOKUP('Données projet'!$B$10,Paramètres!$A$1:$I$89,3,0)*0.475*44/12</f>
        <v>3.4535700356294794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8.016034641948826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3.4106051316484809E-13</v>
      </c>
      <c r="BE179" s="13">
        <f>BD179*VLOOKUP('Données projet'!$B$11,Paramètres!$A$1:$I$89,3,0)*VLOOKUP('Données projet'!$B$11,Paramètres!$A$1:$I$89,5,0)</f>
        <v>1.5961632016114892E-13</v>
      </c>
      <c r="BF179" s="13">
        <f t="shared" si="167"/>
        <v>2.2708641912150958E-12</v>
      </c>
      <c r="BG179" s="20">
        <f t="shared" si="168"/>
        <v>4.2330868906469593E-12</v>
      </c>
      <c r="BH179" s="59">
        <f t="shared" si="116"/>
        <v>293.33333333333752</v>
      </c>
      <c r="BI179" s="59">
        <f ca="1">AVERAGE(OFFSET($BH$3,0,0,'Données projet'!$E$11+1,1))-AVERAGE(OFFSET($H$3,0,0,'Données projet'!$E$11+1,1))</f>
        <v>207.25176714718668</v>
      </c>
      <c r="BJ179" s="59">
        <f t="shared" si="146"/>
        <v>191.53228014642559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42.946244256565002</v>
      </c>
      <c r="BQ179" s="21">
        <f>EXP(-LN(2)/25)*BQ178+(1-EXP(-LN(2)/25))/(LN(2)/25)*Calculateur!BL179*Calculateur!BN179*VLOOKUP('Données projet'!$B$11,Paramètres!$A$1:$I$89,3,0)*0.475*44/12</f>
        <v>6.1340718243796628</v>
      </c>
      <c r="BR179" s="21">
        <f>EXP(-LN(2)/2)*BR178+(1-EXP(-LN(2)/2))/(LN(2)/2)*BL179*BO179*VLOOKUP('Données projet'!$B$11,Paramètres!$A$1:$I$89,3,0)*0.475*44/12</f>
        <v>4.5659033568498787E-10</v>
      </c>
      <c r="BS179" s="22">
        <f t="shared" si="169"/>
        <v>49.08031608140125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68.620424404221751</v>
      </c>
      <c r="CE179" s="59">
        <f t="shared" si="148"/>
        <v>203.12945099478918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2.1539570870917548</v>
      </c>
      <c r="CL179" s="21">
        <f>EXP(-LN(2)/25)*CL178+(1-EXP(-LN(2)/25))/(LN(2)/25)*Calculateur!CG179*Calculateur!CI179*VLOOKUP('Données projet'!$B$12,Paramètres!$A$1:$I$89,3,0)*0.475*44/12</f>
        <v>0.13360522095040192</v>
      </c>
      <c r="CM179" s="21">
        <f>EXP(-LN(2)/2)*CM178+(1-EXP(-LN(2)/2))/(LN(2)/2)*CG179*CJ179*VLOOKUP('Données projet'!$B$12,Paramètres!$A$1:$I$89,3,0)*0.475*44/12</f>
        <v>4.771778007887769E-23</v>
      </c>
      <c r="CN179" s="22">
        <f t="shared" si="172"/>
        <v>2.2875623080421565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-2.8421709430404007E-13</v>
      </c>
      <c r="CU179" s="17">
        <f>CT179*VLOOKUP('Données projet'!$B$13,Paramètres!$A$1:$I$89,3,0)*VLOOKUP('Données projet'!$B$13,Paramètres!$A$1:$I$89,5,0)</f>
        <v>-1.69961822393816E-13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196.25918971690442</v>
      </c>
      <c r="CZ179" s="59">
        <f t="shared" si="150"/>
        <v>148.35701313170205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27.967819971792597</v>
      </c>
      <c r="DG179" s="21">
        <f>EXP(-LN(2)/25)*DG178+(1-EXP(-LN(2)/25))/(LN(2)/25)*Calculateur!DB179*Calculateur!DD179*VLOOKUP('Données projet'!$B$13,Paramètres!$A$1:$I$89,3,0)*0.475*44/12</f>
        <v>4.7144568974688603</v>
      </c>
      <c r="DH179" s="21">
        <f>EXP(-LN(2)/2)*DH178+(1-EXP(-LN(2)/2))/(LN(2)/2)*DB179*DE179*VLOOKUP('Données projet'!$B$13,Paramètres!$A$1:$I$89,3,0)*0.475*44/12</f>
        <v>1.8678048683266563E-10</v>
      </c>
      <c r="DI179" s="22">
        <f t="shared" si="175"/>
        <v>32.682276869448238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11">
        <f t="shared" si="140"/>
        <v>22.829188748646111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67">
        <f t="shared" si="110"/>
        <v>477.36687040389262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180.31844548479722</v>
      </c>
      <c r="T180" s="59">
        <f t="shared" si="142"/>
        <v>273.83237400307223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8.210929634185069</v>
      </c>
      <c r="AA180" s="21">
        <f>EXP(-LN(2)/25)*AA179+(1-EXP(-LN(2)/25))/(LN(2)/25)*Calculateur!V180*Calculateur!X180*VLOOKUP('Données projet'!$B$9,Paramètres!$A$1:$I$89,3,0)*0.475*44/12</f>
        <v>5.6414328904724451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13.852362524657515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-5.6843418860808015E-14</v>
      </c>
      <c r="AJ180" s="13">
        <f>AI180*VLOOKUP('Données projet'!$B$10,Paramètres!$A$1:$I$89,3,0)*VLOOKUP('Données projet'!$B$10,Paramètres!$A$1:$I$89,5,0)</f>
        <v>-3.1036506698001178E-14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160.54301845388551</v>
      </c>
      <c r="AO180" s="59">
        <f t="shared" si="144"/>
        <v>272.6634844951584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4.4729974582180523</v>
      </c>
      <c r="AV180" s="21">
        <f>EXP(-LN(2)/25)*AV179+(1-EXP(-LN(2)/25))/(LN(2)/25)*Calculateur!AQ180*Calculateur!AS180*VLOOKUP('Données projet'!$B$10,Paramètres!$A$1:$I$89,3,0)*0.475*44/12</f>
        <v>3.3591319813898362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7.832129439607888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3.4106051316484809E-13</v>
      </c>
      <c r="BE180" s="13">
        <f>BD180*VLOOKUP('Données projet'!$B$11,Paramètres!$A$1:$I$89,3,0)*VLOOKUP('Données projet'!$B$11,Paramètres!$A$1:$I$89,5,0)</f>
        <v>1.5961632016114892E-13</v>
      </c>
      <c r="BF180" s="13">
        <f t="shared" si="167"/>
        <v>2.2708641912150958E-12</v>
      </c>
      <c r="BG180" s="20">
        <f t="shared" si="168"/>
        <v>4.2330868906469593E-12</v>
      </c>
      <c r="BH180" s="59">
        <f t="shared" si="116"/>
        <v>293.33333333333752</v>
      </c>
      <c r="BI180" s="59">
        <f ca="1">AVERAGE(OFFSET($BH$3,0,0,'Données projet'!$E$11+1,1))-AVERAGE(OFFSET($H$3,0,0,'Données projet'!$E$11+1,1))</f>
        <v>207.25176714718668</v>
      </c>
      <c r="BJ180" s="59">
        <f t="shared" si="146"/>
        <v>191.53228014642559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42.104094601316255</v>
      </c>
      <c r="BQ180" s="21">
        <f>EXP(-LN(2)/25)*BQ179+(1-EXP(-LN(2)/25))/(LN(2)/25)*Calculateur!BL180*Calculateur!BN180*VLOOKUP('Données projet'!$B$11,Paramètres!$A$1:$I$89,3,0)*0.475*44/12</f>
        <v>5.9663353077651831</v>
      </c>
      <c r="BR180" s="21">
        <f>EXP(-LN(2)/2)*BR179+(1-EXP(-LN(2)/2))/(LN(2)/2)*BL180*BO180*VLOOKUP('Données projet'!$B$11,Paramètres!$A$1:$I$89,3,0)*0.475*44/12</f>
        <v>3.2285812258709702E-10</v>
      </c>
      <c r="BS180" s="22">
        <f t="shared" si="169"/>
        <v>48.070429909404297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68.620424404221751</v>
      </c>
      <c r="CE180" s="59">
        <f t="shared" si="148"/>
        <v>203.12945099478918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2.1117193023979834</v>
      </c>
      <c r="CL180" s="21">
        <f>EXP(-LN(2)/25)*CL179+(1-EXP(-LN(2)/25))/(LN(2)/25)*Calculateur!CG180*Calculateur!CI180*VLOOKUP('Données projet'!$B$12,Paramètres!$A$1:$I$89,3,0)*0.475*44/12</f>
        <v>0.12995177915751996</v>
      </c>
      <c r="CM180" s="21">
        <f>EXP(-LN(2)/2)*CM179+(1-EXP(-LN(2)/2))/(LN(2)/2)*CG180*CJ180*VLOOKUP('Données projet'!$B$12,Paramètres!$A$1:$I$89,3,0)*0.475*44/12</f>
        <v>3.3741565876942763E-23</v>
      </c>
      <c r="CN180" s="22">
        <f t="shared" si="172"/>
        <v>2.2416710815555034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-2.8421709430404007E-13</v>
      </c>
      <c r="CU180" s="17">
        <f>CT180*VLOOKUP('Données projet'!$B$13,Paramètres!$A$1:$I$89,3,0)*VLOOKUP('Données projet'!$B$13,Paramètres!$A$1:$I$89,5,0)</f>
        <v>-1.69961822393816E-13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196.25918971690442</v>
      </c>
      <c r="CZ180" s="59">
        <f t="shared" si="150"/>
        <v>148.35701313170205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27.419388080831521</v>
      </c>
      <c r="DG180" s="21">
        <f>EXP(-LN(2)/25)*DG179+(1-EXP(-LN(2)/25))/(LN(2)/25)*Calculateur!DB180*Calculateur!DD180*VLOOKUP('Données projet'!$B$13,Paramètres!$A$1:$I$89,3,0)*0.475*44/12</f>
        <v>4.5855398256850615</v>
      </c>
      <c r="DH180" s="21">
        <f>EXP(-LN(2)/2)*DH179+(1-EXP(-LN(2)/2))/(LN(2)/2)*DB180*DE180*VLOOKUP('Données projet'!$B$13,Paramètres!$A$1:$I$89,3,0)*0.475*44/12</f>
        <v>1.3207374883270252E-10</v>
      </c>
      <c r="DI180" s="22">
        <f t="shared" si="175"/>
        <v>32.00492790664866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11">
        <f t="shared" si="140"/>
        <v>22.943116727725723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67">
        <f t="shared" si="110"/>
        <v>478.38039496745625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180.31844548479722</v>
      </c>
      <c r="T181" s="59">
        <f t="shared" si="142"/>
        <v>273.83237400307223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8.0499183122312612</v>
      </c>
      <c r="AA181" s="21">
        <f>EXP(-LN(2)/25)*AA180+(1-EXP(-LN(2)/25))/(LN(2)/25)*Calculateur!V181*Calculateur!X181*VLOOKUP('Données projet'!$B$9,Paramètres!$A$1:$I$89,3,0)*0.475*44/12</f>
        <v>5.4871676114124144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13.537085923643676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-5.6843418860808015E-14</v>
      </c>
      <c r="AJ181" s="13">
        <f>AI181*VLOOKUP('Données projet'!$B$10,Paramètres!$A$1:$I$89,3,0)*VLOOKUP('Données projet'!$B$10,Paramètres!$A$1:$I$89,5,0)</f>
        <v>-3.1036506698001178E-14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160.54301845388551</v>
      </c>
      <c r="AO181" s="59">
        <f t="shared" si="144"/>
        <v>272.6634844951584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4.3852847063214524</v>
      </c>
      <c r="AV181" s="21">
        <f>EXP(-LN(2)/25)*AV180+(1-EXP(-LN(2)/25))/(LN(2)/25)*Calculateur!AQ181*Calculateur!AS181*VLOOKUP('Données projet'!$B$10,Paramètres!$A$1:$I$89,3,0)*0.475*44/12</f>
        <v>3.2672763407096577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7.6525610470311101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3.4106051316484809E-13</v>
      </c>
      <c r="BE181" s="13">
        <f>BD181*VLOOKUP('Données projet'!$B$11,Paramètres!$A$1:$I$89,3,0)*VLOOKUP('Données projet'!$B$11,Paramètres!$A$1:$I$89,5,0)</f>
        <v>1.5961632016114892E-13</v>
      </c>
      <c r="BF181" s="13">
        <f t="shared" si="167"/>
        <v>2.2708641912150958E-12</v>
      </c>
      <c r="BG181" s="20">
        <f t="shared" si="168"/>
        <v>4.2330868906469593E-12</v>
      </c>
      <c r="BH181" s="59">
        <f t="shared" si="116"/>
        <v>293.33333333333752</v>
      </c>
      <c r="BI181" s="59">
        <f ca="1">AVERAGE(OFFSET($BH$3,0,0,'Données projet'!$E$11+1,1))-AVERAGE(OFFSET($H$3,0,0,'Données projet'!$E$11+1,1))</f>
        <v>207.25176714718668</v>
      </c>
      <c r="BJ181" s="59">
        <f t="shared" si="146"/>
        <v>191.53228014642559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41.278458987146365</v>
      </c>
      <c r="BQ181" s="21">
        <f>EXP(-LN(2)/25)*BQ180+(1-EXP(-LN(2)/25))/(LN(2)/25)*Calculateur!BL181*Calculateur!BN181*VLOOKUP('Données projet'!$B$11,Paramètres!$A$1:$I$89,3,0)*0.475*44/12</f>
        <v>5.8031855550184064</v>
      </c>
      <c r="BR181" s="21">
        <f>EXP(-LN(2)/2)*BR180+(1-EXP(-LN(2)/2))/(LN(2)/2)*BL181*BO181*VLOOKUP('Données projet'!$B$11,Paramètres!$A$1:$I$89,3,0)*0.475*44/12</f>
        <v>2.2829516784249396E-10</v>
      </c>
      <c r="BS181" s="22">
        <f t="shared" si="169"/>
        <v>47.081644542393072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68.620424404221751</v>
      </c>
      <c r="CE181" s="59">
        <f t="shared" si="148"/>
        <v>203.12945099478918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2.070309774899552</v>
      </c>
      <c r="CL181" s="21">
        <f>EXP(-LN(2)/25)*CL180+(1-EXP(-LN(2)/25))/(LN(2)/25)*Calculateur!CG181*Calculateur!CI181*VLOOKUP('Données projet'!$B$12,Paramètres!$A$1:$I$89,3,0)*0.475*44/12</f>
        <v>0.12639824092259053</v>
      </c>
      <c r="CM181" s="21">
        <f>EXP(-LN(2)/2)*CM180+(1-EXP(-LN(2)/2))/(LN(2)/2)*CG181*CJ181*VLOOKUP('Données projet'!$B$12,Paramètres!$A$1:$I$89,3,0)*0.475*44/12</f>
        <v>2.3858890039438845E-23</v>
      </c>
      <c r="CN181" s="22">
        <f t="shared" si="172"/>
        <v>2.1967080158221424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-2.8421709430404007E-13</v>
      </c>
      <c r="CU181" s="17">
        <f>CT181*VLOOKUP('Données projet'!$B$13,Paramètres!$A$1:$I$89,3,0)*VLOOKUP('Données projet'!$B$13,Paramètres!$A$1:$I$89,5,0)</f>
        <v>-1.69961822393816E-13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196.25918971690442</v>
      </c>
      <c r="CZ181" s="59">
        <f t="shared" si="150"/>
        <v>148.35701313170205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26.88171060474177</v>
      </c>
      <c r="DG181" s="21">
        <f>EXP(-LN(2)/25)*DG180+(1-EXP(-LN(2)/25))/(LN(2)/25)*Calculateur!DB181*Calculateur!DD181*VLOOKUP('Données projet'!$B$13,Paramètres!$A$1:$I$89,3,0)*0.475*44/12</f>
        <v>4.4601479980086447</v>
      </c>
      <c r="DH181" s="21">
        <f>EXP(-LN(2)/2)*DH180+(1-EXP(-LN(2)/2))/(LN(2)/2)*DB181*DE181*VLOOKUP('Données projet'!$B$13,Paramètres!$A$1:$I$89,3,0)*0.475*44/12</f>
        <v>9.3390243416332815E-11</v>
      </c>
      <c r="DI181" s="22">
        <f t="shared" si="175"/>
        <v>31.341858602843804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11">
        <f t="shared" si="140"/>
        <v>23.056970229527188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67">
        <f t="shared" si="110"/>
        <v>479.39378981642722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180.31844548479722</v>
      </c>
      <c r="T182" s="59">
        <f t="shared" si="142"/>
        <v>273.83237400307223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7.8920643240937576</v>
      </c>
      <c r="AA182" s="21">
        <f>EXP(-LN(2)/25)*AA181+(1-EXP(-LN(2)/25))/(LN(2)/25)*Calculateur!V182*Calculateur!X182*VLOOKUP('Données projet'!$B$9,Paramètres!$A$1:$I$89,3,0)*0.475*44/12</f>
        <v>5.3371207245207382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13.229185048614497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-5.6843418860808015E-14</v>
      </c>
      <c r="AJ182" s="13">
        <f>AI182*VLOOKUP('Données projet'!$B$10,Paramètres!$A$1:$I$89,3,0)*VLOOKUP('Données projet'!$B$10,Paramètres!$A$1:$I$89,5,0)</f>
        <v>-3.1036506698001178E-14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160.54301845388551</v>
      </c>
      <c r="AO182" s="59">
        <f t="shared" si="144"/>
        <v>272.6634844951584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4.2992919479900493</v>
      </c>
      <c r="AV182" s="21">
        <f>EXP(-LN(2)/25)*AV181+(1-EXP(-LN(2)/25))/(LN(2)/25)*Calculateur!AQ182*Calculateur!AS182*VLOOKUP('Données projet'!$B$10,Paramètres!$A$1:$I$89,3,0)*0.475*44/12</f>
        <v>3.1779324973543566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7.4772244453444063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3.4106051316484809E-13</v>
      </c>
      <c r="BE182" s="13">
        <f>BD182*VLOOKUP('Données projet'!$B$11,Paramètres!$A$1:$I$89,3,0)*VLOOKUP('Données projet'!$B$11,Paramètres!$A$1:$I$89,5,0)</f>
        <v>1.5961632016114892E-13</v>
      </c>
      <c r="BF182" s="13">
        <f t="shared" si="167"/>
        <v>2.2708641912150958E-12</v>
      </c>
      <c r="BG182" s="20">
        <f t="shared" si="168"/>
        <v>4.2330868906469593E-12</v>
      </c>
      <c r="BH182" s="59">
        <f t="shared" si="116"/>
        <v>293.33333333333752</v>
      </c>
      <c r="BI182" s="59">
        <f ca="1">AVERAGE(OFFSET($BH$3,0,0,'Données projet'!$E$11+1,1))-AVERAGE(OFFSET($H$3,0,0,'Données projet'!$E$11+1,1))</f>
        <v>207.25176714718668</v>
      </c>
      <c r="BJ182" s="59">
        <f t="shared" si="146"/>
        <v>191.53228014642559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40.469013583782349</v>
      </c>
      <c r="BQ182" s="21">
        <f>EXP(-LN(2)/25)*BQ181+(1-EXP(-LN(2)/25))/(LN(2)/25)*Calculateur!BL182*Calculateur!BN182*VLOOKUP('Données projet'!$B$11,Paramètres!$A$1:$I$89,3,0)*0.475*44/12</f>
        <v>5.644497140840163</v>
      </c>
      <c r="BR182" s="21">
        <f>EXP(-LN(2)/2)*BR181+(1-EXP(-LN(2)/2))/(LN(2)/2)*BL182*BO182*VLOOKUP('Données projet'!$B$11,Paramètres!$A$1:$I$89,3,0)*0.475*44/12</f>
        <v>1.6142906129354854E-10</v>
      </c>
      <c r="BS182" s="22">
        <f t="shared" si="169"/>
        <v>46.113510724783943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68.620424404221751</v>
      </c>
      <c r="CE182" s="59">
        <f t="shared" si="148"/>
        <v>203.12945099478918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2.0297122629780469</v>
      </c>
      <c r="CL182" s="21">
        <f>EXP(-LN(2)/25)*CL181+(1-EXP(-LN(2)/25))/(LN(2)/25)*Calculateur!CG182*Calculateur!CI182*VLOOKUP('Données projet'!$B$12,Paramètres!$A$1:$I$89,3,0)*0.475*44/12</f>
        <v>0.12294187437756769</v>
      </c>
      <c r="CM182" s="21">
        <f>EXP(-LN(2)/2)*CM181+(1-EXP(-LN(2)/2))/(LN(2)/2)*CG182*CJ182*VLOOKUP('Données projet'!$B$12,Paramètres!$A$1:$I$89,3,0)*0.475*44/12</f>
        <v>1.6870782938471381E-23</v>
      </c>
      <c r="CN182" s="22">
        <f t="shared" si="172"/>
        <v>2.1526541373556145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-2.8421709430404007E-13</v>
      </c>
      <c r="CU182" s="17">
        <f>CT182*VLOOKUP('Données projet'!$B$13,Paramètres!$A$1:$I$89,3,0)*VLOOKUP('Données projet'!$B$13,Paramètres!$A$1:$I$89,5,0)</f>
        <v>-1.69961822393816E-13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196.25918971690442</v>
      </c>
      <c r="CZ182" s="59">
        <f t="shared" si="150"/>
        <v>148.35701313170205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26.354576656007261</v>
      </c>
      <c r="DG182" s="21">
        <f>EXP(-LN(2)/25)*DG181+(1-EXP(-LN(2)/25))/(LN(2)/25)*Calculateur!DB182*Calculateur!DD182*VLOOKUP('Données projet'!$B$13,Paramètres!$A$1:$I$89,3,0)*0.475*44/12</f>
        <v>4.3381850164541085</v>
      </c>
      <c r="DH182" s="21">
        <f>EXP(-LN(2)/2)*DH181+(1-EXP(-LN(2)/2))/(LN(2)/2)*DB182*DE182*VLOOKUP('Données projet'!$B$13,Paramètres!$A$1:$I$89,3,0)*0.475*44/12</f>
        <v>6.6036874416351258E-11</v>
      </c>
      <c r="DI182" s="22">
        <f t="shared" si="175"/>
        <v>30.692761672527407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11">
        <f t="shared" si="140"/>
        <v>23.170749718409571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67">
        <f t="shared" si="110"/>
        <v>480.40705575956395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180.31844548479722</v>
      </c>
      <c r="T183" s="59">
        <f t="shared" si="142"/>
        <v>273.83237400307223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7.737305756382205</v>
      </c>
      <c r="AA183" s="21">
        <f>EXP(-LN(2)/25)*AA182+(1-EXP(-LN(2)/25))/(LN(2)/25)*Calculateur!V183*Calculateur!X183*VLOOKUP('Données projet'!$B$9,Paramètres!$A$1:$I$89,3,0)*0.475*44/12</f>
        <v>5.1911768776417375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12.928482634023943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-5.6843418860808015E-14</v>
      </c>
      <c r="AJ183" s="13">
        <f>AI183*VLOOKUP('Données projet'!$B$10,Paramètres!$A$1:$I$89,3,0)*VLOOKUP('Données projet'!$B$10,Paramètres!$A$1:$I$89,5,0)</f>
        <v>-3.1036506698001178E-14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160.54301845388551</v>
      </c>
      <c r="AO183" s="59">
        <f t="shared" si="144"/>
        <v>272.6634844951584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4.2149854551991215</v>
      </c>
      <c r="AV183" s="21">
        <f>EXP(-LN(2)/25)*AV182+(1-EXP(-LN(2)/25))/(LN(2)/25)*Calculateur!AQ183*Calculateur!AS183*VLOOKUP('Données projet'!$B$10,Paramètres!$A$1:$I$89,3,0)*0.475*44/12</f>
        <v>3.091031766093995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7.306017221293116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3.4106051316484809E-13</v>
      </c>
      <c r="BE183" s="13">
        <f>BD183*VLOOKUP('Données projet'!$B$11,Paramètres!$A$1:$I$89,3,0)*VLOOKUP('Données projet'!$B$11,Paramètres!$A$1:$I$89,5,0)</f>
        <v>1.5961632016114892E-13</v>
      </c>
      <c r="BF183" s="13">
        <f t="shared" si="167"/>
        <v>2.2708641912150958E-12</v>
      </c>
      <c r="BG183" s="20">
        <f t="shared" si="168"/>
        <v>4.2330868906469593E-12</v>
      </c>
      <c r="BH183" s="59">
        <f t="shared" si="116"/>
        <v>293.33333333333752</v>
      </c>
      <c r="BI183" s="59">
        <f ca="1">AVERAGE(OFFSET($BH$3,0,0,'Données projet'!$E$11+1,1))-AVERAGE(OFFSET($H$3,0,0,'Données projet'!$E$11+1,1))</f>
        <v>207.25176714718668</v>
      </c>
      <c r="BJ183" s="59">
        <f t="shared" si="146"/>
        <v>191.53228014642559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39.675440911065351</v>
      </c>
      <c r="BQ183" s="21">
        <f>EXP(-LN(2)/25)*BQ182+(1-EXP(-LN(2)/25))/(LN(2)/25)*Calculateur!BL183*Calculateur!BN183*VLOOKUP('Données projet'!$B$11,Paramètres!$A$1:$I$89,3,0)*0.475*44/12</f>
        <v>5.490148069692685</v>
      </c>
      <c r="BR183" s="21">
        <f>EXP(-LN(2)/2)*BR182+(1-EXP(-LN(2)/2))/(LN(2)/2)*BL183*BO183*VLOOKUP('Données projet'!$B$11,Paramètres!$A$1:$I$89,3,0)*0.475*44/12</f>
        <v>1.1414758392124701E-10</v>
      </c>
      <c r="BS183" s="22">
        <f t="shared" si="169"/>
        <v>45.165588980872187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68.620424404221751</v>
      </c>
      <c r="CE183" s="59">
        <f t="shared" si="148"/>
        <v>203.12945099478918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1.9899108435032853</v>
      </c>
      <c r="CL183" s="21">
        <f>EXP(-LN(2)/25)*CL182+(1-EXP(-LN(2)/25))/(LN(2)/25)*Calculateur!CG183*Calculateur!CI183*VLOOKUP('Données projet'!$B$12,Paramètres!$A$1:$I$89,3,0)*0.475*44/12</f>
        <v>0.11958002235748091</v>
      </c>
      <c r="CM183" s="21">
        <f>EXP(-LN(2)/2)*CM182+(1-EXP(-LN(2)/2))/(LN(2)/2)*CG183*CJ183*VLOOKUP('Données projet'!$B$12,Paramètres!$A$1:$I$89,3,0)*0.475*44/12</f>
        <v>1.1929445019719422E-23</v>
      </c>
      <c r="CN183" s="22">
        <f t="shared" si="172"/>
        <v>2.1094908658607663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-2.8421709430404007E-13</v>
      </c>
      <c r="CU183" s="17">
        <f>CT183*VLOOKUP('Données projet'!$B$13,Paramètres!$A$1:$I$89,3,0)*VLOOKUP('Données projet'!$B$13,Paramètres!$A$1:$I$89,5,0)</f>
        <v>-1.69961822393816E-13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196.25918971690442</v>
      </c>
      <c r="CZ183" s="59">
        <f t="shared" si="150"/>
        <v>148.35701313170205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25.837779482487473</v>
      </c>
      <c r="DG183" s="21">
        <f>EXP(-LN(2)/25)*DG182+(1-EXP(-LN(2)/25))/(LN(2)/25)*Calculateur!DB183*Calculateur!DD183*VLOOKUP('Données projet'!$B$13,Paramètres!$A$1:$I$89,3,0)*0.475*44/12</f>
        <v>4.2195571190439356</v>
      </c>
      <c r="DH183" s="21">
        <f>EXP(-LN(2)/2)*DH182+(1-EXP(-LN(2)/2))/(LN(2)/2)*DB183*DE183*VLOOKUP('Données projet'!$B$13,Paramètres!$A$1:$I$89,3,0)*0.475*44/12</f>
        <v>4.6695121708166408E-11</v>
      </c>
      <c r="DI183" s="22">
        <f t="shared" si="175"/>
        <v>30.057336601578108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11">
        <f t="shared" si="140"/>
        <v>23.284455653273778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67">
        <f t="shared" si="110"/>
        <v>481.42019359611913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180.31844548479722</v>
      </c>
      <c r="T184" s="59">
        <f t="shared" si="142"/>
        <v>273.83237400307223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7.5855819097900703</v>
      </c>
      <c r="AA184" s="21">
        <f>EXP(-LN(2)/25)*AA183+(1-EXP(-LN(2)/25))/(LN(2)/25)*Calculateur!V184*Calculateur!X184*VLOOKUP('Données projet'!$B$9,Paramètres!$A$1:$I$89,3,0)*0.475*44/12</f>
        <v>5.0492238729304972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12.634805782720568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-5.6843418860808015E-14</v>
      </c>
      <c r="AJ184" s="13">
        <f>AI184*VLOOKUP('Données projet'!$B$10,Paramètres!$A$1:$I$89,3,0)*VLOOKUP('Données projet'!$B$10,Paramètres!$A$1:$I$89,5,0)</f>
        <v>-3.1036506698001178E-14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160.54301845388551</v>
      </c>
      <c r="AO184" s="59">
        <f t="shared" si="144"/>
        <v>272.6634844951584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4.1323321613099404</v>
      </c>
      <c r="AV184" s="21">
        <f>EXP(-LN(2)/25)*AV183+(1-EXP(-LN(2)/25))/(LN(2)/25)*Calculateur!AQ184*Calculateur!AS184*VLOOKUP('Données projet'!$B$10,Paramètres!$A$1:$I$89,3,0)*0.475*44/12</f>
        <v>3.006507339899859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7.1388395012097998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3.4106051316484809E-13</v>
      </c>
      <c r="BE184" s="13">
        <f>BD184*VLOOKUP('Données projet'!$B$11,Paramètres!$A$1:$I$89,3,0)*VLOOKUP('Données projet'!$B$11,Paramètres!$A$1:$I$89,5,0)</f>
        <v>1.5961632016114892E-13</v>
      </c>
      <c r="BF184" s="13">
        <f t="shared" si="167"/>
        <v>2.2708641912150958E-12</v>
      </c>
      <c r="BG184" s="20">
        <f t="shared" si="168"/>
        <v>4.2330868906469593E-12</v>
      </c>
      <c r="BH184" s="59">
        <f t="shared" si="116"/>
        <v>293.33333333333752</v>
      </c>
      <c r="BI184" s="59">
        <f ca="1">AVERAGE(OFFSET($BH$3,0,0,'Données projet'!$E$11+1,1))-AVERAGE(OFFSET($H$3,0,0,'Données projet'!$E$11+1,1))</f>
        <v>207.25176714718668</v>
      </c>
      <c r="BJ184" s="59">
        <f t="shared" si="146"/>
        <v>191.53228014642559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38.897429714428803</v>
      </c>
      <c r="BQ184" s="21">
        <f>EXP(-LN(2)/25)*BQ183+(1-EXP(-LN(2)/25))/(LN(2)/25)*Calculateur!BL184*Calculateur!BN184*VLOOKUP('Données projet'!$B$11,Paramètres!$A$1:$I$89,3,0)*0.475*44/12</f>
        <v>5.3400196820125991</v>
      </c>
      <c r="BR184" s="21">
        <f>EXP(-LN(2)/2)*BR183+(1-EXP(-LN(2)/2))/(LN(2)/2)*BL184*BO184*VLOOKUP('Données projet'!$B$11,Paramètres!$A$1:$I$89,3,0)*0.475*44/12</f>
        <v>8.0714530646774281E-11</v>
      </c>
      <c r="BS184" s="22">
        <f t="shared" si="169"/>
        <v>44.237449396522123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68.620424404221751</v>
      </c>
      <c r="CE184" s="59">
        <f t="shared" si="148"/>
        <v>203.12945099478918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1.9508899055879549</v>
      </c>
      <c r="CL184" s="21">
        <f>EXP(-LN(2)/25)*CL183+(1-EXP(-LN(2)/25))/(LN(2)/25)*Calculateur!CG184*Calculateur!CI184*VLOOKUP('Données projet'!$B$12,Paramètres!$A$1:$I$89,3,0)*0.475*44/12</f>
        <v>0.11631010035767553</v>
      </c>
      <c r="CM184" s="21">
        <f>EXP(-LN(2)/2)*CM183+(1-EXP(-LN(2)/2))/(LN(2)/2)*CG184*CJ184*VLOOKUP('Données projet'!$B$12,Paramètres!$A$1:$I$89,3,0)*0.475*44/12</f>
        <v>8.4353914692356907E-24</v>
      </c>
      <c r="CN184" s="22">
        <f t="shared" si="172"/>
        <v>2.0672000059456304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-2.8421709430404007E-13</v>
      </c>
      <c r="CU184" s="17">
        <f>CT184*VLOOKUP('Données projet'!$B$13,Paramètres!$A$1:$I$89,3,0)*VLOOKUP('Données projet'!$B$13,Paramètres!$A$1:$I$89,5,0)</f>
        <v>-1.69961822393816E-13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196.25918971690442</v>
      </c>
      <c r="CZ184" s="59">
        <f t="shared" si="150"/>
        <v>148.35701313170205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25.33111638632526</v>
      </c>
      <c r="DG184" s="21">
        <f>EXP(-LN(2)/25)*DG183+(1-EXP(-LN(2)/25))/(LN(2)/25)*Calculateur!DB184*Calculateur!DD184*VLOOKUP('Données projet'!$B$13,Paramètres!$A$1:$I$89,3,0)*0.475*44/12</f>
        <v>4.1041731077268144</v>
      </c>
      <c r="DH184" s="21">
        <f>EXP(-LN(2)/2)*DH183+(1-EXP(-LN(2)/2))/(LN(2)/2)*DB184*DE184*VLOOKUP('Données projet'!$B$13,Paramètres!$A$1:$I$89,3,0)*0.475*44/12</f>
        <v>3.3018437208175629E-11</v>
      </c>
      <c r="DI184" s="22">
        <f t="shared" si="175"/>
        <v>29.435289494085094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11">
        <f t="shared" si="140"/>
        <v>23.398088487656537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67">
        <f t="shared" si="110"/>
        <v>482.43320411600246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180.31844548479722</v>
      </c>
      <c r="T185" s="59">
        <f t="shared" si="142"/>
        <v>273.83237400307223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7.4368332752871984</v>
      </c>
      <c r="AA185" s="21">
        <f>EXP(-LN(2)/25)*AA184+(1-EXP(-LN(2)/25))/(LN(2)/25)*Calculateur!V185*Calculateur!X185*VLOOKUP('Données projet'!$B$9,Paramètres!$A$1:$I$89,3,0)*0.475*44/12</f>
        <v>4.9111525805980696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12.347985855885268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-5.6843418860808015E-14</v>
      </c>
      <c r="AJ185" s="13">
        <f>AI185*VLOOKUP('Données projet'!$B$10,Paramètres!$A$1:$I$89,3,0)*VLOOKUP('Données projet'!$B$10,Paramètres!$A$1:$I$89,5,0)</f>
        <v>-3.1036506698001178E-14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160.54301845388551</v>
      </c>
      <c r="AO185" s="59">
        <f t="shared" si="144"/>
        <v>272.6634844951584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4.0512996481003949</v>
      </c>
      <c r="AV185" s="21">
        <f>EXP(-LN(2)/25)*AV184+(1-EXP(-LN(2)/25))/(LN(2)/25)*Calculateur!AQ185*Calculateur!AS185*VLOOKUP('Données projet'!$B$10,Paramètres!$A$1:$I$89,3,0)*0.475*44/12</f>
        <v>2.924294238584948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6.9755938866853429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3.4106051316484809E-13</v>
      </c>
      <c r="BE185" s="13">
        <f>BD185*VLOOKUP('Données projet'!$B$11,Paramètres!$A$1:$I$89,3,0)*VLOOKUP('Données projet'!$B$11,Paramètres!$A$1:$I$89,5,0)</f>
        <v>1.5961632016114892E-13</v>
      </c>
      <c r="BF185" s="13">
        <f t="shared" si="167"/>
        <v>2.2708641912150958E-12</v>
      </c>
      <c r="BG185" s="20">
        <f t="shared" si="168"/>
        <v>4.2330868906469593E-12</v>
      </c>
      <c r="BH185" s="59">
        <f t="shared" si="116"/>
        <v>293.33333333333752</v>
      </c>
      <c r="BI185" s="59">
        <f ca="1">AVERAGE(OFFSET($BH$3,0,0,'Données projet'!$E$11+1,1))-AVERAGE(OFFSET($H$3,0,0,'Données projet'!$E$11+1,1))</f>
        <v>207.25176714718668</v>
      </c>
      <c r="BJ185" s="59">
        <f t="shared" si="146"/>
        <v>191.53228014642559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38.13467484281832</v>
      </c>
      <c r="BQ185" s="21">
        <f>EXP(-LN(2)/25)*BQ184+(1-EXP(-LN(2)/25))/(LN(2)/25)*Calculateur!BL185*Calculateur!BN185*VLOOKUP('Données projet'!$B$11,Paramètres!$A$1:$I$89,3,0)*0.475*44/12</f>
        <v>5.1939965629885343</v>
      </c>
      <c r="BR185" s="21">
        <f>EXP(-LN(2)/2)*BR184+(1-EXP(-LN(2)/2))/(LN(2)/2)*BL185*BO185*VLOOKUP('Données projet'!$B$11,Paramètres!$A$1:$I$89,3,0)*0.475*44/12</f>
        <v>5.7073791960623509E-11</v>
      </c>
      <c r="BS185" s="22">
        <f t="shared" si="169"/>
        <v>43.328671405863929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68.620424404221751</v>
      </c>
      <c r="CE185" s="59">
        <f t="shared" si="148"/>
        <v>203.12945099478918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1.9126341444647221</v>
      </c>
      <c r="CL185" s="21">
        <f>EXP(-LN(2)/25)*CL184+(1-EXP(-LN(2)/25))/(LN(2)/25)*Calculateur!CG185*Calculateur!CI185*VLOOKUP('Données projet'!$B$12,Paramètres!$A$1:$I$89,3,0)*0.475*44/12</f>
        <v>0.11312959454691254</v>
      </c>
      <c r="CM185" s="21">
        <f>EXP(-LN(2)/2)*CM184+(1-EXP(-LN(2)/2))/(LN(2)/2)*CG185*CJ185*VLOOKUP('Données projet'!$B$12,Paramètres!$A$1:$I$89,3,0)*0.475*44/12</f>
        <v>5.9647225098597112E-24</v>
      </c>
      <c r="CN185" s="22">
        <f t="shared" si="172"/>
        <v>2.0257637390116345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-2.8421709430404007E-13</v>
      </c>
      <c r="CU185" s="17">
        <f>CT185*VLOOKUP('Données projet'!$B$13,Paramètres!$A$1:$I$89,3,0)*VLOOKUP('Données projet'!$B$13,Paramètres!$A$1:$I$89,5,0)</f>
        <v>-1.69961822393816E-13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196.25918971690442</v>
      </c>
      <c r="CZ185" s="59">
        <f t="shared" si="150"/>
        <v>148.35701313170205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24.834388644444811</v>
      </c>
      <c r="DG185" s="21">
        <f>EXP(-LN(2)/25)*DG184+(1-EXP(-LN(2)/25))/(LN(2)/25)*Calculateur!DB185*Calculateur!DD185*VLOOKUP('Données projet'!$B$13,Paramètres!$A$1:$I$89,3,0)*0.475*44/12</f>
        <v>3.9919442782669412</v>
      </c>
      <c r="DH185" s="21">
        <f>EXP(-LN(2)/2)*DH184+(1-EXP(-LN(2)/2))/(LN(2)/2)*DB185*DE185*VLOOKUP('Données projet'!$B$13,Paramètres!$A$1:$I$89,3,0)*0.475*44/12</f>
        <v>2.3347560854083204E-11</v>
      </c>
      <c r="DI185" s="22">
        <f t="shared" si="175"/>
        <v>28.826332922735102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11">
        <f t="shared" si="140"/>
        <v>23.511648669822165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67">
        <f t="shared" si="110"/>
        <v>483.44608809994094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180.31844548479722</v>
      </c>
      <c r="T186" s="59">
        <f t="shared" si="142"/>
        <v>273.83237400307223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7.2910015107792194</v>
      </c>
      <c r="AA186" s="21">
        <f>EXP(-LN(2)/25)*AA185+(1-EXP(-LN(2)/25))/(LN(2)/25)*Calculateur!V186*Calculateur!X186*VLOOKUP('Données projet'!$B$9,Paramètres!$A$1:$I$89,3,0)*0.475*44/12</f>
        <v>4.7768568550153256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12.067858365794546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-5.6843418860808015E-14</v>
      </c>
      <c r="AJ186" s="13">
        <f>AI186*VLOOKUP('Données projet'!$B$10,Paramètres!$A$1:$I$89,3,0)*VLOOKUP('Données projet'!$B$10,Paramètres!$A$1:$I$89,5,0)</f>
        <v>-3.1036506698001178E-14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160.54301845388551</v>
      </c>
      <c r="AO186" s="59">
        <f t="shared" si="144"/>
        <v>272.6634844951584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3.9718561330499358</v>
      </c>
      <c r="AV186" s="21">
        <f>EXP(-LN(2)/25)*AV185+(1-EXP(-LN(2)/25))/(LN(2)/25)*Calculateur!AQ186*Calculateur!AS186*VLOOKUP('Données projet'!$B$10,Paramètres!$A$1:$I$89,3,0)*0.475*44/12</f>
        <v>2.8443292588488922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6.816185391898828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3.4106051316484809E-13</v>
      </c>
      <c r="BE186" s="13">
        <f>BD186*VLOOKUP('Données projet'!$B$11,Paramètres!$A$1:$I$89,3,0)*VLOOKUP('Données projet'!$B$11,Paramètres!$A$1:$I$89,5,0)</f>
        <v>1.5961632016114892E-13</v>
      </c>
      <c r="BF186" s="13">
        <f t="shared" si="167"/>
        <v>2.2708641912150958E-12</v>
      </c>
      <c r="BG186" s="20">
        <f t="shared" si="168"/>
        <v>4.2330868906469593E-12</v>
      </c>
      <c r="BH186" s="59">
        <f t="shared" si="116"/>
        <v>293.33333333333752</v>
      </c>
      <c r="BI186" s="59">
        <f ca="1">AVERAGE(OFFSET($BH$3,0,0,'Données projet'!$E$11+1,1))-AVERAGE(OFFSET($H$3,0,0,'Données projet'!$E$11+1,1))</f>
        <v>207.25176714718668</v>
      </c>
      <c r="BJ186" s="59">
        <f t="shared" si="146"/>
        <v>191.53228014642559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37.38687712900559</v>
      </c>
      <c r="BQ186" s="21">
        <f>EXP(-LN(2)/25)*BQ185+(1-EXP(-LN(2)/25))/(LN(2)/25)*Calculateur!BL186*Calculateur!BN186*VLOOKUP('Données projet'!$B$11,Paramètres!$A$1:$I$89,3,0)*0.475*44/12</f>
        <v>5.051966453833205</v>
      </c>
      <c r="BR186" s="21">
        <f>EXP(-LN(2)/2)*BR185+(1-EXP(-LN(2)/2))/(LN(2)/2)*BL186*BO186*VLOOKUP('Données projet'!$B$11,Paramètres!$A$1:$I$89,3,0)*0.475*44/12</f>
        <v>4.0357265323387147E-11</v>
      </c>
      <c r="BS186" s="22">
        <f t="shared" si="169"/>
        <v>42.438843582879151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68.620424404221751</v>
      </c>
      <c r="CE186" s="59">
        <f t="shared" si="148"/>
        <v>203.12945099478918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1.8751285554834056</v>
      </c>
      <c r="CL186" s="21">
        <f>EXP(-LN(2)/25)*CL185+(1-EXP(-LN(2)/25))/(LN(2)/25)*Calculateur!CG186*Calculateur!CI186*VLOOKUP('Données projet'!$B$12,Paramètres!$A$1:$I$89,3,0)*0.475*44/12</f>
        <v>0.1100360598348004</v>
      </c>
      <c r="CM186" s="21">
        <f>EXP(-LN(2)/2)*CM185+(1-EXP(-LN(2)/2))/(LN(2)/2)*CG186*CJ186*VLOOKUP('Données projet'!$B$12,Paramètres!$A$1:$I$89,3,0)*0.475*44/12</f>
        <v>4.2176957346178453E-24</v>
      </c>
      <c r="CN186" s="22">
        <f t="shared" si="172"/>
        <v>1.9851646153182061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-2.8421709430404007E-13</v>
      </c>
      <c r="CU186" s="17">
        <f>CT186*VLOOKUP('Données projet'!$B$13,Paramètres!$A$1:$I$89,3,0)*VLOOKUP('Données projet'!$B$13,Paramètres!$A$1:$I$89,5,0)</f>
        <v>-1.69961822393816E-13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196.25918971690442</v>
      </c>
      <c r="CZ186" s="59">
        <f t="shared" si="150"/>
        <v>148.35701313170205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24.347401430608631</v>
      </c>
      <c r="DG186" s="21">
        <f>EXP(-LN(2)/25)*DG185+(1-EXP(-LN(2)/25))/(LN(2)/25)*Calculateur!DB186*Calculateur!DD186*VLOOKUP('Données projet'!$B$13,Paramètres!$A$1:$I$89,3,0)*0.475*44/12</f>
        <v>3.8827843520505056</v>
      </c>
      <c r="DH186" s="21">
        <f>EXP(-LN(2)/2)*DH185+(1-EXP(-LN(2)/2))/(LN(2)/2)*DB186*DE186*VLOOKUP('Données projet'!$B$13,Paramètres!$A$1:$I$89,3,0)*0.475*44/12</f>
        <v>1.6509218604087815E-11</v>
      </c>
      <c r="DI186" s="22">
        <f t="shared" si="175"/>
        <v>28.230185782675647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11">
        <f t="shared" si="140"/>
        <v>23.625136642852389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67">
        <f t="shared" si="110"/>
        <v>484.4588463196352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180.31844548479722</v>
      </c>
      <c r="T187" s="59">
        <f t="shared" si="142"/>
        <v>273.83237400307223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7.1480294182246489</v>
      </c>
      <c r="AA187" s="21">
        <f>EXP(-LN(2)/25)*AA186+(1-EXP(-LN(2)/25))/(LN(2)/25)*Calculateur!V187*Calculateur!X187*VLOOKUP('Données projet'!$B$9,Paramètres!$A$1:$I$89,3,0)*0.475*44/12</f>
        <v>4.6462334531109475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11.794262871335597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-5.6843418860808015E-14</v>
      </c>
      <c r="AJ187" s="13">
        <f>AI187*VLOOKUP('Données projet'!$B$10,Paramètres!$A$1:$I$89,3,0)*VLOOKUP('Données projet'!$B$10,Paramètres!$A$1:$I$89,5,0)</f>
        <v>-3.1036506698001178E-14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160.54301845388551</v>
      </c>
      <c r="AO187" s="59">
        <f t="shared" si="144"/>
        <v>272.6634844951584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3.8939704568738565</v>
      </c>
      <c r="AV187" s="21">
        <f>EXP(-LN(2)/25)*AV186+(1-EXP(-LN(2)/25))/(LN(2)/25)*Calculateur!AQ187*Calculateur!AS187*VLOOKUP('Données projet'!$B$10,Paramètres!$A$1:$I$89,3,0)*0.475*44/12</f>
        <v>2.7665509256888945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6.6605213825627505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3.4106051316484809E-13</v>
      </c>
      <c r="BE187" s="13">
        <f>BD187*VLOOKUP('Données projet'!$B$11,Paramètres!$A$1:$I$89,3,0)*VLOOKUP('Données projet'!$B$11,Paramètres!$A$1:$I$89,5,0)</f>
        <v>1.5961632016114892E-13</v>
      </c>
      <c r="BF187" s="13">
        <f t="shared" si="167"/>
        <v>2.2708641912150958E-12</v>
      </c>
      <c r="BG187" s="20">
        <f t="shared" si="168"/>
        <v>4.2330868906469593E-12</v>
      </c>
      <c r="BH187" s="59">
        <f t="shared" si="116"/>
        <v>293.33333333333752</v>
      </c>
      <c r="BI187" s="59">
        <f ca="1">AVERAGE(OFFSET($BH$3,0,0,'Données projet'!$E$11+1,1))-AVERAGE(OFFSET($H$3,0,0,'Données projet'!$E$11+1,1))</f>
        <v>207.25176714718668</v>
      </c>
      <c r="BJ187" s="59">
        <f t="shared" si="146"/>
        <v>191.53228014642559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36.653743272249159</v>
      </c>
      <c r="BQ187" s="21">
        <f>EXP(-LN(2)/25)*BQ186+(1-EXP(-LN(2)/25))/(LN(2)/25)*Calculateur!BL187*Calculateur!BN187*VLOOKUP('Données projet'!$B$11,Paramètres!$A$1:$I$89,3,0)*0.475*44/12</f>
        <v>4.9138201654817664</v>
      </c>
      <c r="BR187" s="21">
        <f>EXP(-LN(2)/2)*BR186+(1-EXP(-LN(2)/2))/(LN(2)/2)*BL187*BO187*VLOOKUP('Données projet'!$B$11,Paramètres!$A$1:$I$89,3,0)*0.475*44/12</f>
        <v>2.8536895980311761E-11</v>
      </c>
      <c r="BS187" s="22">
        <f t="shared" si="169"/>
        <v>41.56756343775946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68.620424404221751</v>
      </c>
      <c r="CE187" s="59">
        <f t="shared" si="148"/>
        <v>203.12945099478918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1.8383584282258623</v>
      </c>
      <c r="CL187" s="21">
        <f>EXP(-LN(2)/25)*CL186+(1-EXP(-LN(2)/25))/(LN(2)/25)*Calculateur!CG187*Calculateur!CI187*VLOOKUP('Données projet'!$B$12,Paramètres!$A$1:$I$89,3,0)*0.475*44/12</f>
        <v>0.10702711799207289</v>
      </c>
      <c r="CM187" s="21">
        <f>EXP(-LN(2)/2)*CM186+(1-EXP(-LN(2)/2))/(LN(2)/2)*CG187*CJ187*VLOOKUP('Données projet'!$B$12,Paramètres!$A$1:$I$89,3,0)*0.475*44/12</f>
        <v>2.9823612549298556E-24</v>
      </c>
      <c r="CN187" s="22">
        <f t="shared" si="172"/>
        <v>1.9453855462179352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-2.8421709430404007E-13</v>
      </c>
      <c r="CU187" s="17">
        <f>CT187*VLOOKUP('Données projet'!$B$13,Paramètres!$A$1:$I$89,3,0)*VLOOKUP('Données projet'!$B$13,Paramètres!$A$1:$I$89,5,0)</f>
        <v>-1.69961822393816E-13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196.25918971690442</v>
      </c>
      <c r="CZ187" s="59">
        <f t="shared" si="150"/>
        <v>148.35701313170205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23.869963739002909</v>
      </c>
      <c r="DG187" s="21">
        <f>EXP(-LN(2)/25)*DG186+(1-EXP(-LN(2)/25))/(LN(2)/25)*Calculateur!DB187*Calculateur!DD187*VLOOKUP('Données projet'!$B$13,Paramètres!$A$1:$I$89,3,0)*0.475*44/12</f>
        <v>3.7766094097569298</v>
      </c>
      <c r="DH187" s="21">
        <f>EXP(-LN(2)/2)*DH186+(1-EXP(-LN(2)/2))/(LN(2)/2)*DB187*DE187*VLOOKUP('Données projet'!$B$13,Paramètres!$A$1:$I$89,3,0)*0.475*44/12</f>
        <v>1.1673780427041602E-11</v>
      </c>
      <c r="DI187" s="22">
        <f t="shared" si="175"/>
        <v>27.646573148771513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11">
        <f t="shared" si="140"/>
        <v>23.73855284473407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67">
        <f t="shared" si="110"/>
        <v>485.4714795379125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180.31844548479722</v>
      </c>
      <c r="T188" s="59">
        <f t="shared" si="142"/>
        <v>273.83237400307223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7.0078609212007077</v>
      </c>
      <c r="AA188" s="21">
        <f>EXP(-LN(2)/25)*AA187+(1-EXP(-LN(2)/25))/(LN(2)/25)*Calculateur!V188*Calculateur!X188*VLOOKUP('Données projet'!$B$9,Paramètres!$A$1:$I$89,3,0)*0.475*44/12</f>
        <v>4.5191819550008301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11.527042876201538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-5.6843418860808015E-14</v>
      </c>
      <c r="AJ188" s="13">
        <f>AI188*VLOOKUP('Données projet'!$B$10,Paramètres!$A$1:$I$89,3,0)*VLOOKUP('Données projet'!$B$10,Paramètres!$A$1:$I$89,5,0)</f>
        <v>-3.1036506698001178E-14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160.54301845388551</v>
      </c>
      <c r="AO188" s="59">
        <f t="shared" si="144"/>
        <v>272.6634844951584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3.8176120713020185</v>
      </c>
      <c r="AV188" s="21">
        <f>EXP(-LN(2)/25)*AV187+(1-EXP(-LN(2)/25))/(LN(2)/25)*Calculateur!AQ188*Calculateur!AS188*VLOOKUP('Données projet'!$B$10,Paramètres!$A$1:$I$89,3,0)*0.475*44/12</f>
        <v>2.6908994451393413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6.5085115164413594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3.4106051316484809E-13</v>
      </c>
      <c r="BE188" s="13">
        <f>BD188*VLOOKUP('Données projet'!$B$11,Paramètres!$A$1:$I$89,3,0)*VLOOKUP('Données projet'!$B$11,Paramètres!$A$1:$I$89,5,0)</f>
        <v>1.5961632016114892E-13</v>
      </c>
      <c r="BF188" s="13">
        <f t="shared" si="167"/>
        <v>2.2708641912150958E-12</v>
      </c>
      <c r="BG188" s="20">
        <f t="shared" si="168"/>
        <v>4.2330868906469593E-12</v>
      </c>
      <c r="BH188" s="59">
        <f t="shared" si="116"/>
        <v>293.33333333333752</v>
      </c>
      <c r="BI188" s="59">
        <f ca="1">AVERAGE(OFFSET($BH$3,0,0,'Données projet'!$E$11+1,1))-AVERAGE(OFFSET($H$3,0,0,'Données projet'!$E$11+1,1))</f>
        <v>207.25176714718668</v>
      </c>
      <c r="BJ188" s="59">
        <f t="shared" si="146"/>
        <v>191.53228014642559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35.934985723256219</v>
      </c>
      <c r="BQ188" s="21">
        <f>EXP(-LN(2)/25)*BQ187+(1-EXP(-LN(2)/25))/(LN(2)/25)*Calculateur!BL188*Calculateur!BN188*VLOOKUP('Données projet'!$B$11,Paramètres!$A$1:$I$89,3,0)*0.475*44/12</f>
        <v>4.7794514946500959</v>
      </c>
      <c r="BR188" s="21">
        <f>EXP(-LN(2)/2)*BR187+(1-EXP(-LN(2)/2))/(LN(2)/2)*BL188*BO188*VLOOKUP('Données projet'!$B$11,Paramètres!$A$1:$I$89,3,0)*0.475*44/12</f>
        <v>2.0178632661693577E-11</v>
      </c>
      <c r="BS188" s="22">
        <f t="shared" si="169"/>
        <v>40.714437217926495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68.620424404221751</v>
      </c>
      <c r="CE188" s="59">
        <f t="shared" si="148"/>
        <v>203.12945099478918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1.8023093407362762</v>
      </c>
      <c r="CL188" s="21">
        <f>EXP(-LN(2)/25)*CL187+(1-EXP(-LN(2)/25))/(LN(2)/25)*Calculateur!CG188*Calculateur!CI188*VLOOKUP('Données projet'!$B$12,Paramètres!$A$1:$I$89,3,0)*0.475*44/12</f>
        <v>0.10410045582226814</v>
      </c>
      <c r="CM188" s="21">
        <f>EXP(-LN(2)/2)*CM187+(1-EXP(-LN(2)/2))/(LN(2)/2)*CG188*CJ188*VLOOKUP('Données projet'!$B$12,Paramètres!$A$1:$I$89,3,0)*0.475*44/12</f>
        <v>2.1088478673089227E-24</v>
      </c>
      <c r="CN188" s="22">
        <f t="shared" si="172"/>
        <v>1.9064097965585445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-2.8421709430404007E-13</v>
      </c>
      <c r="CU188" s="17">
        <f>CT188*VLOOKUP('Données projet'!$B$13,Paramètres!$A$1:$I$89,3,0)*VLOOKUP('Données projet'!$B$13,Paramètres!$A$1:$I$89,5,0)</f>
        <v>-1.69961822393816E-13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196.25918971690442</v>
      </c>
      <c r="CZ188" s="59">
        <f t="shared" si="150"/>
        <v>148.35701313170205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23.401888309321336</v>
      </c>
      <c r="DG188" s="21">
        <f>EXP(-LN(2)/25)*DG187+(1-EXP(-LN(2)/25))/(LN(2)/25)*Calculateur!DB188*Calculateur!DD188*VLOOKUP('Données projet'!$B$13,Paramètres!$A$1:$I$89,3,0)*0.475*44/12</f>
        <v>3.6733378268438694</v>
      </c>
      <c r="DH188" s="21">
        <f>EXP(-LN(2)/2)*DH187+(1-EXP(-LN(2)/2))/(LN(2)/2)*DB188*DE188*VLOOKUP('Données projet'!$B$13,Paramètres!$A$1:$I$89,3,0)*0.475*44/12</f>
        <v>8.2546093020439073E-12</v>
      </c>
      <c r="DI188" s="22">
        <f t="shared" si="175"/>
        <v>27.075226136173459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11">
        <f t="shared" si="140"/>
        <v>23.851897708444977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67">
        <f t="shared" si="110"/>
        <v>486.48398850887571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180.31844548479722</v>
      </c>
      <c r="T189" s="59">
        <f t="shared" si="142"/>
        <v>273.83237400307223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6.8704410429090643</v>
      </c>
      <c r="AA189" s="21">
        <f>EXP(-LN(2)/25)*AA188+(1-EXP(-LN(2)/25))/(LN(2)/25)*Calculateur!V189*Calculateur!X189*VLOOKUP('Données projet'!$B$9,Paramètres!$A$1:$I$89,3,0)*0.475*44/12</f>
        <v>4.3956046867878822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11.266045729696947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-5.6843418860808015E-14</v>
      </c>
      <c r="AJ189" s="13">
        <f>AI189*VLOOKUP('Données projet'!$B$10,Paramètres!$A$1:$I$89,3,0)*VLOOKUP('Données projet'!$B$10,Paramètres!$A$1:$I$89,5,0)</f>
        <v>-3.1036506698001178E-14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160.54301845388551</v>
      </c>
      <c r="AO189" s="59">
        <f t="shared" si="144"/>
        <v>272.6634844951584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3.7427510270972277</v>
      </c>
      <c r="AV189" s="21">
        <f>EXP(-LN(2)/25)*AV188+(1-EXP(-LN(2)/25))/(LN(2)/25)*Calculateur!AQ189*Calculateur!AS189*VLOOKUP('Données projet'!$B$10,Paramètres!$A$1:$I$89,3,0)*0.475*44/12</f>
        <v>2.6173166583037544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6.3600676854009821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3.4106051316484809E-13</v>
      </c>
      <c r="BE189" s="13">
        <f>BD189*VLOOKUP('Données projet'!$B$11,Paramètres!$A$1:$I$89,3,0)*VLOOKUP('Données projet'!$B$11,Paramètres!$A$1:$I$89,5,0)</f>
        <v>1.5961632016114892E-13</v>
      </c>
      <c r="BF189" s="13">
        <f t="shared" si="167"/>
        <v>2.2708641912150958E-12</v>
      </c>
      <c r="BG189" s="20">
        <f t="shared" si="168"/>
        <v>4.2330868906469593E-12</v>
      </c>
      <c r="BH189" s="59">
        <f t="shared" si="116"/>
        <v>293.33333333333752</v>
      </c>
      <c r="BI189" s="59">
        <f ca="1">AVERAGE(OFFSET($BH$3,0,0,'Données projet'!$E$11+1,1))-AVERAGE(OFFSET($H$3,0,0,'Données projet'!$E$11+1,1))</f>
        <v>207.25176714718668</v>
      </c>
      <c r="BJ189" s="59">
        <f t="shared" si="146"/>
        <v>191.53228014642559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35.230322571400215</v>
      </c>
      <c r="BQ189" s="21">
        <f>EXP(-LN(2)/25)*BQ188+(1-EXP(-LN(2)/25))/(LN(2)/25)*Calculateur!BL189*Calculateur!BN189*VLOOKUP('Données projet'!$B$11,Paramètres!$A$1:$I$89,3,0)*0.475*44/12</f>
        <v>4.6487571421884581</v>
      </c>
      <c r="BR189" s="21">
        <f>EXP(-LN(2)/2)*BR188+(1-EXP(-LN(2)/2))/(LN(2)/2)*BL189*BO189*VLOOKUP('Données projet'!$B$11,Paramètres!$A$1:$I$89,3,0)*0.475*44/12</f>
        <v>1.4268447990155882E-11</v>
      </c>
      <c r="BS189" s="22">
        <f t="shared" si="169"/>
        <v>39.879079713602941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68.620424404221751</v>
      </c>
      <c r="CE189" s="59">
        <f t="shared" si="148"/>
        <v>203.12945099478918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1.7669671538645888</v>
      </c>
      <c r="CL189" s="21">
        <f>EXP(-LN(2)/25)*CL188+(1-EXP(-LN(2)/25))/(LN(2)/25)*Calculateur!CG189*Calculateur!CI189*VLOOKUP('Données projet'!$B$12,Paramètres!$A$1:$I$89,3,0)*0.475*44/12</f>
        <v>0.10125382338340316</v>
      </c>
      <c r="CM189" s="21">
        <f>EXP(-LN(2)/2)*CM188+(1-EXP(-LN(2)/2))/(LN(2)/2)*CG189*CJ189*VLOOKUP('Données projet'!$B$12,Paramètres!$A$1:$I$89,3,0)*0.475*44/12</f>
        <v>1.4911806274649278E-24</v>
      </c>
      <c r="CN189" s="22">
        <f t="shared" si="172"/>
        <v>1.8682209772479919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-2.8421709430404007E-13</v>
      </c>
      <c r="CU189" s="17">
        <f>CT189*VLOOKUP('Données projet'!$B$13,Paramètres!$A$1:$I$89,3,0)*VLOOKUP('Données projet'!$B$13,Paramètres!$A$1:$I$89,5,0)</f>
        <v>-1.69961822393816E-13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196.25918971690442</v>
      </c>
      <c r="CZ189" s="59">
        <f t="shared" si="150"/>
        <v>148.35701313170205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22.942991553317999</v>
      </c>
      <c r="DG189" s="21">
        <f>EXP(-LN(2)/25)*DG188+(1-EXP(-LN(2)/25))/(LN(2)/25)*Calculateur!DB189*Calculateur!DD189*VLOOKUP('Données projet'!$B$13,Paramètres!$A$1:$I$89,3,0)*0.475*44/12</f>
        <v>3.5728902107963831</v>
      </c>
      <c r="DH189" s="21">
        <f>EXP(-LN(2)/2)*DH188+(1-EXP(-LN(2)/2))/(LN(2)/2)*DB189*DE189*VLOOKUP('Données projet'!$B$13,Paramètres!$A$1:$I$89,3,0)*0.475*44/12</f>
        <v>5.836890213520801E-12</v>
      </c>
      <c r="DI189" s="22">
        <f t="shared" si="175"/>
        <v>26.51588176412022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11">
        <f t="shared" si="140"/>
        <v>23.96517166203774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67">
        <f t="shared" si="110"/>
        <v>487.49637397804975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180.31844548479722</v>
      </c>
      <c r="T190" s="59">
        <f t="shared" si="142"/>
        <v>273.83237400307223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6.7357158846128709</v>
      </c>
      <c r="AA190" s="21">
        <f>EXP(-LN(2)/25)*AA189+(1-EXP(-LN(2)/25))/(LN(2)/25)*Calculateur!V190*Calculateur!X190*VLOOKUP('Données projet'!$B$9,Paramètres!$A$1:$I$89,3,0)*0.475*44/12</f>
        <v>4.275406645472863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11.011122530085734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-5.6843418860808015E-14</v>
      </c>
      <c r="AJ190" s="13">
        <f>AI190*VLOOKUP('Données projet'!$B$10,Paramètres!$A$1:$I$89,3,0)*VLOOKUP('Données projet'!$B$10,Paramètres!$A$1:$I$89,5,0)</f>
        <v>-3.1036506698001178E-14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160.54301845388551</v>
      </c>
      <c r="AO190" s="59">
        <f t="shared" si="144"/>
        <v>272.6634844951584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3.6693579623085646</v>
      </c>
      <c r="AV190" s="21">
        <f>EXP(-LN(2)/25)*AV189+(1-EXP(-LN(2)/25))/(LN(2)/25)*Calculateur!AQ190*Calculateur!AS190*VLOOKUP('Données projet'!$B$10,Paramètres!$A$1:$I$89,3,0)*0.475*44/12</f>
        <v>2.545745996643737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6.2151039589523016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3.4106051316484809E-13</v>
      </c>
      <c r="BE190" s="13">
        <f>BD190*VLOOKUP('Données projet'!$B$11,Paramètres!$A$1:$I$89,3,0)*VLOOKUP('Données projet'!$B$11,Paramètres!$A$1:$I$89,5,0)</f>
        <v>1.5961632016114892E-13</v>
      </c>
      <c r="BF190" s="13">
        <f t="shared" si="167"/>
        <v>2.2708641912150958E-12</v>
      </c>
      <c r="BG190" s="20">
        <f t="shared" si="168"/>
        <v>4.2330868906469593E-12</v>
      </c>
      <c r="BH190" s="59">
        <f t="shared" si="116"/>
        <v>293.33333333333752</v>
      </c>
      <c r="BI190" s="59">
        <f ca="1">AVERAGE(OFFSET($BH$3,0,0,'Données projet'!$E$11+1,1))-AVERAGE(OFFSET($H$3,0,0,'Données projet'!$E$11+1,1))</f>
        <v>207.25176714718668</v>
      </c>
      <c r="BJ190" s="59">
        <f t="shared" si="146"/>
        <v>191.53228014642559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34.539477434150022</v>
      </c>
      <c r="BQ190" s="21">
        <f>EXP(-LN(2)/25)*BQ189+(1-EXP(-LN(2)/25))/(LN(2)/25)*Calculateur!BL190*Calculateur!BN190*VLOOKUP('Données projet'!$B$11,Paramètres!$A$1:$I$89,3,0)*0.475*44/12</f>
        <v>4.5216366336678018</v>
      </c>
      <c r="BR190" s="21">
        <f>EXP(-LN(2)/2)*BR189+(1-EXP(-LN(2)/2))/(LN(2)/2)*BL190*BO190*VLOOKUP('Données projet'!$B$11,Paramètres!$A$1:$I$89,3,0)*0.475*44/12</f>
        <v>1.008931633084679E-11</v>
      </c>
      <c r="BS190" s="22">
        <f t="shared" si="169"/>
        <v>39.061114067827916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68.620424404221751</v>
      </c>
      <c r="CE190" s="59">
        <f t="shared" si="148"/>
        <v>203.12945099478918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1.7323180057208498</v>
      </c>
      <c r="CL190" s="21">
        <f>EXP(-LN(2)/25)*CL189+(1-EXP(-LN(2)/25))/(LN(2)/25)*Calculateur!CG190*Calculateur!CI190*VLOOKUP('Données projet'!$B$12,Paramètres!$A$1:$I$89,3,0)*0.475*44/12</f>
        <v>9.8485032258276844E-2</v>
      </c>
      <c r="CM190" s="21">
        <f>EXP(-LN(2)/2)*CM189+(1-EXP(-LN(2)/2))/(LN(2)/2)*CG190*CJ190*VLOOKUP('Données projet'!$B$12,Paramètres!$A$1:$I$89,3,0)*0.475*44/12</f>
        <v>1.0544239336544613E-24</v>
      </c>
      <c r="CN190" s="22">
        <f t="shared" si="172"/>
        <v>1.8308030379791267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-2.8421709430404007E-13</v>
      </c>
      <c r="CU190" s="17">
        <f>CT190*VLOOKUP('Données projet'!$B$13,Paramètres!$A$1:$I$89,3,0)*VLOOKUP('Données projet'!$B$13,Paramètres!$A$1:$I$89,5,0)</f>
        <v>-1.69961822393816E-13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196.25918971690442</v>
      </c>
      <c r="CZ190" s="59">
        <f t="shared" si="150"/>
        <v>148.35701313170205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22.493093482800504</v>
      </c>
      <c r="DG190" s="21">
        <f>EXP(-LN(2)/25)*DG189+(1-EXP(-LN(2)/25))/(LN(2)/25)*Calculateur!DB190*Calculateur!DD190*VLOOKUP('Données projet'!$B$13,Paramètres!$A$1:$I$89,3,0)*0.475*44/12</f>
        <v>3.475189340092026</v>
      </c>
      <c r="DH190" s="21">
        <f>EXP(-LN(2)/2)*DH189+(1-EXP(-LN(2)/2))/(LN(2)/2)*DB190*DE190*VLOOKUP('Données projet'!$B$13,Paramètres!$A$1:$I$89,3,0)*0.475*44/12</f>
        <v>4.1273046510219536E-12</v>
      </c>
      <c r="DI190" s="22">
        <f t="shared" si="175"/>
        <v>25.968282822896658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11">
        <f t="shared" si="140"/>
        <v>24.078375128721891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67">
        <f t="shared" si="110"/>
        <v>488.50863668252464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180.31844548479722</v>
      </c>
      <c r="T191" s="59">
        <f t="shared" si="142"/>
        <v>273.83237400307223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6.6036326044966334</v>
      </c>
      <c r="AA191" s="21">
        <f>EXP(-LN(2)/25)*AA190+(1-EXP(-LN(2)/25))/(LN(2)/25)*Calculateur!V191*Calculateur!X191*VLOOKUP('Données projet'!$B$9,Paramètres!$A$1:$I$89,3,0)*0.475*44/12</f>
        <v>4.1584954259185434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10.762128030415177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-5.6843418860808015E-14</v>
      </c>
      <c r="AJ191" s="13">
        <f>AI191*VLOOKUP('Données projet'!$B$10,Paramètres!$A$1:$I$89,3,0)*VLOOKUP('Données projet'!$B$10,Paramètres!$A$1:$I$89,5,0)</f>
        <v>-3.1036506698001178E-14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160.54301845388551</v>
      </c>
      <c r="AO191" s="59">
        <f t="shared" si="144"/>
        <v>272.6634844951584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3.5974040907550577</v>
      </c>
      <c r="AV191" s="21">
        <f>EXP(-LN(2)/25)*AV190+(1-EXP(-LN(2)/25))/(LN(2)/25)*Calculateur!AQ191*Calculateur!AS191*VLOOKUP('Données projet'!$B$10,Paramètres!$A$1:$I$89,3,0)*0.475*44/12</f>
        <v>2.4761324384905503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6.0735365292456081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3.4106051316484809E-13</v>
      </c>
      <c r="BE191" s="13">
        <f>BD191*VLOOKUP('Données projet'!$B$11,Paramètres!$A$1:$I$89,3,0)*VLOOKUP('Données projet'!$B$11,Paramètres!$A$1:$I$89,5,0)</f>
        <v>1.5961632016114892E-13</v>
      </c>
      <c r="BF191" s="13">
        <f t="shared" si="167"/>
        <v>2.2708641912150958E-12</v>
      </c>
      <c r="BG191" s="20">
        <f t="shared" si="168"/>
        <v>4.2330868906469593E-12</v>
      </c>
      <c r="BH191" s="59">
        <f t="shared" si="116"/>
        <v>293.33333333333752</v>
      </c>
      <c r="BI191" s="59">
        <f ca="1">AVERAGE(OFFSET($BH$3,0,0,'Données projet'!$E$11+1,1))-AVERAGE(OFFSET($H$3,0,0,'Données projet'!$E$11+1,1))</f>
        <v>207.25176714718668</v>
      </c>
      <c r="BJ191" s="59">
        <f t="shared" si="146"/>
        <v>191.53228014642559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33.862179348667382</v>
      </c>
      <c r="BQ191" s="21">
        <f>EXP(-LN(2)/25)*BQ190+(1-EXP(-LN(2)/25))/(LN(2)/25)*Calculateur!BL191*Calculateur!BN191*VLOOKUP('Données projet'!$B$11,Paramètres!$A$1:$I$89,3,0)*0.475*44/12</f>
        <v>4.3979922421376196</v>
      </c>
      <c r="BR191" s="21">
        <f>EXP(-LN(2)/2)*BR190+(1-EXP(-LN(2)/2))/(LN(2)/2)*BL191*BO191*VLOOKUP('Données projet'!$B$11,Paramètres!$A$1:$I$89,3,0)*0.475*44/12</f>
        <v>7.1342239950779419E-12</v>
      </c>
      <c r="BS191" s="22">
        <f t="shared" si="169"/>
        <v>38.260171590812135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68.620424404221751</v>
      </c>
      <c r="CE191" s="59">
        <f t="shared" si="148"/>
        <v>203.12945099478918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1.698348306238316</v>
      </c>
      <c r="CL191" s="21">
        <f>EXP(-LN(2)/25)*CL190+(1-EXP(-LN(2)/25))/(LN(2)/25)*Calculateur!CG191*Calculateur!CI191*VLOOKUP('Données projet'!$B$12,Paramètres!$A$1:$I$89,3,0)*0.475*44/12</f>
        <v>9.5791953872071511E-2</v>
      </c>
      <c r="CM191" s="21">
        <f>EXP(-LN(2)/2)*CM190+(1-EXP(-LN(2)/2))/(LN(2)/2)*CG191*CJ191*VLOOKUP('Données projet'!$B$12,Paramètres!$A$1:$I$89,3,0)*0.475*44/12</f>
        <v>7.455903137324639E-25</v>
      </c>
      <c r="CN191" s="22">
        <f t="shared" si="172"/>
        <v>1.7941402601103875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-2.8421709430404007E-13</v>
      </c>
      <c r="CU191" s="17">
        <f>CT191*VLOOKUP('Données projet'!$B$13,Paramètres!$A$1:$I$89,3,0)*VLOOKUP('Données projet'!$B$13,Paramètres!$A$1:$I$89,5,0)</f>
        <v>-1.69961822393816E-13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196.25918971690442</v>
      </c>
      <c r="CZ191" s="59">
        <f t="shared" si="150"/>
        <v>148.35701313170205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22.052017639035128</v>
      </c>
      <c r="DG191" s="21">
        <f>EXP(-LN(2)/25)*DG190+(1-EXP(-LN(2)/25))/(LN(2)/25)*Calculateur!DB191*Calculateur!DD191*VLOOKUP('Données projet'!$B$13,Paramètres!$A$1:$I$89,3,0)*0.475*44/12</f>
        <v>3.3801601048349448</v>
      </c>
      <c r="DH191" s="21">
        <f>EXP(-LN(2)/2)*DH190+(1-EXP(-LN(2)/2))/(LN(2)/2)*DB191*DE191*VLOOKUP('Données projet'!$B$13,Paramètres!$A$1:$I$89,3,0)*0.475*44/12</f>
        <v>2.9184451067604005E-12</v>
      </c>
      <c r="DI191" s="22">
        <f t="shared" si="175"/>
        <v>25.432177743872991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11">
        <f t="shared" si="140"/>
        <v>24.191508526944062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67">
        <f t="shared" si="110"/>
        <v>489.52077735109492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180.31844548479722</v>
      </c>
      <c r="T192" s="59">
        <f t="shared" si="142"/>
        <v>273.83237400307223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6.4741393969406289</v>
      </c>
      <c r="AA192" s="21">
        <f>EXP(-LN(2)/25)*AA191+(1-EXP(-LN(2)/25))/(LN(2)/25)*Calculateur!V192*Calculateur!X192*VLOOKUP('Données projet'!$B$9,Paramètres!$A$1:$I$89,3,0)*0.475*44/12</f>
        <v>4.0447811498110307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10.518920546751659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-5.6843418860808015E-14</v>
      </c>
      <c r="AJ192" s="13">
        <f>AI192*VLOOKUP('Données projet'!$B$10,Paramètres!$A$1:$I$89,3,0)*VLOOKUP('Données projet'!$B$10,Paramètres!$A$1:$I$89,5,0)</f>
        <v>-3.1036506698001178E-14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160.54301845388551</v>
      </c>
      <c r="AO192" s="59">
        <f t="shared" si="144"/>
        <v>272.6634844951584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3.526861190735187</v>
      </c>
      <c r="AV192" s="21">
        <f>EXP(-LN(2)/25)*AV191+(1-EXP(-LN(2)/25))/(LN(2)/25)*Calculateur!AQ192*Calculateur!AS192*VLOOKUP('Données projet'!$B$10,Paramètres!$A$1:$I$89,3,0)*0.475*44/12</f>
        <v>2.4084224667458805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5.935283657481067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3.4106051316484809E-13</v>
      </c>
      <c r="BE192" s="13">
        <f>BD192*VLOOKUP('Données projet'!$B$11,Paramètres!$A$1:$I$89,3,0)*VLOOKUP('Données projet'!$B$11,Paramètres!$A$1:$I$89,5,0)</f>
        <v>1.5961632016114892E-13</v>
      </c>
      <c r="BF192" s="13">
        <f t="shared" si="167"/>
        <v>2.2708641912150958E-12</v>
      </c>
      <c r="BG192" s="20">
        <f t="shared" si="168"/>
        <v>4.2330868906469593E-12</v>
      </c>
      <c r="BH192" s="59">
        <f t="shared" si="116"/>
        <v>293.33333333333752</v>
      </c>
      <c r="BI192" s="59">
        <f ca="1">AVERAGE(OFFSET($BH$3,0,0,'Données projet'!$E$11+1,1))-AVERAGE(OFFSET($H$3,0,0,'Données projet'!$E$11+1,1))</f>
        <v>207.25176714718668</v>
      </c>
      <c r="BJ192" s="59">
        <f t="shared" si="146"/>
        <v>191.53228014642559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33.198162665530013</v>
      </c>
      <c r="BQ192" s="21">
        <f>EXP(-LN(2)/25)*BQ191+(1-EXP(-LN(2)/25))/(LN(2)/25)*Calculateur!BL192*Calculateur!BN192*VLOOKUP('Données projet'!$B$11,Paramètres!$A$1:$I$89,3,0)*0.475*44/12</f>
        <v>4.2777289129960065</v>
      </c>
      <c r="BR192" s="21">
        <f>EXP(-LN(2)/2)*BR191+(1-EXP(-LN(2)/2))/(LN(2)/2)*BL192*BO192*VLOOKUP('Données projet'!$B$11,Paramètres!$A$1:$I$89,3,0)*0.475*44/12</f>
        <v>5.0446581654233958E-12</v>
      </c>
      <c r="BS192" s="22">
        <f t="shared" si="169"/>
        <v>37.475891578531062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68.620424404221751</v>
      </c>
      <c r="CE192" s="59">
        <f t="shared" si="148"/>
        <v>203.12945099478918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1.6650447318431638</v>
      </c>
      <c r="CL192" s="21">
        <f>EXP(-LN(2)/25)*CL191+(1-EXP(-LN(2)/25))/(LN(2)/25)*Calculateur!CG192*Calculateur!CI192*VLOOKUP('Données projet'!$B$12,Paramètres!$A$1:$I$89,3,0)*0.475*44/12</f>
        <v>9.3172517855959799E-2</v>
      </c>
      <c r="CM192" s="21">
        <f>EXP(-LN(2)/2)*CM191+(1-EXP(-LN(2)/2))/(LN(2)/2)*CG192*CJ192*VLOOKUP('Données projet'!$B$12,Paramètres!$A$1:$I$89,3,0)*0.475*44/12</f>
        <v>5.2721196682723067E-25</v>
      </c>
      <c r="CN192" s="22">
        <f t="shared" si="172"/>
        <v>1.7582172496991235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-2.8421709430404007E-13</v>
      </c>
      <c r="CU192" s="17">
        <f>CT192*VLOOKUP('Données projet'!$B$13,Paramètres!$A$1:$I$89,3,0)*VLOOKUP('Données projet'!$B$13,Paramètres!$A$1:$I$89,5,0)</f>
        <v>-1.69961822393816E-13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196.25918971690442</v>
      </c>
      <c r="CZ192" s="59">
        <f t="shared" si="150"/>
        <v>148.35701313170205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21.619591023536291</v>
      </c>
      <c r="DG192" s="21">
        <f>EXP(-LN(2)/25)*DG191+(1-EXP(-LN(2)/25))/(LN(2)/25)*Calculateur!DB192*Calculateur!DD192*VLOOKUP('Données projet'!$B$13,Paramètres!$A$1:$I$89,3,0)*0.475*44/12</f>
        <v>3.2877294490133386</v>
      </c>
      <c r="DH192" s="21">
        <f>EXP(-LN(2)/2)*DH191+(1-EXP(-LN(2)/2))/(LN(2)/2)*DB192*DE192*VLOOKUP('Données projet'!$B$13,Paramètres!$A$1:$I$89,3,0)*0.475*44/12</f>
        <v>2.0636523255109768E-12</v>
      </c>
      <c r="DI192" s="22">
        <f t="shared" si="175"/>
        <v>24.907320472551692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11">
        <f t="shared" si="140"/>
        <v>24.304572270466586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67">
        <f t="shared" si="110"/>
        <v>490.53279670439667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180.31844548479722</v>
      </c>
      <c r="T193" s="59">
        <f t="shared" si="142"/>
        <v>273.83237400307223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6.3471854722017405</v>
      </c>
      <c r="AA193" s="21">
        <f>EXP(-LN(2)/25)*AA192+(1-EXP(-LN(2)/25))/(LN(2)/25)*Calculateur!V193*Calculateur!X193*VLOOKUP('Données projet'!$B$9,Paramètres!$A$1:$I$89,3,0)*0.475*44/12</f>
        <v>3.934176396563652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10.281361868765392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-5.6843418860808015E-14</v>
      </c>
      <c r="AJ193" s="13">
        <f>AI193*VLOOKUP('Données projet'!$B$10,Paramètres!$A$1:$I$89,3,0)*VLOOKUP('Données projet'!$B$10,Paramètres!$A$1:$I$89,5,0)</f>
        <v>-3.1036506698001178E-14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160.54301845388551</v>
      </c>
      <c r="AO193" s="59">
        <f t="shared" si="144"/>
        <v>272.6634844951584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3.4577015939577858</v>
      </c>
      <c r="AV193" s="21">
        <f>EXP(-LN(2)/25)*AV192+(1-EXP(-LN(2)/25))/(LN(2)/25)*Calculateur!AQ193*Calculateur!AS193*VLOOKUP('Données projet'!$B$10,Paramètres!$A$1:$I$89,3,0)*0.475*44/12</f>
        <v>2.3425640277392814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5.8002656216970667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3.4106051316484809E-13</v>
      </c>
      <c r="BE193" s="13">
        <f>BD193*VLOOKUP('Données projet'!$B$11,Paramètres!$A$1:$I$89,3,0)*VLOOKUP('Données projet'!$B$11,Paramètres!$A$1:$I$89,5,0)</f>
        <v>1.5961632016114892E-13</v>
      </c>
      <c r="BF193" s="13">
        <f t="shared" si="167"/>
        <v>2.2708641912150958E-12</v>
      </c>
      <c r="BG193" s="20">
        <f t="shared" si="168"/>
        <v>4.2330868906469593E-12</v>
      </c>
      <c r="BH193" s="59">
        <f t="shared" si="116"/>
        <v>293.33333333333752</v>
      </c>
      <c r="BI193" s="59">
        <f ca="1">AVERAGE(OFFSET($BH$3,0,0,'Données projet'!$E$11+1,1))-AVERAGE(OFFSET($H$3,0,0,'Données projet'!$E$11+1,1))</f>
        <v>207.25176714718668</v>
      </c>
      <c r="BJ193" s="59">
        <f t="shared" si="146"/>
        <v>191.53228014642559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32.547166944538787</v>
      </c>
      <c r="BQ193" s="21">
        <f>EXP(-LN(2)/25)*BQ192+(1-EXP(-LN(2)/25))/(LN(2)/25)*Calculateur!BL193*Calculateur!BN193*VLOOKUP('Données projet'!$B$11,Paramètres!$A$1:$I$89,3,0)*0.475*44/12</f>
        <v>4.1607541909141439</v>
      </c>
      <c r="BR193" s="21">
        <f>EXP(-LN(2)/2)*BR192+(1-EXP(-LN(2)/2))/(LN(2)/2)*BL193*BO193*VLOOKUP('Données projet'!$B$11,Paramètres!$A$1:$I$89,3,0)*0.475*44/12</f>
        <v>3.5671119975389718E-12</v>
      </c>
      <c r="BS193" s="22">
        <f t="shared" si="169"/>
        <v>36.707921135456502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68.620424404221751</v>
      </c>
      <c r="CE193" s="59">
        <f t="shared" si="148"/>
        <v>203.12945099478918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1.6323942202287258</v>
      </c>
      <c r="CL193" s="21">
        <f>EXP(-LN(2)/25)*CL192+(1-EXP(-LN(2)/25))/(LN(2)/25)*Calculateur!CG193*Calculateur!CI193*VLOOKUP('Données projet'!$B$12,Paramètres!$A$1:$I$89,3,0)*0.475*44/12</f>
        <v>9.0624710455458807E-2</v>
      </c>
      <c r="CM193" s="21">
        <f>EXP(-LN(2)/2)*CM192+(1-EXP(-LN(2)/2))/(LN(2)/2)*CG193*CJ193*VLOOKUP('Données projet'!$B$12,Paramètres!$A$1:$I$89,3,0)*0.475*44/12</f>
        <v>3.7279515686623195E-25</v>
      </c>
      <c r="CN193" s="22">
        <f t="shared" si="172"/>
        <v>1.7230189306841845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-2.8421709430404007E-13</v>
      </c>
      <c r="CU193" s="17">
        <f>CT193*VLOOKUP('Données projet'!$B$13,Paramètres!$A$1:$I$89,3,0)*VLOOKUP('Données projet'!$B$13,Paramètres!$A$1:$I$89,5,0)</f>
        <v>-1.69961822393816E-13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196.25918971690442</v>
      </c>
      <c r="CZ193" s="59">
        <f t="shared" si="150"/>
        <v>148.35701313170205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21.195644030213195</v>
      </c>
      <c r="DG193" s="21">
        <f>EXP(-LN(2)/25)*DG192+(1-EXP(-LN(2)/25))/(LN(2)/25)*Calculateur!DB193*Calculateur!DD193*VLOOKUP('Données projet'!$B$13,Paramètres!$A$1:$I$89,3,0)*0.475*44/12</f>
        <v>3.1978263143358912</v>
      </c>
      <c r="DH193" s="21">
        <f>EXP(-LN(2)/2)*DH192+(1-EXP(-LN(2)/2))/(LN(2)/2)*DB193*DE193*VLOOKUP('Données projet'!$B$13,Paramètres!$A$1:$I$89,3,0)*0.475*44/12</f>
        <v>1.4592225533802002E-12</v>
      </c>
      <c r="DI193" s="22">
        <f t="shared" si="175"/>
        <v>24.393470344550547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11">
        <f t="shared" si="140"/>
        <v>24.417566768444267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67">
        <f t="shared" si="110"/>
        <v>491.54469545504116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180.31844548479722</v>
      </c>
      <c r="T194" s="59">
        <f t="shared" si="142"/>
        <v>273.83237400307223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6.2227210364927332</v>
      </c>
      <c r="AA194" s="21">
        <f>EXP(-LN(2)/25)*AA193+(1-EXP(-LN(2)/25))/(LN(2)/25)*Calculateur!V194*Calculateur!X194*VLOOKUP('Données projet'!$B$9,Paramètres!$A$1:$I$89,3,0)*0.475*44/12</f>
        <v>3.826596136110274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10.049317172603008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-5.6843418860808015E-14</v>
      </c>
      <c r="AJ194" s="13">
        <f>AI194*VLOOKUP('Données projet'!$B$10,Paramètres!$A$1:$I$89,3,0)*VLOOKUP('Données projet'!$B$10,Paramètres!$A$1:$I$89,5,0)</f>
        <v>-3.1036506698001178E-14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160.54301845388551</v>
      </c>
      <c r="AO194" s="59">
        <f t="shared" si="144"/>
        <v>272.6634844951584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3.3898981746900003</v>
      </c>
      <c r="AV194" s="21">
        <f>EXP(-LN(2)/25)*AV193+(1-EXP(-LN(2)/25))/(LN(2)/25)*Calculateur!AQ194*Calculateur!AS194*VLOOKUP('Données projet'!$B$10,Paramètres!$A$1:$I$89,3,0)*0.475*44/12</f>
        <v>2.2785064912106625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5.6684046659006633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3.4106051316484809E-13</v>
      </c>
      <c r="BE194" s="13">
        <f>BD194*VLOOKUP('Données projet'!$B$11,Paramètres!$A$1:$I$89,3,0)*VLOOKUP('Données projet'!$B$11,Paramètres!$A$1:$I$89,5,0)</f>
        <v>1.5961632016114892E-13</v>
      </c>
      <c r="BF194" s="13">
        <f t="shared" si="167"/>
        <v>2.2708641912150958E-12</v>
      </c>
      <c r="BG194" s="20">
        <f t="shared" si="168"/>
        <v>4.2330868906469593E-12</v>
      </c>
      <c r="BH194" s="59">
        <f t="shared" si="116"/>
        <v>293.33333333333752</v>
      </c>
      <c r="BI194" s="59">
        <f ca="1">AVERAGE(OFFSET($BH$3,0,0,'Données projet'!$E$11+1,1))-AVERAGE(OFFSET($H$3,0,0,'Données projet'!$E$11+1,1))</f>
        <v>207.25176714718668</v>
      </c>
      <c r="BJ194" s="59">
        <f t="shared" si="146"/>
        <v>191.53228014642559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31.908936852568015</v>
      </c>
      <c r="BQ194" s="21">
        <f>EXP(-LN(2)/25)*BQ193+(1-EXP(-LN(2)/25))/(LN(2)/25)*Calculateur!BL194*Calculateur!BN194*VLOOKUP('Données projet'!$B$11,Paramètres!$A$1:$I$89,3,0)*0.475*44/12</f>
        <v>4.0469781487590435</v>
      </c>
      <c r="BR194" s="21">
        <f>EXP(-LN(2)/2)*BR193+(1-EXP(-LN(2)/2))/(LN(2)/2)*BL194*BO194*VLOOKUP('Données projet'!$B$11,Paramètres!$A$1:$I$89,3,0)*0.475*44/12</f>
        <v>2.5223290827116983E-12</v>
      </c>
      <c r="BS194" s="22">
        <f t="shared" si="169"/>
        <v>35.955915001329579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68.620424404221751</v>
      </c>
      <c r="CE194" s="59">
        <f t="shared" si="148"/>
        <v>203.12945099478918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1.6003839652322014</v>
      </c>
      <c r="CL194" s="21">
        <f>EXP(-LN(2)/25)*CL193+(1-EXP(-LN(2)/25))/(LN(2)/25)*Calculateur!CG194*Calculateur!CI194*VLOOKUP('Données projet'!$B$12,Paramètres!$A$1:$I$89,3,0)*0.475*44/12</f>
        <v>8.8146572982307894E-2</v>
      </c>
      <c r="CM194" s="21">
        <f>EXP(-LN(2)/2)*CM193+(1-EXP(-LN(2)/2))/(LN(2)/2)*CG194*CJ194*VLOOKUP('Données projet'!$B$12,Paramètres!$A$1:$I$89,3,0)*0.475*44/12</f>
        <v>2.6360598341361533E-25</v>
      </c>
      <c r="CN194" s="22">
        <f t="shared" si="172"/>
        <v>1.6885305382145093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-2.8421709430404007E-13</v>
      </c>
      <c r="CU194" s="17">
        <f>CT194*VLOOKUP('Données projet'!$B$13,Paramètres!$A$1:$I$89,3,0)*VLOOKUP('Données projet'!$B$13,Paramètres!$A$1:$I$89,5,0)</f>
        <v>-1.69961822393816E-13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196.25918971690442</v>
      </c>
      <c r="CZ194" s="59">
        <f t="shared" si="150"/>
        <v>148.35701313170205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20.780010378847031</v>
      </c>
      <c r="DG194" s="21">
        <f>EXP(-LN(2)/25)*DG193+(1-EXP(-LN(2)/25))/(LN(2)/25)*Calculateur!DB194*Calculateur!DD194*VLOOKUP('Données projet'!$B$13,Paramètres!$A$1:$I$89,3,0)*0.475*44/12</f>
        <v>3.1103815856039989</v>
      </c>
      <c r="DH194" s="21">
        <f>EXP(-LN(2)/2)*DH193+(1-EXP(-LN(2)/2))/(LN(2)/2)*DB194*DE194*VLOOKUP('Données projet'!$B$13,Paramètres!$A$1:$I$89,3,0)*0.475*44/12</f>
        <v>1.0318261627554884E-12</v>
      </c>
      <c r="DI194" s="22">
        <f t="shared" si="175"/>
        <v>23.890391964452061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11">
        <f t="shared" si="140"/>
        <v>24.530492425499521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67">
        <f t="shared" si="110"/>
        <v>492.5564743077457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180.31844548479722</v>
      </c>
      <c r="T195" s="59">
        <f t="shared" si="142"/>
        <v>273.83237400307223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6.1006972724521695</v>
      </c>
      <c r="AA195" s="21">
        <f>EXP(-LN(2)/25)*AA194+(1-EXP(-LN(2)/25))/(LN(2)/25)*Calculateur!V195*Calculateur!X195*VLOOKUP('Données projet'!$B$9,Paramètres!$A$1:$I$89,3,0)*0.475*44/12</f>
        <v>3.7219576635363936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9.8226549359885631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-5.6843418860808015E-14</v>
      </c>
      <c r="AJ195" s="13">
        <f>AI195*VLOOKUP('Données projet'!$B$10,Paramètres!$A$1:$I$89,3,0)*VLOOKUP('Données projet'!$B$10,Paramètres!$A$1:$I$89,5,0)</f>
        <v>-3.1036506698001178E-14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160.54301845388551</v>
      </c>
      <c r="AO195" s="59">
        <f t="shared" si="144"/>
        <v>272.6634844951584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3.3234243391180542</v>
      </c>
      <c r="AV195" s="21">
        <f>EXP(-LN(2)/25)*AV194+(1-EXP(-LN(2)/25))/(LN(2)/25)*Calculateur!AQ195*Calculateur!AS195*VLOOKUP('Données projet'!$B$10,Paramètres!$A$1:$I$89,3,0)*0.475*44/12</f>
        <v>2.216200611387058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5.5396249505051127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3.4106051316484809E-13</v>
      </c>
      <c r="BE195" s="13">
        <f>BD195*VLOOKUP('Données projet'!$B$11,Paramètres!$A$1:$I$89,3,0)*VLOOKUP('Données projet'!$B$11,Paramètres!$A$1:$I$89,5,0)</f>
        <v>1.5961632016114892E-13</v>
      </c>
      <c r="BF195" s="13">
        <f t="shared" si="167"/>
        <v>2.2708641912150958E-12</v>
      </c>
      <c r="BG195" s="20">
        <f t="shared" si="168"/>
        <v>4.2330868906469593E-12</v>
      </c>
      <c r="BH195" s="59">
        <f t="shared" si="116"/>
        <v>293.33333333333752</v>
      </c>
      <c r="BI195" s="59">
        <f ca="1">AVERAGE(OFFSET($BH$3,0,0,'Données projet'!$E$11+1,1))-AVERAGE(OFFSET($H$3,0,0,'Données projet'!$E$11+1,1))</f>
        <v>207.25176714718668</v>
      </c>
      <c r="BJ195" s="59">
        <f t="shared" si="146"/>
        <v>191.53228014642559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31.283222063418872</v>
      </c>
      <c r="BQ195" s="21">
        <f>EXP(-LN(2)/25)*BQ194+(1-EXP(-LN(2)/25))/(LN(2)/25)*Calculateur!BL195*Calculateur!BN195*VLOOKUP('Données projet'!$B$11,Paramètres!$A$1:$I$89,3,0)*0.475*44/12</f>
        <v>3.936313318459896</v>
      </c>
      <c r="BR195" s="21">
        <f>EXP(-LN(2)/2)*BR194+(1-EXP(-LN(2)/2))/(LN(2)/2)*BL195*BO195*VLOOKUP('Données projet'!$B$11,Paramètres!$A$1:$I$89,3,0)*0.475*44/12</f>
        <v>1.7835559987694861E-12</v>
      </c>
      <c r="BS195" s="22">
        <f t="shared" si="169"/>
        <v>35.219535381880554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68.620424404221751</v>
      </c>
      <c r="CE195" s="59">
        <f t="shared" si="148"/>
        <v>203.12945099478918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1.5690014118118312</v>
      </c>
      <c r="CL195" s="21">
        <f>EXP(-LN(2)/25)*CL194+(1-EXP(-LN(2)/25))/(LN(2)/25)*Calculateur!CG195*Calculateur!CI195*VLOOKUP('Données projet'!$B$12,Paramètres!$A$1:$I$89,3,0)*0.475*44/12</f>
        <v>8.5736200308679872E-2</v>
      </c>
      <c r="CM195" s="21">
        <f>EXP(-LN(2)/2)*CM194+(1-EXP(-LN(2)/2))/(LN(2)/2)*CG195*CJ195*VLOOKUP('Données projet'!$B$12,Paramètres!$A$1:$I$89,3,0)*0.475*44/12</f>
        <v>1.8639757843311598E-25</v>
      </c>
      <c r="CN195" s="22">
        <f t="shared" si="172"/>
        <v>1.6547376121205111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-2.8421709430404007E-13</v>
      </c>
      <c r="CU195" s="17">
        <f>CT195*VLOOKUP('Données projet'!$B$13,Paramètres!$A$1:$I$89,3,0)*VLOOKUP('Données projet'!$B$13,Paramètres!$A$1:$I$89,5,0)</f>
        <v>-1.69961822393816E-13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196.25918971690442</v>
      </c>
      <c r="CZ195" s="59">
        <f t="shared" si="150"/>
        <v>148.35701313170205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20.372527049872662</v>
      </c>
      <c r="DG195" s="21">
        <f>EXP(-LN(2)/25)*DG194+(1-EXP(-LN(2)/25))/(LN(2)/25)*Calculateur!DB195*Calculateur!DD195*VLOOKUP('Données projet'!$B$13,Paramètres!$A$1:$I$89,3,0)*0.475*44/12</f>
        <v>3.0253280375777987</v>
      </c>
      <c r="DH195" s="21">
        <f>EXP(-LN(2)/2)*DH194+(1-EXP(-LN(2)/2))/(LN(2)/2)*DB195*DE195*VLOOKUP('Données projet'!$B$13,Paramètres!$A$1:$I$89,3,0)*0.475*44/12</f>
        <v>7.2961127669010012E-13</v>
      </c>
      <c r="DI195" s="22">
        <f t="shared" si="175"/>
        <v>23.397855087451187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11">
        <f t="shared" si="140"/>
        <v>24.643349641795954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67">
        <f t="shared" ref="H196:H203" si="192">(B196+E196+F196)*44/12+(C196+D196)*0.475*44/12</f>
        <v>493.56813395946199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180.31844548479722</v>
      </c>
      <c r="T196" s="59">
        <f t="shared" si="142"/>
        <v>273.83237400307223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5.9810663199972947</v>
      </c>
      <c r="AA196" s="21">
        <f>EXP(-LN(2)/25)*AA195+(1-EXP(-LN(2)/25))/(LN(2)/25)*Calculateur!V196*Calculateur!X196*VLOOKUP('Données projet'!$B$9,Paramètres!$A$1:$I$89,3,0)*0.475*44/12</f>
        <v>3.6201805354977439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9.6012468554950381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-5.6843418860808015E-14</v>
      </c>
      <c r="AJ196" s="13">
        <f>AI196*VLOOKUP('Données projet'!$B$10,Paramètres!$A$1:$I$89,3,0)*VLOOKUP('Données projet'!$B$10,Paramètres!$A$1:$I$89,5,0)</f>
        <v>-3.1036506698001178E-14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160.54301845388551</v>
      </c>
      <c r="AO196" s="59">
        <f t="shared" si="144"/>
        <v>272.6634844951584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3.2582540149166377</v>
      </c>
      <c r="AV196" s="21">
        <f>EXP(-LN(2)/25)*AV195+(1-EXP(-LN(2)/25))/(LN(2)/25)*Calculateur!AQ196*Calculateur!AS196*VLOOKUP('Données projet'!$B$10,Paramètres!$A$1:$I$89,3,0)*0.475*44/12</f>
        <v>2.1555984891237538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5.413852504040392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3.4106051316484809E-13</v>
      </c>
      <c r="BE196" s="13">
        <f>BD196*VLOOKUP('Données projet'!$B$11,Paramètres!$A$1:$I$89,3,0)*VLOOKUP('Données projet'!$B$11,Paramètres!$A$1:$I$89,5,0)</f>
        <v>1.5961632016114892E-13</v>
      </c>
      <c r="BF196" s="13">
        <f t="shared" si="167"/>
        <v>2.2708641912150958E-12</v>
      </c>
      <c r="BG196" s="20">
        <f t="shared" si="168"/>
        <v>4.2330868906469593E-12</v>
      </c>
      <c r="BH196" s="59">
        <f t="shared" ref="BH196:BH203" si="194">BG196+(AY196+AZ196)*44/12</f>
        <v>293.33333333333752</v>
      </c>
      <c r="BI196" s="59">
        <f ca="1">AVERAGE(OFFSET($BH$3,0,0,'Données projet'!$E$11+1,1))-AVERAGE(OFFSET($H$3,0,0,'Données projet'!$E$11+1,1))</f>
        <v>207.25176714718668</v>
      </c>
      <c r="BJ196" s="59">
        <f t="shared" si="146"/>
        <v>191.53228014642559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30.669777159636606</v>
      </c>
      <c r="BQ196" s="21">
        <f>EXP(-LN(2)/25)*BQ195+(1-EXP(-LN(2)/25))/(LN(2)/25)*Calculateur!BL196*Calculateur!BN196*VLOOKUP('Données projet'!$B$11,Paramètres!$A$1:$I$89,3,0)*0.475*44/12</f>
        <v>3.8286746237648894</v>
      </c>
      <c r="BR196" s="21">
        <f>EXP(-LN(2)/2)*BR195+(1-EXP(-LN(2)/2))/(LN(2)/2)*BL196*BO196*VLOOKUP('Données projet'!$B$11,Paramètres!$A$1:$I$89,3,0)*0.475*44/12</f>
        <v>1.2611645413558494E-12</v>
      </c>
      <c r="BS196" s="22">
        <f t="shared" si="169"/>
        <v>34.49845178340275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68.620424404221751</v>
      </c>
      <c r="CE196" s="59">
        <f t="shared" si="148"/>
        <v>203.12945099478918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1.5382342511225668</v>
      </c>
      <c r="CL196" s="21">
        <f>EXP(-LN(2)/25)*CL195+(1-EXP(-LN(2)/25))/(LN(2)/25)*Calculateur!CG196*Calculateur!CI196*VLOOKUP('Données projet'!$B$12,Paramètres!$A$1:$I$89,3,0)*0.475*44/12</f>
        <v>8.3391739402568194E-2</v>
      </c>
      <c r="CM196" s="21">
        <f>EXP(-LN(2)/2)*CM195+(1-EXP(-LN(2)/2))/(LN(2)/2)*CG196*CJ196*VLOOKUP('Données projet'!$B$12,Paramètres!$A$1:$I$89,3,0)*0.475*44/12</f>
        <v>1.3180299170680767E-25</v>
      </c>
      <c r="CN196" s="22">
        <f t="shared" si="172"/>
        <v>1.6216259905251351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-2.8421709430404007E-13</v>
      </c>
      <c r="CU196" s="17">
        <f>CT196*VLOOKUP('Données projet'!$B$13,Paramètres!$A$1:$I$89,3,0)*VLOOKUP('Données projet'!$B$13,Paramètres!$A$1:$I$89,5,0)</f>
        <v>-1.69961822393816E-13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196.25918971690442</v>
      </c>
      <c r="CZ196" s="59">
        <f t="shared" si="150"/>
        <v>148.35701313170205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19.973034220439192</v>
      </c>
      <c r="DG196" s="21">
        <f>EXP(-LN(2)/25)*DG195+(1-EXP(-LN(2)/25))/(LN(2)/25)*Calculateur!DB196*Calculateur!DD196*VLOOKUP('Données projet'!$B$13,Paramètres!$A$1:$I$89,3,0)*0.475*44/12</f>
        <v>2.9426002832951466</v>
      </c>
      <c r="DH196" s="21">
        <f>EXP(-LN(2)/2)*DH195+(1-EXP(-LN(2)/2))/(LN(2)/2)*DB196*DE196*VLOOKUP('Données projet'!$B$13,Paramètres!$A$1:$I$89,3,0)*0.475*44/12</f>
        <v>5.159130813777442E-13</v>
      </c>
      <c r="DI196" s="22">
        <f t="shared" si="175"/>
        <v>22.915634503734854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11">
        <f t="shared" ref="D197:D203" si="202">IFERROR(EXP(-1.0587+0.8836*LN(C197)+0.284),0)</f>
        <v>24.756138813110294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67">
        <f t="shared" si="192"/>
        <v>494.57967509950117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180.31844548479722</v>
      </c>
      <c r="T197" s="59">
        <f t="shared" ref="T197:T203" si="204">$T$3</f>
        <v>273.83237400307223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5.8637812575523842</v>
      </c>
      <c r="AA197" s="21">
        <f>EXP(-LN(2)/25)*AA196+(1-EXP(-LN(2)/25))/(LN(2)/25)*Calculateur!V197*Calculateur!X197*VLOOKUP('Données projet'!$B$9,Paramètres!$A$1:$I$89,3,0)*0.475*44/12</f>
        <v>3.5211865083775375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9.3849677659299218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-5.6843418860808015E-14</v>
      </c>
      <c r="AJ197" s="13">
        <f>AI197*VLOOKUP('Données projet'!$B$10,Paramètres!$A$1:$I$89,3,0)*VLOOKUP('Données projet'!$B$10,Paramètres!$A$1:$I$89,5,0)</f>
        <v>-3.1036506698001178E-14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160.54301845388551</v>
      </c>
      <c r="AO197" s="59">
        <f t="shared" ref="AO197:AO203" si="205">$AO$3</f>
        <v>272.6634844951584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3.1943616410228381</v>
      </c>
      <c r="AV197" s="21">
        <f>EXP(-LN(2)/25)*AV196+(1-EXP(-LN(2)/25))/(LN(2)/25)*Calculateur!AQ197*Calculateur!AS197*VLOOKUP('Données projet'!$B$10,Paramètres!$A$1:$I$89,3,0)*0.475*44/12</f>
        <v>2.0966535350806668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5.2910151761035049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3.4106051316484809E-13</v>
      </c>
      <c r="BE197" s="13">
        <f>BD197*VLOOKUP('Données projet'!$B$11,Paramètres!$A$1:$I$89,3,0)*VLOOKUP('Données projet'!$B$11,Paramètres!$A$1:$I$89,5,0)</f>
        <v>1.5961632016114892E-13</v>
      </c>
      <c r="BF197" s="13">
        <f t="shared" si="167"/>
        <v>2.2708641912150958E-12</v>
      </c>
      <c r="BG197" s="20">
        <f t="shared" si="168"/>
        <v>4.2330868906469593E-12</v>
      </c>
      <c r="BH197" s="59">
        <f t="shared" si="194"/>
        <v>293.33333333333752</v>
      </c>
      <c r="BI197" s="59">
        <f ca="1">AVERAGE(OFFSET($BH$3,0,0,'Données projet'!$E$11+1,1))-AVERAGE(OFFSET($H$3,0,0,'Données projet'!$E$11+1,1))</f>
        <v>207.25176714718668</v>
      </c>
      <c r="BJ197" s="59">
        <f t="shared" ref="BJ197:BJ203" si="206">$BJ$3</f>
        <v>191.53228014642559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30.068361536253065</v>
      </c>
      <c r="BQ197" s="21">
        <f>EXP(-LN(2)/25)*BQ196+(1-EXP(-LN(2)/25))/(LN(2)/25)*Calculateur!BL197*Calculateur!BN197*VLOOKUP('Données projet'!$B$11,Paramètres!$A$1:$I$89,3,0)*0.475*44/12</f>
        <v>3.7239793148367908</v>
      </c>
      <c r="BR197" s="21">
        <f>EXP(-LN(2)/2)*BR196+(1-EXP(-LN(2)/2))/(LN(2)/2)*BL197*BO197*VLOOKUP('Données projet'!$B$11,Paramètres!$A$1:$I$89,3,0)*0.475*44/12</f>
        <v>8.9177799938474324E-13</v>
      </c>
      <c r="BS197" s="22">
        <f t="shared" si="169"/>
        <v>33.792340851090749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68.620424404221751</v>
      </c>
      <c r="CE197" s="59">
        <f t="shared" ref="CE197:CE203" si="207">$CE$3</f>
        <v>203.12945099478918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1.508070415688304</v>
      </c>
      <c r="CL197" s="21">
        <f>EXP(-LN(2)/25)*CL196+(1-EXP(-LN(2)/25))/(LN(2)/25)*Calculateur!CG197*Calculateur!CI197*VLOOKUP('Données projet'!$B$12,Paramètres!$A$1:$I$89,3,0)*0.475*44/12</f>
        <v>8.1111387903223989E-2</v>
      </c>
      <c r="CM197" s="21">
        <f>EXP(-LN(2)/2)*CM196+(1-EXP(-LN(2)/2))/(LN(2)/2)*CG197*CJ197*VLOOKUP('Données projet'!$B$12,Paramètres!$A$1:$I$89,3,0)*0.475*44/12</f>
        <v>9.3198789216557988E-26</v>
      </c>
      <c r="CN197" s="22">
        <f t="shared" si="172"/>
        <v>1.5891818035915279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-2.8421709430404007E-13</v>
      </c>
      <c r="CU197" s="17">
        <f>CT197*VLOOKUP('Données projet'!$B$13,Paramètres!$A$1:$I$89,3,0)*VLOOKUP('Données projet'!$B$13,Paramètres!$A$1:$I$89,5,0)</f>
        <v>-1.69961822393816E-13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196.25918971690442</v>
      </c>
      <c r="CZ197" s="59">
        <f t="shared" ref="CZ197:CZ203" si="208">$CZ$3</f>
        <v>148.35701313170205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19.581375201724349</v>
      </c>
      <c r="DG197" s="21">
        <f>EXP(-LN(2)/25)*DG196+(1-EXP(-LN(2)/25))/(LN(2)/25)*Calculateur!DB197*Calculateur!DD197*VLOOKUP('Données projet'!$B$13,Paramètres!$A$1:$I$89,3,0)*0.475*44/12</f>
        <v>2.8621347238038171</v>
      </c>
      <c r="DH197" s="21">
        <f>EXP(-LN(2)/2)*DH196+(1-EXP(-LN(2)/2))/(LN(2)/2)*DB197*DE197*VLOOKUP('Données projet'!$B$13,Paramètres!$A$1:$I$89,3,0)*0.475*44/12</f>
        <v>3.6480563834505006E-13</v>
      </c>
      <c r="DI197" s="22">
        <f t="shared" si="175"/>
        <v>22.443509925528531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11">
        <f t="shared" si="202"/>
        <v>24.868860330902901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67">
        <f t="shared" si="192"/>
        <v>495.59109840965664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180.31844548479722</v>
      </c>
      <c r="T198" s="59">
        <f t="shared" si="204"/>
        <v>273.83237400307223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5.7487960836451935</v>
      </c>
      <c r="AA198" s="21">
        <f>EXP(-LN(2)/25)*AA197+(1-EXP(-LN(2)/25))/(LN(2)/25)*Calculateur!V198*Calculateur!X198*VLOOKUP('Données projet'!$B$9,Paramètres!$A$1:$I$89,3,0)*0.475*44/12</f>
        <v>3.4248994781348032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9.1736955617799971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-5.6843418860808015E-14</v>
      </c>
      <c r="AJ198" s="13">
        <f>AI198*VLOOKUP('Données projet'!$B$10,Paramètres!$A$1:$I$89,3,0)*VLOOKUP('Données projet'!$B$10,Paramètres!$A$1:$I$89,5,0)</f>
        <v>-3.1036506698001178E-14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160.54301845388551</v>
      </c>
      <c r="AO198" s="59">
        <f t="shared" si="205"/>
        <v>272.6634844951584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3.131722157610596</v>
      </c>
      <c r="AV198" s="21">
        <f>EXP(-LN(2)/25)*AV197+(1-EXP(-LN(2)/25))/(LN(2)/25)*Calculateur!AQ198*Calculateur!AS198*VLOOKUP('Données projet'!$B$10,Paramètres!$A$1:$I$89,3,0)*0.475*44/12</f>
        <v>2.0393204339056683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5.1710425915162643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3.4106051316484809E-13</v>
      </c>
      <c r="BE198" s="13">
        <f>BD198*VLOOKUP('Données projet'!$B$11,Paramètres!$A$1:$I$89,3,0)*VLOOKUP('Données projet'!$B$11,Paramètres!$A$1:$I$89,5,0)</f>
        <v>1.5961632016114892E-13</v>
      </c>
      <c r="BF198" s="13">
        <f t="shared" si="167"/>
        <v>2.2708641912150958E-12</v>
      </c>
      <c r="BG198" s="20">
        <f t="shared" si="168"/>
        <v>4.2330868906469593E-12</v>
      </c>
      <c r="BH198" s="59">
        <f t="shared" si="194"/>
        <v>293.33333333333752</v>
      </c>
      <c r="BI198" s="59">
        <f ca="1">AVERAGE(OFFSET($BH$3,0,0,'Données projet'!$E$11+1,1))-AVERAGE(OFFSET($H$3,0,0,'Données projet'!$E$11+1,1))</f>
        <v>207.25176714718668</v>
      </c>
      <c r="BJ198" s="59">
        <f t="shared" si="206"/>
        <v>191.53228014642559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29.478739306416767</v>
      </c>
      <c r="BQ198" s="21">
        <f>EXP(-LN(2)/25)*BQ197+(1-EXP(-LN(2)/25))/(LN(2)/25)*Calculateur!BL198*Calculateur!BN198*VLOOKUP('Données projet'!$B$11,Paramètres!$A$1:$I$89,3,0)*0.475*44/12</f>
        <v>3.6221469046370181</v>
      </c>
      <c r="BR198" s="21">
        <f>EXP(-LN(2)/2)*BR197+(1-EXP(-LN(2)/2))/(LN(2)/2)*BL198*BO198*VLOOKUP('Données projet'!$B$11,Paramètres!$A$1:$I$89,3,0)*0.475*44/12</f>
        <v>6.3058227067792478E-13</v>
      </c>
      <c r="BS198" s="22">
        <f t="shared" si="169"/>
        <v>33.100886211054416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68.620424404221751</v>
      </c>
      <c r="CE198" s="59">
        <f t="shared" si="207"/>
        <v>203.12945099478918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1.4784980746687841</v>
      </c>
      <c r="CL198" s="21">
        <f>EXP(-LN(2)/25)*CL197+(1-EXP(-LN(2)/25))/(LN(2)/25)*Calculateur!CG198*Calculateur!CI198*VLOOKUP('Données projet'!$B$12,Paramètres!$A$1:$I$89,3,0)*0.475*44/12</f>
        <v>7.8893392735547824E-2</v>
      </c>
      <c r="CM198" s="21">
        <f>EXP(-LN(2)/2)*CM197+(1-EXP(-LN(2)/2))/(LN(2)/2)*CG198*CJ198*VLOOKUP('Données projet'!$B$12,Paramètres!$A$1:$I$89,3,0)*0.475*44/12</f>
        <v>6.5901495853403834E-26</v>
      </c>
      <c r="CN198" s="22">
        <f t="shared" si="172"/>
        <v>1.5573914674043319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-2.8421709430404007E-13</v>
      </c>
      <c r="CU198" s="17">
        <f>CT198*VLOOKUP('Données projet'!$B$13,Paramètres!$A$1:$I$89,3,0)*VLOOKUP('Données projet'!$B$13,Paramètres!$A$1:$I$89,5,0)</f>
        <v>-1.69961822393816E-13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196.25918971690442</v>
      </c>
      <c r="CZ198" s="59">
        <f t="shared" si="208"/>
        <v>148.35701313170205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19.197396377478089</v>
      </c>
      <c r="DG198" s="21">
        <f>EXP(-LN(2)/25)*DG197+(1-EXP(-LN(2)/25))/(LN(2)/25)*Calculateur!DB198*Calculateur!DD198*VLOOKUP('Données projet'!$B$13,Paramètres!$A$1:$I$89,3,0)*0.475*44/12</f>
        <v>2.783869499268278</v>
      </c>
      <c r="DH198" s="21">
        <f>EXP(-LN(2)/2)*DH197+(1-EXP(-LN(2)/2))/(LN(2)/2)*DB198*DE198*VLOOKUP('Données projet'!$B$13,Paramètres!$A$1:$I$89,3,0)*0.475*44/12</f>
        <v>2.579565406888721E-13</v>
      </c>
      <c r="DI198" s="22">
        <f t="shared" si="175"/>
        <v>21.981265876746626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11">
        <f t="shared" si="202"/>
        <v>24.981514582386662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67">
        <f t="shared" si="192"/>
        <v>496.60240456432416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180.31844548479722</v>
      </c>
      <c r="T199" s="59">
        <f t="shared" si="204"/>
        <v>273.83237400307223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5.6360656988642921</v>
      </c>
      <c r="AA199" s="21">
        <f>EXP(-LN(2)/25)*AA198+(1-EXP(-LN(2)/25))/(LN(2)/25)*Calculateur!V199*Calculateur!X199*VLOOKUP('Données projet'!$B$9,Paramètres!$A$1:$I$89,3,0)*0.475*44/12</f>
        <v>3.3312454217975711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8.9673111206618632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-5.6843418860808015E-14</v>
      </c>
      <c r="AJ199" s="13">
        <f>AI199*VLOOKUP('Données projet'!$B$10,Paramètres!$A$1:$I$89,3,0)*VLOOKUP('Données projet'!$B$10,Paramètres!$A$1:$I$89,5,0)</f>
        <v>-3.1036506698001178E-14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160.54301845388551</v>
      </c>
      <c r="AO199" s="59">
        <f t="shared" si="205"/>
        <v>272.6634844951584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3.0703109962617554</v>
      </c>
      <c r="AV199" s="21">
        <f>EXP(-LN(2)/25)*AV198+(1-EXP(-LN(2)/25))/(LN(2)/25)*Calculateur!AQ199*Calculateur!AS199*VLOOKUP('Données projet'!$B$10,Paramètres!$A$1:$I$89,3,0)*0.475*44/12</f>
        <v>1.9835551093973172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5.0538661056590728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3.4106051316484809E-13</v>
      </c>
      <c r="BE199" s="13">
        <f>BD199*VLOOKUP('Données projet'!$B$11,Paramètres!$A$1:$I$89,3,0)*VLOOKUP('Données projet'!$B$11,Paramètres!$A$1:$I$89,5,0)</f>
        <v>1.5961632016114892E-13</v>
      </c>
      <c r="BF199" s="13">
        <f t="shared" si="167"/>
        <v>2.2708641912150958E-12</v>
      </c>
      <c r="BG199" s="20">
        <f t="shared" si="168"/>
        <v>4.2330868906469593E-12</v>
      </c>
      <c r="BH199" s="59">
        <f t="shared" si="194"/>
        <v>293.33333333333752</v>
      </c>
      <c r="BI199" s="59">
        <f ca="1">AVERAGE(OFFSET($BH$3,0,0,'Données projet'!$E$11+1,1))-AVERAGE(OFFSET($H$3,0,0,'Données projet'!$E$11+1,1))</f>
        <v>207.25176714718668</v>
      </c>
      <c r="BJ199" s="59">
        <f t="shared" si="206"/>
        <v>191.53228014642559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28.900679208873509</v>
      </c>
      <c r="BQ199" s="21">
        <f>EXP(-LN(2)/25)*BQ198+(1-EXP(-LN(2)/25))/(LN(2)/25)*Calculateur!BL199*Calculateur!BN199*VLOOKUP('Données projet'!$B$11,Paramètres!$A$1:$I$89,3,0)*0.475*44/12</f>
        <v>3.5230991070492914</v>
      </c>
      <c r="BR199" s="21">
        <f>EXP(-LN(2)/2)*BR198+(1-EXP(-LN(2)/2))/(LN(2)/2)*BL199*BO199*VLOOKUP('Données projet'!$B$11,Paramètres!$A$1:$I$89,3,0)*0.475*44/12</f>
        <v>4.4588899969237167E-13</v>
      </c>
      <c r="BS199" s="22">
        <f t="shared" si="169"/>
        <v>32.423778315923251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68.620424404221751</v>
      </c>
      <c r="CE199" s="59">
        <f t="shared" si="207"/>
        <v>203.12945099478918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1.44950562921931</v>
      </c>
      <c r="CL199" s="21">
        <f>EXP(-LN(2)/25)*CL198+(1-EXP(-LN(2)/25))/(LN(2)/25)*Calculateur!CG199*Calculateur!CI199*VLOOKUP('Données projet'!$B$12,Paramètres!$A$1:$I$89,3,0)*0.475*44/12</f>
        <v>7.6736048762371056E-2</v>
      </c>
      <c r="CM199" s="21">
        <f>EXP(-LN(2)/2)*CM198+(1-EXP(-LN(2)/2))/(LN(2)/2)*CG199*CJ199*VLOOKUP('Données projet'!$B$12,Paramètres!$A$1:$I$89,3,0)*0.475*44/12</f>
        <v>4.6599394608278994E-26</v>
      </c>
      <c r="CN199" s="22">
        <f t="shared" si="172"/>
        <v>1.5262416779816812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-2.8421709430404007E-13</v>
      </c>
      <c r="CU199" s="17">
        <f>CT199*VLOOKUP('Données projet'!$B$13,Paramètres!$A$1:$I$89,3,0)*VLOOKUP('Données projet'!$B$13,Paramètres!$A$1:$I$89,5,0)</f>
        <v>-1.69961822393816E-13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196.25918971690442</v>
      </c>
      <c r="CZ199" s="59">
        <f t="shared" si="208"/>
        <v>148.35701313170205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18.820947143771342</v>
      </c>
      <c r="DG199" s="21">
        <f>EXP(-LN(2)/25)*DG198+(1-EXP(-LN(2)/25))/(LN(2)/25)*Calculateur!DB199*Calculateur!DD199*VLOOKUP('Données projet'!$B$13,Paramètres!$A$1:$I$89,3,0)*0.475*44/12</f>
        <v>2.7077444414134524</v>
      </c>
      <c r="DH199" s="21">
        <f>EXP(-LN(2)/2)*DH198+(1-EXP(-LN(2)/2))/(LN(2)/2)*DB199*DE199*VLOOKUP('Données projet'!$B$13,Paramètres!$A$1:$I$89,3,0)*0.475*44/12</f>
        <v>1.8240281917252503E-13</v>
      </c>
      <c r="DI199" s="22">
        <f t="shared" si="175"/>
        <v>21.528691585184976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11">
        <f t="shared" si="202"/>
        <v>25.094101950594609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67">
        <f t="shared" si="192"/>
        <v>497.6135942306197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180.31844548479722</v>
      </c>
      <c r="T200" s="59">
        <f t="shared" si="204"/>
        <v>273.83237400307223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5.5255458881701989</v>
      </c>
      <c r="AA200" s="21">
        <f>EXP(-LN(2)/25)*AA199+(1-EXP(-LN(2)/25))/(LN(2)/25)*Calculateur!V200*Calculateur!X200*VLOOKUP('Données projet'!$B$9,Paramètres!$A$1:$I$89,3,0)*0.475*44/12</f>
        <v>3.2401523405559334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8.7656982287261318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-5.6843418860808015E-14</v>
      </c>
      <c r="AJ200" s="13">
        <f>AI200*VLOOKUP('Données projet'!$B$10,Paramètres!$A$1:$I$89,3,0)*VLOOKUP('Données projet'!$B$10,Paramètres!$A$1:$I$89,5,0)</f>
        <v>-3.1036506698001178E-14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160.54301845388551</v>
      </c>
      <c r="AO200" s="59">
        <f t="shared" si="205"/>
        <v>272.6634844951584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3.0101040703298558</v>
      </c>
      <c r="AV200" s="21">
        <f>EXP(-LN(2)/25)*AV199+(1-EXP(-LN(2)/25))/(LN(2)/25)*Calculateur!AQ200*Calculateur!AS200*VLOOKUP('Données projet'!$B$10,Paramètres!$A$1:$I$89,3,0)*0.475*44/12</f>
        <v>1.9293146906202179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4.9394187609500735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3.4106051316484809E-13</v>
      </c>
      <c r="BE200" s="13">
        <f>BD200*VLOOKUP('Données projet'!$B$11,Paramètres!$A$1:$I$89,3,0)*VLOOKUP('Données projet'!$B$11,Paramètres!$A$1:$I$89,5,0)</f>
        <v>1.5961632016114892E-13</v>
      </c>
      <c r="BF200" s="13">
        <f t="shared" si="167"/>
        <v>2.2708641912150958E-12</v>
      </c>
      <c r="BG200" s="20">
        <f t="shared" si="168"/>
        <v>4.2330868906469593E-12</v>
      </c>
      <c r="BH200" s="59">
        <f t="shared" si="194"/>
        <v>293.33333333333752</v>
      </c>
      <c r="BI200" s="59">
        <f ca="1">AVERAGE(OFFSET($BH$3,0,0,'Données projet'!$E$11+1,1))-AVERAGE(OFFSET($H$3,0,0,'Données projet'!$E$11+1,1))</f>
        <v>207.25176714718668</v>
      </c>
      <c r="BJ200" s="59">
        <f t="shared" si="206"/>
        <v>191.53228014642559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28.33395451726123</v>
      </c>
      <c r="BQ200" s="21">
        <f>EXP(-LN(2)/25)*BQ199+(1-EXP(-LN(2)/25))/(LN(2)/25)*Calculateur!BL200*Calculateur!BN200*VLOOKUP('Données projet'!$B$11,Paramètres!$A$1:$I$89,3,0)*0.475*44/12</f>
        <v>3.4267597766952989</v>
      </c>
      <c r="BR200" s="21">
        <f>EXP(-LN(2)/2)*BR199+(1-EXP(-LN(2)/2))/(LN(2)/2)*BL200*BO200*VLOOKUP('Données projet'!$B$11,Paramètres!$A$1:$I$89,3,0)*0.475*44/12</f>
        <v>3.1529113533896244E-13</v>
      </c>
      <c r="BS200" s="22">
        <f t="shared" si="169"/>
        <v>31.760714293956845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68.620424404221751</v>
      </c>
      <c r="CE200" s="59">
        <f t="shared" si="207"/>
        <v>203.12945099478918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1.4210817079414544</v>
      </c>
      <c r="CL200" s="21">
        <f>EXP(-LN(2)/25)*CL199+(1-EXP(-LN(2)/25))/(LN(2)/25)*Calculateur!CG200*Calculateur!CI200*VLOOKUP('Données projet'!$B$12,Paramètres!$A$1:$I$89,3,0)*0.475*44/12</f>
        <v>7.46376974735906E-2</v>
      </c>
      <c r="CM200" s="21">
        <f>EXP(-LN(2)/2)*CM199+(1-EXP(-LN(2)/2))/(LN(2)/2)*CG200*CJ200*VLOOKUP('Données projet'!$B$12,Paramètres!$A$1:$I$89,3,0)*0.475*44/12</f>
        <v>3.2950747926701917E-26</v>
      </c>
      <c r="CN200" s="22">
        <f t="shared" si="172"/>
        <v>1.4957194054150449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-2.8421709430404007E-13</v>
      </c>
      <c r="CU200" s="17">
        <f>CT200*VLOOKUP('Données projet'!$B$13,Paramètres!$A$1:$I$89,3,0)*VLOOKUP('Données projet'!$B$13,Paramètres!$A$1:$I$89,5,0)</f>
        <v>-1.69961822393816E-13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196.25918971690442</v>
      </c>
      <c r="CZ200" s="59">
        <f t="shared" si="208"/>
        <v>148.35701313170205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18.451879849926222</v>
      </c>
      <c r="DG200" s="21">
        <f>EXP(-LN(2)/25)*DG199+(1-EXP(-LN(2)/25))/(LN(2)/25)*Calculateur!DB200*Calculateur!DD200*VLOOKUP('Données projet'!$B$13,Paramètres!$A$1:$I$89,3,0)*0.475*44/12</f>
        <v>2.6337010272689101</v>
      </c>
      <c r="DH200" s="21">
        <f>EXP(-LN(2)/2)*DH199+(1-EXP(-LN(2)/2))/(LN(2)/2)*DB200*DE200*VLOOKUP('Données projet'!$B$13,Paramètres!$A$1:$I$89,3,0)*0.475*44/12</f>
        <v>1.2897827034443605E-13</v>
      </c>
      <c r="DI200" s="22">
        <f t="shared" si="175"/>
        <v>21.085580877195259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11">
        <f t="shared" si="202"/>
        <v>25.206622814445883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67">
        <f t="shared" si="192"/>
        <v>498.62466806849403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180.31844548479722</v>
      </c>
      <c r="T201" s="59">
        <f t="shared" si="204"/>
        <v>273.83237400307223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5.4171933035533888</v>
      </c>
      <c r="AA201" s="21">
        <f>EXP(-LN(2)/25)*AA200+(1-EXP(-LN(2)/25))/(LN(2)/25)*Calculateur!V201*Calculateur!X201*VLOOKUP('Données projet'!$B$9,Paramètres!$A$1:$I$89,3,0)*0.475*44/12</f>
        <v>3.1515502044112251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8.5687435079646139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-5.6843418860808015E-14</v>
      </c>
      <c r="AJ201" s="13">
        <f>AI201*VLOOKUP('Données projet'!$B$10,Paramètres!$A$1:$I$89,3,0)*VLOOKUP('Données projet'!$B$10,Paramètres!$A$1:$I$89,5,0)</f>
        <v>-3.1036506698001178E-14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160.54301845388551</v>
      </c>
      <c r="AO201" s="59">
        <f t="shared" si="205"/>
        <v>272.6634844951584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2.9510777654928821</v>
      </c>
      <c r="AV201" s="21">
        <f>EXP(-LN(2)/25)*AV200+(1-EXP(-LN(2)/25))/(LN(2)/25)*Calculateur!AQ201*Calculateur!AS201*VLOOKUP('Données projet'!$B$10,Paramètres!$A$1:$I$89,3,0)*0.475*44/12</f>
        <v>1.8765574789469579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4.8276352444398398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3.4106051316484809E-13</v>
      </c>
      <c r="BE201" s="13">
        <f>BD201*VLOOKUP('Données projet'!$B$11,Paramètres!$A$1:$I$89,3,0)*VLOOKUP('Données projet'!$B$11,Paramètres!$A$1:$I$89,5,0)</f>
        <v>1.5961632016114892E-13</v>
      </c>
      <c r="BF201" s="13">
        <f t="shared" si="167"/>
        <v>2.2708641912150958E-12</v>
      </c>
      <c r="BG201" s="20">
        <f t="shared" si="168"/>
        <v>4.2330868906469593E-12</v>
      </c>
      <c r="BH201" s="59">
        <f t="shared" si="194"/>
        <v>293.33333333333752</v>
      </c>
      <c r="BI201" s="59">
        <f ca="1">AVERAGE(OFFSET($BH$3,0,0,'Données projet'!$E$11+1,1))-AVERAGE(OFFSET($H$3,0,0,'Données projet'!$E$11+1,1))</f>
        <v>207.25176714718668</v>
      </c>
      <c r="BJ201" s="59">
        <f t="shared" si="206"/>
        <v>191.53228014642559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27.778342951183536</v>
      </c>
      <c r="BQ201" s="21">
        <f>EXP(-LN(2)/25)*BQ200+(1-EXP(-LN(2)/25))/(LN(2)/25)*Calculateur!BL201*Calculateur!BN201*VLOOKUP('Données projet'!$B$11,Paramètres!$A$1:$I$89,3,0)*0.475*44/12</f>
        <v>3.3330548503961013</v>
      </c>
      <c r="BR201" s="21">
        <f>EXP(-LN(2)/2)*BR200+(1-EXP(-LN(2)/2))/(LN(2)/2)*BL201*BO201*VLOOKUP('Données projet'!$B$11,Paramètres!$A$1:$I$89,3,0)*0.475*44/12</f>
        <v>2.2294449984618586E-13</v>
      </c>
      <c r="BS201" s="22">
        <f t="shared" si="169"/>
        <v>31.111397801579862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68.620424404221751</v>
      </c>
      <c r="CE201" s="59">
        <f t="shared" si="207"/>
        <v>203.12945099478918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1.3932151624229774</v>
      </c>
      <c r="CL201" s="21">
        <f>EXP(-LN(2)/25)*CL200+(1-EXP(-LN(2)/25))/(LN(2)/25)*Calculateur!CG201*Calculateur!CI201*VLOOKUP('Données projet'!$B$12,Paramètres!$A$1:$I$89,3,0)*0.475*44/12</f>
        <v>7.2596725711149349E-2</v>
      </c>
      <c r="CM201" s="21">
        <f>EXP(-LN(2)/2)*CM200+(1-EXP(-LN(2)/2))/(LN(2)/2)*CG201*CJ201*VLOOKUP('Données projet'!$B$12,Paramètres!$A$1:$I$89,3,0)*0.475*44/12</f>
        <v>2.3299697304139497E-26</v>
      </c>
      <c r="CN201" s="22">
        <f t="shared" si="172"/>
        <v>1.4658118881341267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-2.8421709430404007E-13</v>
      </c>
      <c r="CU201" s="17">
        <f>CT201*VLOOKUP('Données projet'!$B$13,Paramètres!$A$1:$I$89,3,0)*VLOOKUP('Données projet'!$B$13,Paramètres!$A$1:$I$89,5,0)</f>
        <v>-1.69961822393816E-13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196.25918971690442</v>
      </c>
      <c r="CZ201" s="59">
        <f t="shared" si="208"/>
        <v>148.35701313170205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18.090049740604584</v>
      </c>
      <c r="DG201" s="21">
        <f>EXP(-LN(2)/25)*DG200+(1-EXP(-LN(2)/25))/(LN(2)/25)*Calculateur!DB201*Calculateur!DD201*VLOOKUP('Données projet'!$B$13,Paramètres!$A$1:$I$89,3,0)*0.475*44/12</f>
        <v>2.5616823341779242</v>
      </c>
      <c r="DH201" s="21">
        <f>EXP(-LN(2)/2)*DH200+(1-EXP(-LN(2)/2))/(LN(2)/2)*DB201*DE201*VLOOKUP('Données projet'!$B$13,Paramètres!$A$1:$I$89,3,0)*0.475*44/12</f>
        <v>9.1201409586262515E-14</v>
      </c>
      <c r="DI201" s="22">
        <f t="shared" si="175"/>
        <v>20.651732074782601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11">
        <f t="shared" si="202"/>
        <v>25.319077548810565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67">
        <f t="shared" si="192"/>
        <v>499.63562673084584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180.31844548479722</v>
      </c>
      <c r="T202" s="59">
        <f t="shared" si="204"/>
        <v>273.83237400307223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5.3109654470323635</v>
      </c>
      <c r="AA202" s="21">
        <f>EXP(-LN(2)/25)*AA201+(1-EXP(-LN(2)/25))/(LN(2)/25)*Calculateur!V202*Calculateur!X202*VLOOKUP('Données projet'!$B$9,Paramètres!$A$1:$I$89,3,0)*0.475*44/12</f>
        <v>3.0653708983387777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8.3763363453711417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-5.6843418860808015E-14</v>
      </c>
      <c r="AJ202" s="13">
        <f>AI202*VLOOKUP('Données projet'!$B$10,Paramètres!$A$1:$I$89,3,0)*VLOOKUP('Données projet'!$B$10,Paramètres!$A$1:$I$89,5,0)</f>
        <v>-3.1036506698001178E-14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160.54301845388551</v>
      </c>
      <c r="AO202" s="59">
        <f t="shared" si="205"/>
        <v>272.6634844951584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2.8932089304912703</v>
      </c>
      <c r="AV202" s="21">
        <f>EXP(-LN(2)/25)*AV201+(1-EXP(-LN(2)/25))/(LN(2)/25)*Calculateur!AQ202*Calculateur!AS202*VLOOKUP('Données projet'!$B$10,Paramètres!$A$1:$I$89,3,0)*0.475*44/12</f>
        <v>1.8252429160012844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4.7184518464925542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3.4106051316484809E-13</v>
      </c>
      <c r="BE202" s="13">
        <f>BD202*VLOOKUP('Données projet'!$B$11,Paramètres!$A$1:$I$89,3,0)*VLOOKUP('Données projet'!$B$11,Paramètres!$A$1:$I$89,5,0)</f>
        <v>1.5961632016114892E-13</v>
      </c>
      <c r="BF202" s="13">
        <f t="shared" si="167"/>
        <v>2.2708641912150958E-12</v>
      </c>
      <c r="BG202" s="20">
        <f t="shared" si="168"/>
        <v>4.2330868906469593E-12</v>
      </c>
      <c r="BH202" s="59">
        <f t="shared" si="194"/>
        <v>293.33333333333752</v>
      </c>
      <c r="BI202" s="59">
        <f ca="1">AVERAGE(OFFSET($BH$3,0,0,'Données projet'!$E$11+1,1))-AVERAGE(OFFSET($H$3,0,0,'Données projet'!$E$11+1,1))</f>
        <v>207.25176714718668</v>
      </c>
      <c r="BJ202" s="59">
        <f t="shared" si="206"/>
        <v>191.53228014642559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27.233626589027033</v>
      </c>
      <c r="BQ202" s="21">
        <f>EXP(-LN(2)/25)*BQ201+(1-EXP(-LN(2)/25))/(LN(2)/25)*Calculateur!BL202*Calculateur!BN202*VLOOKUP('Données projet'!$B$11,Paramètres!$A$1:$I$89,3,0)*0.475*44/12</f>
        <v>3.241912290234283</v>
      </c>
      <c r="BR202" s="21">
        <f>EXP(-LN(2)/2)*BR201+(1-EXP(-LN(2)/2))/(LN(2)/2)*BL202*BO202*VLOOKUP('Données projet'!$B$11,Paramètres!$A$1:$I$89,3,0)*0.475*44/12</f>
        <v>1.5764556766948125E-13</v>
      </c>
      <c r="BS202" s="22">
        <f t="shared" si="169"/>
        <v>30.475538879261471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68.620424404221751</v>
      </c>
      <c r="CE202" s="59">
        <f t="shared" si="207"/>
        <v>203.12945099478918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1.3658950628652033</v>
      </c>
      <c r="CL202" s="21">
        <f>EXP(-LN(2)/25)*CL201+(1-EXP(-LN(2)/25))/(LN(2)/25)*Calculateur!CG202*Calculateur!CI202*VLOOKUP('Données projet'!$B$12,Paramètres!$A$1:$I$89,3,0)*0.475*44/12</f>
        <v>7.0611564428882084E-2</v>
      </c>
      <c r="CM202" s="21">
        <f>EXP(-LN(2)/2)*CM201+(1-EXP(-LN(2)/2))/(LN(2)/2)*CG202*CJ202*VLOOKUP('Données projet'!$B$12,Paramètres!$A$1:$I$89,3,0)*0.475*44/12</f>
        <v>1.6475373963350958E-26</v>
      </c>
      <c r="CN202" s="22">
        <f t="shared" si="172"/>
        <v>1.4365066272940854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-2.8421709430404007E-13</v>
      </c>
      <c r="CU202" s="17">
        <f>CT202*VLOOKUP('Données projet'!$B$13,Paramètres!$A$1:$I$89,3,0)*VLOOKUP('Données projet'!$B$13,Paramètres!$A$1:$I$89,5,0)</f>
        <v>-1.69961822393816E-13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196.25918971690442</v>
      </c>
      <c r="CZ202" s="59">
        <f t="shared" si="208"/>
        <v>148.35701313170205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17.735314899032169</v>
      </c>
      <c r="DG202" s="21">
        <f>EXP(-LN(2)/25)*DG201+(1-EXP(-LN(2)/25))/(LN(2)/25)*Calculateur!DB202*Calculateur!DD202*VLOOKUP('Données projet'!$B$13,Paramètres!$A$1:$I$89,3,0)*0.475*44/12</f>
        <v>2.4916329960368095</v>
      </c>
      <c r="DH202" s="21">
        <f>EXP(-LN(2)/2)*DH201+(1-EXP(-LN(2)/2))/(LN(2)/2)*DB202*DE202*VLOOKUP('Données projet'!$B$13,Paramètres!$A$1:$I$89,3,0)*0.475*44/12</f>
        <v>6.4489135172218025E-14</v>
      </c>
      <c r="DI202" s="22">
        <f t="shared" si="175"/>
        <v>20.226947895069042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11">
        <f t="shared" si="202"/>
        <v>25.43146652457305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67">
        <f t="shared" si="192"/>
        <v>500.6464708636322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180.31844548479722</v>
      </c>
      <c r="T203" s="59">
        <f t="shared" si="204"/>
        <v>273.83237400307223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5.2068206539851207</v>
      </c>
      <c r="AA203" s="21">
        <f>EXP(-LN(2)/25)*AA202+(1-EXP(-LN(2)/25))/(LN(2)/25)*Calculateur!V203*Calculateur!X203*VLOOKUP('Données projet'!$B$9,Paramètres!$A$1:$I$89,3,0)*0.475*44/12</f>
        <v>2.9815481699228541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8.1883688239079753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-5.6843418860808015E-14</v>
      </c>
      <c r="AJ203" s="13">
        <f>AI203*VLOOKUP('Données projet'!$B$10,Paramètres!$A$1:$I$89,3,0)*VLOOKUP('Données projet'!$B$10,Paramètres!$A$1:$I$89,5,0)</f>
        <v>-3.1036506698001178E-14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160.54301845388551</v>
      </c>
      <c r="AO203" s="59">
        <f t="shared" si="205"/>
        <v>272.6634844951584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2.836474868047536</v>
      </c>
      <c r="AV203" s="21">
        <f>EXP(-LN(2)/25)*AV202+(1-EXP(-LN(2)/25))/(LN(2)/25)*Calculateur!AQ203*Calculateur!AS203*VLOOKUP('Données projet'!$B$10,Paramètres!$A$1:$I$89,3,0)*0.475*44/12</f>
        <v>1.7753315524778759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4.6118064205254115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3.4106051316484809E-13</v>
      </c>
      <c r="BE203" s="13">
        <f>BD203*VLOOKUP('Données projet'!$B$11,Paramètres!$A$1:$I$89,3,0)*VLOOKUP('Données projet'!$B$11,Paramètres!$A$1:$I$89,5,0)</f>
        <v>1.5961632016114892E-13</v>
      </c>
      <c r="BF203" s="13">
        <f t="shared" si="167"/>
        <v>2.2708641912150958E-12</v>
      </c>
      <c r="BG203" s="20">
        <f t="shared" si="168"/>
        <v>4.2330868906469593E-12</v>
      </c>
      <c r="BH203" s="59">
        <f t="shared" si="194"/>
        <v>293.33333333333752</v>
      </c>
      <c r="BI203" s="59">
        <f ca="1">AVERAGE(OFFSET($BH$3,0,0,'Données projet'!$E$11+1,1))-AVERAGE(OFFSET($H$3,0,0,'Données projet'!$E$11+1,1))</f>
        <v>207.25176714718668</v>
      </c>
      <c r="BJ203" s="59">
        <f t="shared" si="206"/>
        <v>191.53228014642559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26.699591782488245</v>
      </c>
      <c r="BQ203" s="21">
        <f>EXP(-LN(2)/25)*BQ202+(1-EXP(-LN(2)/25))/(LN(2)/25)*Calculateur!BL203*Calculateur!BN203*VLOOKUP('Données projet'!$B$11,Paramètres!$A$1:$I$89,3,0)*0.475*44/12</f>
        <v>3.1532620281730686</v>
      </c>
      <c r="BR203" s="21">
        <f>EXP(-LN(2)/2)*BR202+(1-EXP(-LN(2)/2))/(LN(2)/2)*BL203*BO203*VLOOKUP('Données projet'!$B$11,Paramètres!$A$1:$I$89,3,0)*0.475*44/12</f>
        <v>1.1147224992309296E-13</v>
      </c>
      <c r="BS203" s="22">
        <f t="shared" si="169"/>
        <v>29.852853810661422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68.620424404221751</v>
      </c>
      <c r="CE203" s="59">
        <f t="shared" si="207"/>
        <v>203.12945099478918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1.3391106937961419</v>
      </c>
      <c r="CL203" s="21">
        <f>EXP(-LN(2)/25)*CL202+(1-EXP(-LN(2)/25))/(LN(2)/25)*Calculateur!CG203*Calculateur!CI203*VLOOKUP('Données projet'!$B$12,Paramètres!$A$1:$I$89,3,0)*0.475*44/12</f>
        <v>6.8680687486273512E-2</v>
      </c>
      <c r="CM203" s="21">
        <f>EXP(-LN(2)/2)*CM202+(1-EXP(-LN(2)/2))/(LN(2)/2)*CG203*CJ203*VLOOKUP('Données projet'!$B$12,Paramètres!$A$1:$I$89,3,0)*0.475*44/12</f>
        <v>1.1649848652069749E-26</v>
      </c>
      <c r="CN203" s="22">
        <f t="shared" si="172"/>
        <v>1.4077913812824154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-2.8421709430404007E-13</v>
      </c>
      <c r="CU203" s="17">
        <f>CT203*VLOOKUP('Données projet'!$B$13,Paramètres!$A$1:$I$89,3,0)*VLOOKUP('Données projet'!$B$13,Paramètres!$A$1:$I$89,5,0)</f>
        <v>-1.69961822393816E-13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196.25918971690442</v>
      </c>
      <c r="CZ203" s="59">
        <f t="shared" si="208"/>
        <v>148.35701313170205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17.3875361913361</v>
      </c>
      <c r="DG203" s="21">
        <f>EXP(-LN(2)/25)*DG202+(1-EXP(-LN(2)/25))/(LN(2)/25)*Calculateur!DB203*Calculateur!DD203*VLOOKUP('Données projet'!$B$13,Paramètres!$A$1:$I$89,3,0)*0.475*44/12</f>
        <v>2.4234991607308984</v>
      </c>
      <c r="DH203" s="21">
        <f>EXP(-LN(2)/2)*DH202+(1-EXP(-LN(2)/2))/(LN(2)/2)*DB203*DE203*VLOOKUP('Données projet'!$B$13,Paramètres!$A$1:$I$89,3,0)*0.475*44/12</f>
        <v>4.5600704793131257E-14</v>
      </c>
      <c r="DI203" s="22">
        <f t="shared" si="175"/>
        <v>19.811035352067044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1.2997069632623315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1.4860662319460807</v>
      </c>
      <c r="BA205" s="82">
        <f>EXP(LN('Données projet'!B88)/'Données projet'!A88)</f>
        <v>1.1963772029987372</v>
      </c>
      <c r="BV205" s="82">
        <f>EXP(LN('Données projet'!B114)/'Données projet'!A114)</f>
        <v>1.3094437062921891</v>
      </c>
      <c r="CQ205" s="82">
        <f>EXP(LN('Données projet'!B140)/'Données projet'!A140)</f>
        <v>1.1779991009866786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90" zoomScaleNormal="90" workbookViewId="0">
      <selection activeCell="N11" sqref="N11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Mélèze d'Europe</v>
      </c>
      <c r="B6" s="146">
        <f>'Données projet'!D9</f>
        <v>7.3604400000000005</v>
      </c>
      <c r="C6" s="147">
        <f ca="1">IF(OR('Données projet'!B9="",'Données projet'!C9="",'Données projet'!C9=0%),0,Calculateur!S3)</f>
        <v>180.31844548479722</v>
      </c>
      <c r="D6" s="147">
        <f>IF(OR('Données projet'!B9="",'Données projet'!C9="",'Données projet'!C9=0%),0,Calculateur!T3)</f>
        <v>273.83237400307223</v>
      </c>
      <c r="E6" s="147">
        <f ca="1">MIN(C6,D6)</f>
        <v>180.31844548479722</v>
      </c>
      <c r="F6" s="147">
        <f ca="1">E6*B6</f>
        <v>1327.2230988841209</v>
      </c>
      <c r="G6" s="147">
        <f ca="1">F6*(100%-'Données projet'!$C$24)*(100%-'Données projet'!$C$25)*(100%-'Données projet'!$C$26)*(100%-'Données projet'!$C$27)</f>
        <v>1194.5007889957087</v>
      </c>
      <c r="H6" s="148">
        <f>IF(OR('Données projet'!B9="",'Données projet'!C9="",'Données projet'!C9=0%),0,AVERAGE(Calculateur!$AC$3:$AC$33)*B6)</f>
        <v>62.394178825112085</v>
      </c>
      <c r="I6" s="149">
        <f>H6*(100%-'Données projet'!$C$24)*(100%-'Données projet'!$C$25)*(100%-'Données projet'!$C$26)*(100%-'Données projet'!$C$27)</f>
        <v>56.15476094260088</v>
      </c>
      <c r="J6" s="150">
        <f>IF(OR('Données projet'!B9="",'Données projet'!C9="",'Données projet'!C9=0%),0,SUM(Calculateur!$V$3:$V$33)*VLOOKUP('Données projet'!$B$9,Paramètres!$A$1:$I$89,9,0)*B6)</f>
        <v>405.11861760000005</v>
      </c>
      <c r="K6" s="151">
        <f>J6*(100%-'Données projet'!$C$24)*(100%-'Données projet'!$C$25)*(100%-'Données projet'!$C$26)*(100%-'Données projet'!$C$27)</f>
        <v>364.60675584000006</v>
      </c>
      <c r="L6" s="152">
        <f ca="1">G6+I6+K6</f>
        <v>1615.2623057783096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Mélèze hybride</v>
      </c>
      <c r="B7" s="154">
        <f>'Données projet'!D10</f>
        <v>7.3604400000000005</v>
      </c>
      <c r="C7" s="147">
        <f ca="1">IF(OR('Données projet'!B10="",'Données projet'!C10="",'Données projet'!C10=0%),0,Calculateur!AN3)</f>
        <v>160.54301845388551</v>
      </c>
      <c r="D7" s="147">
        <f>IF(OR('Données projet'!B10="",'Données projet'!C10="",'Données projet'!C10=0%),0,Calculateur!AO3)</f>
        <v>272.6634844951584</v>
      </c>
      <c r="E7" s="147">
        <f t="shared" ref="E7:E15" ca="1" si="0">MIN(C7,D7)</f>
        <v>160.54301845388551</v>
      </c>
      <c r="F7" s="147">
        <f t="shared" ref="F7:F15" ca="1" si="1">E7*B7</f>
        <v>1181.6672547487171</v>
      </c>
      <c r="G7" s="147">
        <f ca="1">F7*(100%-'Données projet'!$C$24)*(100%-'Données projet'!$C$25)*(100%-'Données projet'!$C$26)*(100%-'Données projet'!$C$27)</f>
        <v>1063.5005292738454</v>
      </c>
      <c r="H7" s="155">
        <f>IF(OR('Données projet'!B10="",'Données projet'!C10="",'Données projet'!C10=0%),0,AVERAGE(Calculateur!$AX$3:$AX$33)*B7)</f>
        <v>180.36270038836517</v>
      </c>
      <c r="I7" s="149">
        <f>H7*(100%-'Données projet'!$C$24)*(100%-'Données projet'!$C$25)*(100%-'Données projet'!$C$26)*(100%-'Données projet'!$C$27)</f>
        <v>162.32643034952866</v>
      </c>
      <c r="J7" s="150">
        <f>IF(OR('Données projet'!B10="",'Données projet'!C10="",'Données projet'!C10=0%),0,SUM(Calculateur!$AQ$3:$AQ$33)*VLOOKUP('Données projet'!$B$10,Paramètres!$A$1:$I$89,9,0)*B7)</f>
        <v>914.68187880000005</v>
      </c>
      <c r="K7" s="151">
        <f>J7*(100%-'Données projet'!$C$24)*(100%-'Données projet'!$C$25)*(100%-'Données projet'!$C$26)*(100%-'Données projet'!$C$27)</f>
        <v>823.21369092000009</v>
      </c>
      <c r="L7" s="152">
        <f t="shared" ref="L7:L15" ca="1" si="2">G7+I7+K7</f>
        <v>2049.0406505433739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Cèdre de l'Atlas</v>
      </c>
      <c r="B8" s="154">
        <f>'Données projet'!D11</f>
        <v>2.5052100000000004</v>
      </c>
      <c r="C8" s="147">
        <f ca="1">IF(OR('Données projet'!B11="",'Données projet'!C11="",'Données projet'!C11=0%),0,Calculateur!BI3)</f>
        <v>207.25176714718668</v>
      </c>
      <c r="D8" s="147">
        <f>IF(OR('Données projet'!B11="",'Données projet'!C11="",'Données projet'!C11=0%),0,Calculateur!BJ3)</f>
        <v>191.53228014642559</v>
      </c>
      <c r="E8" s="147">
        <f t="shared" ca="1" si="0"/>
        <v>191.53228014642559</v>
      </c>
      <c r="F8" s="147">
        <f t="shared" ca="1" si="1"/>
        <v>479.82858354562694</v>
      </c>
      <c r="G8" s="147">
        <f ca="1">F8*(100%-'Données projet'!$C$24)*(100%-'Données projet'!$C$25)*(100%-'Données projet'!$C$26)*(100%-'Données projet'!$C$27)</f>
        <v>431.84572519106428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431.84572519106428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Peuplier Koster</v>
      </c>
      <c r="B9" s="154">
        <f>'Données projet'!D12</f>
        <v>2.9486100000000004</v>
      </c>
      <c r="C9" s="147">
        <f ca="1">IF(OR('Données projet'!B12="",'Données projet'!C12="",'Données projet'!C12=0%),0,Calculateur!CD3)</f>
        <v>68.620424404221751</v>
      </c>
      <c r="D9" s="147">
        <f>IF(OR('Données projet'!B12="",'Données projet'!C12="",'Données projet'!C12=0%),0,Calculateur!CE3)</f>
        <v>203.12945099478918</v>
      </c>
      <c r="E9" s="147">
        <f t="shared" ca="1" si="0"/>
        <v>68.620424404221751</v>
      </c>
      <c r="F9" s="147">
        <f t="shared" ca="1" si="1"/>
        <v>202.33486960253234</v>
      </c>
      <c r="G9" s="147">
        <f ca="1">F9*(100%-'Données projet'!$C$24)*(100%-'Données projet'!$C$25)*(100%-'Données projet'!$C$26)*(100%-'Données projet'!$C$27)</f>
        <v>182.10138264227911</v>
      </c>
      <c r="H9" s="155">
        <f>IF(OR('Données projet'!B12="",'Données projet'!C12="",'Données projet'!C12=0%),0,AVERAGE(Calculateur!$CN$3:$CN$33)*B9)</f>
        <v>58.73607334697985</v>
      </c>
      <c r="I9" s="149">
        <f>H9*(100%-'Données projet'!$C$24)*(100%-'Données projet'!$C$25)*(100%-'Données projet'!$C$26)*(100%-'Données projet'!$C$27)</f>
        <v>52.862466012281864</v>
      </c>
      <c r="J9" s="150">
        <f>IF(OR('Données projet'!B12="",'Données projet'!C12="",'Données projet'!C12=0%),0,SUM(Calculateur!$CG$3:$CG$33)*VLOOKUP('Données projet'!$B$12,Paramètres!$A$1:$I$89,9,0)*B9)</f>
        <v>608.53659653553848</v>
      </c>
      <c r="K9" s="151">
        <f>J9*(100%-'Données projet'!$C$24)*(100%-'Données projet'!$C$25)*(100%-'Données projet'!$C$26)*(100%-'Données projet'!$C$27)</f>
        <v>547.68293688198469</v>
      </c>
      <c r="L9" s="152">
        <f t="shared" ca="1" si="2"/>
        <v>782.64678553654562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Pin noir d'Autriche</v>
      </c>
      <c r="B10" s="154">
        <f>'Données projet'!D13</f>
        <v>1.9953000000000001</v>
      </c>
      <c r="C10" s="147">
        <f ca="1">IF(OR('Données projet'!B13="",'Données projet'!C13="",'Données projet'!C13=0%),0,Calculateur!CY3)</f>
        <v>196.25918971690442</v>
      </c>
      <c r="D10" s="147">
        <f>IF(OR('Données projet'!B13="",'Données projet'!C13="",'Données projet'!C13=0%),0,Calculateur!CZ3)</f>
        <v>148.35701313170205</v>
      </c>
      <c r="E10" s="147">
        <f t="shared" ca="1" si="0"/>
        <v>148.35701313170205</v>
      </c>
      <c r="F10" s="147">
        <f t="shared" ca="1" si="1"/>
        <v>296.01674830168508</v>
      </c>
      <c r="G10" s="147">
        <f ca="1">F10*(100%-'Données projet'!$C$24)*(100%-'Données projet'!$C$25)*(100%-'Données projet'!$C$26)*(100%-'Données projet'!$C$27)</f>
        <v>266.41507347151656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266.41507347151656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3487.0705550826824</v>
      </c>
      <c r="G16" s="166">
        <f t="shared" ca="1" si="3"/>
        <v>3138.3634995744137</v>
      </c>
      <c r="H16" s="167">
        <f t="shared" si="3"/>
        <v>301.49295256045707</v>
      </c>
      <c r="I16" s="167">
        <f t="shared" si="3"/>
        <v>271.34365730441141</v>
      </c>
      <c r="J16" s="168">
        <f t="shared" si="3"/>
        <v>1928.3370929355387</v>
      </c>
      <c r="K16" s="168">
        <f t="shared" si="3"/>
        <v>1735.5033836419848</v>
      </c>
      <c r="L16" s="169">
        <f t="shared" ca="1" si="3"/>
        <v>5145.2105405208094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Mélèze d'Europe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Peuplier Koster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Pin noir d'Autriche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7" zoomScale="97" zoomScaleNormal="80" workbookViewId="0">
      <selection activeCell="T25" sqref="T25:V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Mélèze d'Europe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2991.7037072731773</v>
      </c>
      <c r="U10" s="178">
        <f>'Données projet'!D9</f>
        <v>7.3604400000000005</v>
      </c>
      <c r="V10" s="177">
        <f>U10*T10</f>
        <v>22020.255635161786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hybride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4536.4640740792456</v>
      </c>
      <c r="U11" s="178">
        <f>'Données projet'!D10</f>
        <v>7.3604400000000005</v>
      </c>
      <c r="V11" s="177">
        <f t="shared" ref="V11" si="0">U11*T11</f>
        <v>33390.371629415844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1404.1812227777784</v>
      </c>
      <c r="U12" s="178">
        <f>'Données projet'!D11</f>
        <v>2.5052100000000004</v>
      </c>
      <c r="V12" s="177">
        <f t="shared" ref="V12:V19" si="1">U12*T12</f>
        <v>3517.7688411151189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Peuplier Koster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768.62240581049457</v>
      </c>
      <c r="U13" s="178">
        <f>'Données projet'!D12</f>
        <v>2.9486100000000004</v>
      </c>
      <c r="V13" s="177">
        <f t="shared" si="1"/>
        <v>2266.3677119968829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Mélèze d'Europe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noir d'Autriche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460.15930504812394</v>
      </c>
      <c r="U14" s="178">
        <f>'Données projet'!D13</f>
        <v>1.9953000000000001</v>
      </c>
      <c r="V14" s="177">
        <f t="shared" si="1"/>
        <v>918.1558613625217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20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400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7425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20</v>
      </c>
      <c r="C23" s="193">
        <v>10</v>
      </c>
      <c r="D23" s="182">
        <f>B23*C23</f>
        <v>200</v>
      </c>
      <c r="E23" s="193">
        <v>150</v>
      </c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-95410.764531474182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21</v>
      </c>
      <c r="B24" s="181">
        <f>'Données projet'!D37</f>
        <v>26</v>
      </c>
      <c r="C24" s="193">
        <v>18</v>
      </c>
      <c r="D24" s="182">
        <f t="shared" ref="D24:D42" si="2">B24*C24</f>
        <v>468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3677.0528796828962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24</v>
      </c>
      <c r="B25" s="181">
        <f>'Données projet'!D38</f>
        <v>29</v>
      </c>
      <c r="C25" s="193">
        <v>25</v>
      </c>
      <c r="D25" s="182">
        <f t="shared" si="2"/>
        <v>725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-99087.817411157084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30</v>
      </c>
      <c r="B26" s="181">
        <f>'Données projet'!D39</f>
        <v>53</v>
      </c>
      <c r="C26" s="193">
        <v>25</v>
      </c>
      <c r="D26" s="182">
        <f t="shared" si="2"/>
        <v>1325</v>
      </c>
      <c r="E26" s="193">
        <v>150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36</v>
      </c>
      <c r="B27" s="181">
        <f>'Données projet'!D40</f>
        <v>62</v>
      </c>
      <c r="C27" s="193">
        <v>35</v>
      </c>
      <c r="D27" s="182">
        <f t="shared" si="2"/>
        <v>2170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42</v>
      </c>
      <c r="B28" s="181">
        <f>'Données projet'!D41</f>
        <v>67</v>
      </c>
      <c r="C28" s="193">
        <v>40</v>
      </c>
      <c r="D28" s="182">
        <f t="shared" si="2"/>
        <v>2680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48</v>
      </c>
      <c r="B29" s="181">
        <f>'Données projet'!D42</f>
        <v>65</v>
      </c>
      <c r="C29" s="193">
        <v>45</v>
      </c>
      <c r="D29" s="182">
        <f t="shared" si="2"/>
        <v>2925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60</v>
      </c>
      <c r="B30" s="181">
        <f>'Données projet'!D43</f>
        <v>304</v>
      </c>
      <c r="C30" s="193">
        <v>55</v>
      </c>
      <c r="D30" s="182">
        <f t="shared" si="2"/>
        <v>16720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Mélèze hybride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12</v>
      </c>
      <c r="B54" s="181">
        <f>'Données projet'!D62</f>
        <v>21</v>
      </c>
      <c r="C54" s="191">
        <v>10</v>
      </c>
      <c r="D54" s="179">
        <f>B54*C54</f>
        <v>210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15</v>
      </c>
      <c r="B55" s="181">
        <f>'Données projet'!D63</f>
        <v>47</v>
      </c>
      <c r="C55" s="191">
        <v>18</v>
      </c>
      <c r="D55" s="179">
        <f t="shared" ref="D55:D73" si="4">B55*C55</f>
        <v>846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18</v>
      </c>
      <c r="B56" s="181">
        <f>'Données projet'!D64</f>
        <v>61</v>
      </c>
      <c r="C56" s="191">
        <v>25</v>
      </c>
      <c r="D56" s="179">
        <f t="shared" si="4"/>
        <v>1525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24</v>
      </c>
      <c r="B57" s="181">
        <f>'Données projet'!D65</f>
        <v>84</v>
      </c>
      <c r="C57" s="191">
        <v>25</v>
      </c>
      <c r="D57" s="179">
        <f t="shared" si="4"/>
        <v>2100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30</v>
      </c>
      <c r="B58" s="181">
        <f>'Données projet'!D66</f>
        <v>76</v>
      </c>
      <c r="C58" s="191">
        <v>35</v>
      </c>
      <c r="D58" s="179">
        <f t="shared" si="4"/>
        <v>2660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36</v>
      </c>
      <c r="B59" s="181">
        <f>'Données projet'!D67</f>
        <v>75</v>
      </c>
      <c r="C59" s="191">
        <v>40</v>
      </c>
      <c r="D59" s="179">
        <f t="shared" si="4"/>
        <v>3000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42</v>
      </c>
      <c r="B60" s="181">
        <f>'Données projet'!D68</f>
        <v>278</v>
      </c>
      <c r="C60" s="191">
        <v>45</v>
      </c>
      <c r="D60" s="179">
        <f t="shared" si="4"/>
        <v>12510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42</v>
      </c>
      <c r="B86" s="181">
        <f>'Données projet'!D89</f>
        <v>179.84615384615384</v>
      </c>
      <c r="C86" s="191">
        <v>10</v>
      </c>
      <c r="D86" s="179">
        <f t="shared" ref="D86:D104" si="6">B86*C86</f>
        <v>1798.4615384615383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49</v>
      </c>
      <c r="B87" s="181">
        <f>'Données projet'!D90</f>
        <v>94.476923076923072</v>
      </c>
      <c r="C87" s="191">
        <v>18</v>
      </c>
      <c r="D87" s="179">
        <f t="shared" si="6"/>
        <v>1700.5846153846153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56</v>
      </c>
      <c r="B88" s="181">
        <f>'Données projet'!D91</f>
        <v>72.769230769230759</v>
      </c>
      <c r="C88" s="191">
        <v>25</v>
      </c>
      <c r="D88" s="179">
        <f t="shared" si="6"/>
        <v>1819.2307692307691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63</v>
      </c>
      <c r="B89" s="181">
        <f>'Données projet'!D92</f>
        <v>71.123076923076923</v>
      </c>
      <c r="C89" s="191">
        <v>35</v>
      </c>
      <c r="D89" s="179">
        <f t="shared" si="6"/>
        <v>2489.3076923076924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71</v>
      </c>
      <c r="B90" s="181">
        <f>'Données projet'!D93</f>
        <v>80.399999999999991</v>
      </c>
      <c r="C90" s="191">
        <v>40</v>
      </c>
      <c r="D90" s="179">
        <f t="shared" si="6"/>
        <v>3215.9999999999995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79</v>
      </c>
      <c r="B91" s="181">
        <f>'Données projet'!D94</f>
        <v>77.338461538461544</v>
      </c>
      <c r="C91" s="191">
        <v>45</v>
      </c>
      <c r="D91" s="179">
        <f t="shared" si="6"/>
        <v>3480.2307692307695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87</v>
      </c>
      <c r="B92" s="181">
        <f>'Données projet'!D95</f>
        <v>77.330769230769235</v>
      </c>
      <c r="C92" s="191">
        <v>45</v>
      </c>
      <c r="D92" s="179">
        <f t="shared" si="6"/>
        <v>3479.8846153846157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95</v>
      </c>
      <c r="B93" s="181">
        <f>'Données projet'!D96</f>
        <v>234.42307692307691</v>
      </c>
      <c r="C93" s="191">
        <v>56</v>
      </c>
      <c r="D93" s="179">
        <f t="shared" si="6"/>
        <v>13127.692307692307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105</v>
      </c>
      <c r="B94" s="181">
        <f>'Données projet'!D97</f>
        <v>309.71538461538461</v>
      </c>
      <c r="C94" s="191">
        <v>56</v>
      </c>
      <c r="D94" s="179">
        <f t="shared" si="6"/>
        <v>17344.061538461538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Peuplier Koster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4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5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6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7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8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9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10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11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12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13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14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15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16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17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18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19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20</v>
      </c>
      <c r="B132" s="181">
        <f>'Données projet'!D130</f>
        <v>200.36974358974356</v>
      </c>
      <c r="C132" s="191">
        <v>10</v>
      </c>
      <c r="D132" s="179">
        <f t="shared" si="8"/>
        <v>2003.6974358974358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>Pin noir d'Autriche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40</v>
      </c>
      <c r="B148" s="175">
        <f>'Données projet'!D141</f>
        <v>65.969230769230776</v>
      </c>
      <c r="C148" s="191">
        <v>10</v>
      </c>
      <c r="D148" s="182">
        <f t="shared" ref="D148:D166" si="10">B148*C148</f>
        <v>659.69230769230774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55</v>
      </c>
      <c r="B149" s="175">
        <f>'Données projet'!D142</f>
        <v>65.053846153846152</v>
      </c>
      <c r="C149" s="191">
        <v>18</v>
      </c>
      <c r="D149" s="182">
        <f t="shared" si="10"/>
        <v>1170.9692307692308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70</v>
      </c>
      <c r="B150" s="175">
        <f>'Données projet'!D143</f>
        <v>62.976923076923079</v>
      </c>
      <c r="C150" s="191">
        <v>25</v>
      </c>
      <c r="D150" s="182">
        <f t="shared" si="10"/>
        <v>1574.4230769230769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80</v>
      </c>
      <c r="B151" s="175">
        <f>'Données projet'!D144</f>
        <v>56.992307692307691</v>
      </c>
      <c r="C151" s="191">
        <v>25</v>
      </c>
      <c r="D151" s="182">
        <f t="shared" si="10"/>
        <v>1424.8076923076924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95</v>
      </c>
      <c r="B152" s="175">
        <f>'Données projet'!D145</f>
        <v>203.73846153846154</v>
      </c>
      <c r="C152" s="191">
        <v>35</v>
      </c>
      <c r="D152" s="182">
        <f t="shared" si="10"/>
        <v>7130.8461538461534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105</v>
      </c>
      <c r="B153" s="175">
        <f>'Données projet'!D146</f>
        <v>213.82307692307694</v>
      </c>
      <c r="C153" s="191">
        <v>35</v>
      </c>
      <c r="D153" s="182">
        <f t="shared" si="10"/>
        <v>7483.8076923076933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16A7A1AB-BA91-4835-8609-27506D15A2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68FA16-DE20-49D8-80CD-9EE8AE1D88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697EB3-A5E8-423D-93CE-4A0696985212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2024-03-19T14:16:12Z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